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908544ce6c48f7/Desktop/Hackathon/"/>
    </mc:Choice>
  </mc:AlternateContent>
  <xr:revisionPtr revIDLastSave="5" documentId="8_{1A9662F1-814C-44FC-92C7-3B2D048869B0}" xr6:coauthVersionLast="47" xr6:coauthVersionMax="47" xr10:uidLastSave="{6420CD53-D86E-45AB-A669-27A8AD5AE1C5}"/>
  <bookViews>
    <workbookView xWindow="-108" yWindow="-108" windowWidth="23256" windowHeight="13896" xr2:uid="{00000000-000D-0000-FFFF-FFFF00000000}"/>
  </bookViews>
  <sheets>
    <sheet name="FoodSubst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AF2" i="1"/>
  <c r="AG2" i="1"/>
  <c r="AH2" i="1"/>
  <c r="AG3" i="1"/>
  <c r="AH3" i="1"/>
  <c r="K4" i="1"/>
  <c r="K5" i="1"/>
  <c r="AG5" i="1"/>
  <c r="AH5" i="1"/>
  <c r="AK5" i="1"/>
  <c r="K6" i="1"/>
  <c r="L6" i="1"/>
  <c r="AG6" i="1"/>
  <c r="AH6" i="1"/>
  <c r="AI6" i="1"/>
  <c r="AK6" i="1"/>
  <c r="AG7" i="1"/>
  <c r="AH7" i="1"/>
  <c r="AK7" i="1"/>
  <c r="AG8" i="1"/>
  <c r="AH8" i="1"/>
  <c r="AK8" i="1"/>
  <c r="AG9" i="1"/>
  <c r="AH9" i="1"/>
  <c r="AK9" i="1"/>
  <c r="AG10" i="1"/>
  <c r="AH10" i="1"/>
  <c r="AG11" i="1"/>
  <c r="AH11" i="1"/>
  <c r="AK11" i="1"/>
  <c r="AG12" i="1"/>
  <c r="AH12" i="1"/>
  <c r="AG13" i="1"/>
  <c r="AH13" i="1"/>
  <c r="AG14" i="1"/>
  <c r="AH14" i="1"/>
  <c r="AK14" i="1"/>
  <c r="AG15" i="1"/>
  <c r="AH15" i="1"/>
  <c r="AK15" i="1"/>
  <c r="K16" i="1"/>
  <c r="AG16" i="1"/>
  <c r="AH16" i="1"/>
  <c r="AI16" i="1"/>
  <c r="AK16" i="1"/>
  <c r="AH17" i="1"/>
  <c r="AI17" i="1"/>
  <c r="K18" i="1"/>
  <c r="AG18" i="1"/>
  <c r="AH18" i="1"/>
  <c r="AI18" i="1"/>
  <c r="AK18" i="1"/>
  <c r="E19" i="1"/>
  <c r="K19" i="1"/>
  <c r="L19" i="1"/>
  <c r="M19" i="1"/>
  <c r="AG19" i="1"/>
  <c r="AH19" i="1"/>
  <c r="AI19" i="1"/>
  <c r="AK19" i="1"/>
  <c r="K20" i="1"/>
  <c r="K21" i="1"/>
  <c r="AG21" i="1"/>
  <c r="AH21" i="1"/>
  <c r="AI21" i="1"/>
  <c r="AK21" i="1"/>
  <c r="AG22" i="1"/>
  <c r="AH22" i="1"/>
  <c r="AK22" i="1"/>
  <c r="K23" i="1"/>
  <c r="E25" i="1"/>
  <c r="F25" i="1"/>
  <c r="G25" i="1"/>
  <c r="H25" i="1"/>
  <c r="K25" i="1"/>
  <c r="L25" i="1"/>
  <c r="M25" i="1"/>
  <c r="N25" i="1"/>
  <c r="O25" i="1"/>
  <c r="P25" i="1"/>
  <c r="AG25" i="1"/>
  <c r="AH25" i="1"/>
  <c r="AK25" i="1"/>
  <c r="K26" i="1"/>
  <c r="AF26" i="1"/>
  <c r="K27" i="1"/>
  <c r="AG27" i="1"/>
  <c r="AH27" i="1"/>
  <c r="AK27" i="1"/>
  <c r="AG29" i="1"/>
  <c r="AH29" i="1"/>
  <c r="AK29" i="1"/>
  <c r="AG30" i="1"/>
  <c r="AH30" i="1"/>
  <c r="AK30" i="1"/>
  <c r="AG31" i="1"/>
  <c r="AH31" i="1"/>
  <c r="AK31" i="1"/>
  <c r="AG32" i="1"/>
  <c r="AH32" i="1"/>
  <c r="AK32" i="1"/>
  <c r="AG33" i="1"/>
  <c r="AH33" i="1"/>
  <c r="AK33" i="1"/>
  <c r="AG34" i="1"/>
  <c r="AH34" i="1"/>
  <c r="AK34" i="1"/>
  <c r="AG35" i="1"/>
  <c r="AH35" i="1"/>
  <c r="AK35" i="1"/>
  <c r="AG36" i="1"/>
  <c r="AH36" i="1"/>
  <c r="AG37" i="1"/>
  <c r="AH37" i="1"/>
  <c r="AI37" i="1"/>
  <c r="AK37" i="1"/>
  <c r="AG38" i="1"/>
  <c r="AH38" i="1"/>
  <c r="AK38" i="1"/>
  <c r="AG39" i="1"/>
  <c r="AH39" i="1"/>
  <c r="AK39" i="1"/>
  <c r="AG40" i="1"/>
  <c r="AH40" i="1"/>
  <c r="AK40" i="1"/>
  <c r="AG41" i="1"/>
  <c r="AH41" i="1"/>
  <c r="AK41" i="1"/>
  <c r="AG42" i="1"/>
  <c r="AH42" i="1"/>
  <c r="AK42" i="1"/>
  <c r="K43" i="1"/>
  <c r="AG44" i="1"/>
  <c r="AH44" i="1"/>
  <c r="AK44" i="1"/>
  <c r="AG45" i="1"/>
  <c r="AH45" i="1"/>
  <c r="AI45" i="1"/>
  <c r="AK45" i="1"/>
  <c r="AG46" i="1"/>
  <c r="AH46" i="1"/>
  <c r="AK46" i="1"/>
  <c r="AG47" i="1"/>
  <c r="AH47" i="1"/>
  <c r="AK47" i="1"/>
  <c r="AG48" i="1"/>
  <c r="AH48" i="1"/>
  <c r="AK48" i="1"/>
  <c r="AG49" i="1"/>
  <c r="AH49" i="1"/>
  <c r="AK49" i="1"/>
  <c r="AG50" i="1"/>
  <c r="AH50" i="1"/>
  <c r="AI50" i="1"/>
  <c r="AK50" i="1"/>
  <c r="AG51" i="1"/>
  <c r="AH51" i="1"/>
  <c r="AI51" i="1"/>
  <c r="AK51" i="1"/>
  <c r="AG52" i="1"/>
  <c r="AH52" i="1"/>
  <c r="AK52" i="1"/>
  <c r="AG53" i="1"/>
  <c r="AH53" i="1"/>
  <c r="AK53" i="1"/>
  <c r="AG54" i="1"/>
  <c r="AH54" i="1"/>
  <c r="AI54" i="1"/>
  <c r="AK54" i="1"/>
  <c r="AG55" i="1"/>
  <c r="AH55" i="1"/>
  <c r="AK55" i="1"/>
  <c r="AG56" i="1"/>
  <c r="AH56" i="1"/>
  <c r="AI56" i="1"/>
  <c r="AK56" i="1"/>
  <c r="K57" i="1"/>
  <c r="AG57" i="1"/>
  <c r="AH57" i="1"/>
  <c r="AK57" i="1"/>
  <c r="K58" i="1"/>
  <c r="L58" i="1"/>
  <c r="K59" i="1"/>
  <c r="L59" i="1"/>
  <c r="M59" i="1"/>
  <c r="N59" i="1"/>
  <c r="K60" i="1"/>
  <c r="L60" i="1"/>
  <c r="M60" i="1"/>
  <c r="K61" i="1"/>
  <c r="L61" i="1"/>
  <c r="K62" i="1"/>
  <c r="K63" i="1"/>
  <c r="L63" i="1"/>
  <c r="M63" i="1"/>
  <c r="N63" i="1"/>
  <c r="O63" i="1"/>
  <c r="P63" i="1"/>
  <c r="Q63" i="1"/>
  <c r="R63" i="1"/>
  <c r="S63" i="1"/>
  <c r="T63" i="1"/>
  <c r="U63" i="1"/>
  <c r="V63" i="1"/>
  <c r="AG63" i="1"/>
  <c r="AH63" i="1"/>
  <c r="AI63" i="1"/>
  <c r="AK63" i="1"/>
  <c r="K64" i="1"/>
  <c r="K65" i="1"/>
  <c r="AG65" i="1"/>
  <c r="AH65" i="1"/>
  <c r="AG66" i="1"/>
  <c r="AH66" i="1"/>
  <c r="AK66" i="1"/>
  <c r="K67" i="1"/>
  <c r="AG67" i="1"/>
  <c r="AH67" i="1"/>
  <c r="AI67" i="1"/>
  <c r="AK67" i="1"/>
  <c r="K68" i="1"/>
  <c r="AG68" i="1"/>
  <c r="AH68" i="1"/>
  <c r="AI68" i="1"/>
  <c r="AK68" i="1"/>
  <c r="AG69" i="1"/>
  <c r="AH69" i="1"/>
  <c r="AK69" i="1"/>
  <c r="E71" i="1"/>
  <c r="E72" i="1"/>
  <c r="K73" i="1"/>
  <c r="AG73" i="1"/>
  <c r="AH73" i="1"/>
  <c r="K74" i="1"/>
  <c r="K75" i="1"/>
  <c r="AG75" i="1"/>
  <c r="AH75" i="1"/>
  <c r="K76" i="1"/>
  <c r="AG76" i="1"/>
  <c r="AH76" i="1"/>
  <c r="K77" i="1"/>
  <c r="K78" i="1"/>
  <c r="L78" i="1"/>
  <c r="M78" i="1"/>
  <c r="AG78" i="1"/>
  <c r="AH78" i="1"/>
  <c r="K79" i="1"/>
  <c r="AG79" i="1"/>
  <c r="AH79" i="1"/>
  <c r="K80" i="1"/>
  <c r="K82" i="1"/>
  <c r="AH83" i="1"/>
  <c r="AI83" i="1"/>
  <c r="K84" i="1"/>
  <c r="L84" i="1"/>
  <c r="M84" i="1"/>
  <c r="N84" i="1"/>
  <c r="K85" i="1"/>
  <c r="K86" i="1"/>
  <c r="K87" i="1"/>
  <c r="K88" i="1"/>
  <c r="AF88" i="1"/>
  <c r="AG88" i="1"/>
  <c r="AH88" i="1"/>
  <c r="K89" i="1"/>
  <c r="AG89" i="1"/>
  <c r="AH89" i="1"/>
  <c r="K90" i="1"/>
  <c r="AG90" i="1"/>
  <c r="AH90" i="1"/>
  <c r="AI90" i="1"/>
  <c r="K91" i="1"/>
  <c r="AG91" i="1"/>
  <c r="AH91" i="1"/>
  <c r="AK91" i="1"/>
  <c r="K92" i="1"/>
  <c r="AG92" i="1"/>
  <c r="AH92" i="1"/>
  <c r="AK92" i="1"/>
  <c r="K93" i="1"/>
  <c r="AG93" i="1"/>
  <c r="AH93" i="1"/>
  <c r="AI93" i="1"/>
  <c r="AK93" i="1"/>
  <c r="K94" i="1"/>
  <c r="AG94" i="1"/>
  <c r="AH94" i="1"/>
  <c r="AK94" i="1"/>
  <c r="AG95" i="1"/>
  <c r="AH95" i="1"/>
  <c r="K96" i="1"/>
  <c r="AG96" i="1"/>
  <c r="AH96" i="1"/>
  <c r="AK96" i="1"/>
  <c r="K97" i="1"/>
  <c r="AG97" i="1"/>
  <c r="AH97" i="1"/>
  <c r="AK97" i="1"/>
  <c r="K98" i="1"/>
  <c r="AG98" i="1"/>
  <c r="AH98" i="1"/>
  <c r="AK98" i="1"/>
  <c r="K99" i="1"/>
  <c r="AG99" i="1"/>
  <c r="AH99" i="1"/>
  <c r="AK99" i="1"/>
  <c r="K100" i="1"/>
  <c r="AG100" i="1"/>
  <c r="AH100" i="1"/>
  <c r="AK100" i="1"/>
  <c r="AG101" i="1"/>
  <c r="AH101" i="1"/>
  <c r="AK101" i="1"/>
  <c r="AG102" i="1"/>
  <c r="AH102" i="1"/>
  <c r="AK102" i="1"/>
  <c r="K103" i="1"/>
  <c r="AG103" i="1"/>
  <c r="AH103" i="1"/>
  <c r="AK103" i="1"/>
  <c r="K104" i="1"/>
  <c r="AG104" i="1"/>
  <c r="AH104" i="1"/>
  <c r="AK104" i="1"/>
  <c r="AG105" i="1"/>
  <c r="AH105" i="1"/>
  <c r="AK105" i="1"/>
  <c r="AG106" i="1"/>
  <c r="AH106" i="1"/>
  <c r="AK106" i="1"/>
  <c r="K107" i="1"/>
  <c r="AG107" i="1"/>
  <c r="AH107" i="1"/>
  <c r="AK107" i="1"/>
  <c r="K109" i="1"/>
  <c r="AG109" i="1"/>
  <c r="AH109" i="1"/>
  <c r="AK109" i="1"/>
  <c r="K110" i="1"/>
  <c r="AG110" i="1"/>
  <c r="AH110" i="1"/>
  <c r="AI110" i="1"/>
  <c r="AK110" i="1"/>
  <c r="K111" i="1"/>
  <c r="AG111" i="1"/>
  <c r="AH111" i="1"/>
  <c r="AK111" i="1"/>
  <c r="AG112" i="1"/>
  <c r="AH112" i="1"/>
  <c r="AK112" i="1"/>
  <c r="AG113" i="1"/>
  <c r="AH113" i="1"/>
  <c r="AK113" i="1"/>
  <c r="K114" i="1"/>
  <c r="AG114" i="1"/>
  <c r="AH114" i="1"/>
  <c r="AK114" i="1"/>
  <c r="K115" i="1"/>
  <c r="AG115" i="1"/>
  <c r="AH115" i="1"/>
  <c r="AK115" i="1"/>
  <c r="AG116" i="1"/>
  <c r="AH116" i="1"/>
  <c r="AK116" i="1"/>
  <c r="K117" i="1"/>
  <c r="AG117" i="1"/>
  <c r="AH117" i="1"/>
  <c r="AI117" i="1"/>
  <c r="AK117" i="1"/>
  <c r="K118" i="1"/>
  <c r="AG118" i="1"/>
  <c r="AH118" i="1"/>
  <c r="AK118" i="1"/>
  <c r="K119" i="1"/>
  <c r="AG119" i="1"/>
  <c r="AH119" i="1"/>
  <c r="AK119" i="1"/>
  <c r="AG120" i="1"/>
  <c r="AH120" i="1"/>
  <c r="AK120" i="1"/>
  <c r="K121" i="1"/>
  <c r="AG121" i="1"/>
  <c r="AH121" i="1"/>
  <c r="AK121" i="1"/>
  <c r="K122" i="1"/>
  <c r="AG122" i="1"/>
  <c r="AH122" i="1"/>
  <c r="AK122" i="1"/>
  <c r="AG123" i="1"/>
  <c r="AH123" i="1"/>
  <c r="AK123" i="1"/>
  <c r="AG124" i="1"/>
  <c r="AH124" i="1"/>
  <c r="AK124" i="1"/>
  <c r="K125" i="1"/>
  <c r="AG125" i="1"/>
  <c r="AH125" i="1"/>
  <c r="AK125" i="1"/>
  <c r="K126" i="1"/>
  <c r="AG126" i="1"/>
  <c r="AH126" i="1"/>
  <c r="AK126" i="1"/>
  <c r="AG127" i="1"/>
  <c r="AH127" i="1"/>
  <c r="K128" i="1"/>
  <c r="AG128" i="1"/>
  <c r="AH128" i="1"/>
  <c r="K129" i="1"/>
  <c r="AG129" i="1"/>
  <c r="AH129" i="1"/>
  <c r="K130" i="1"/>
  <c r="AG130" i="1"/>
  <c r="AH130" i="1"/>
  <c r="AI130" i="1"/>
  <c r="AK130" i="1"/>
  <c r="K131" i="1"/>
  <c r="AG131" i="1"/>
  <c r="AH131" i="1"/>
  <c r="AK131" i="1"/>
  <c r="K132" i="1"/>
  <c r="K133" i="1"/>
  <c r="AG133" i="1"/>
  <c r="AH133" i="1"/>
  <c r="AI133" i="1"/>
  <c r="AK133" i="1"/>
  <c r="K134" i="1"/>
  <c r="AG134" i="1"/>
  <c r="AH134" i="1"/>
  <c r="AK134" i="1"/>
  <c r="K135" i="1"/>
  <c r="AG135" i="1"/>
  <c r="AH135" i="1"/>
  <c r="AK135" i="1"/>
  <c r="K137" i="1"/>
  <c r="K138" i="1"/>
  <c r="AG138" i="1"/>
  <c r="AH138" i="1"/>
  <c r="K139" i="1"/>
  <c r="L139" i="1"/>
  <c r="M139" i="1"/>
  <c r="K140" i="1"/>
  <c r="L140" i="1"/>
  <c r="K141" i="1"/>
  <c r="AF141" i="1"/>
  <c r="K142" i="1"/>
  <c r="L142" i="1"/>
  <c r="K143" i="1"/>
  <c r="L143" i="1"/>
  <c r="E144" i="1"/>
  <c r="K144" i="1"/>
  <c r="L144" i="1"/>
  <c r="M144" i="1"/>
  <c r="N144" i="1"/>
  <c r="O144" i="1"/>
  <c r="P144" i="1"/>
  <c r="Q144" i="1"/>
  <c r="K145" i="1"/>
  <c r="L145" i="1"/>
  <c r="K146" i="1"/>
  <c r="K147" i="1"/>
  <c r="K148" i="1"/>
  <c r="L148" i="1"/>
  <c r="M148" i="1"/>
  <c r="K149" i="1"/>
  <c r="L149" i="1"/>
  <c r="M149" i="1"/>
  <c r="K150" i="1"/>
  <c r="L150" i="1"/>
  <c r="K151" i="1"/>
  <c r="L151" i="1"/>
  <c r="M151" i="1"/>
  <c r="N151" i="1"/>
  <c r="O151" i="1"/>
  <c r="K152" i="1"/>
  <c r="L152" i="1"/>
  <c r="M152" i="1"/>
  <c r="K153" i="1"/>
  <c r="L153" i="1"/>
  <c r="M153" i="1"/>
  <c r="N153" i="1"/>
  <c r="O153" i="1"/>
  <c r="P153" i="1"/>
  <c r="Q153" i="1"/>
  <c r="R153" i="1"/>
  <c r="S153" i="1"/>
  <c r="K154" i="1"/>
  <c r="L154" i="1"/>
  <c r="K155" i="1"/>
  <c r="AG155" i="1"/>
  <c r="AH155" i="1"/>
  <c r="K156" i="1"/>
  <c r="AG156" i="1"/>
  <c r="AH156" i="1"/>
  <c r="K157" i="1"/>
  <c r="K158" i="1"/>
  <c r="AG158" i="1"/>
  <c r="AH158" i="1"/>
  <c r="K159" i="1"/>
  <c r="AG159" i="1"/>
  <c r="AH159" i="1"/>
  <c r="K160" i="1"/>
  <c r="L160" i="1"/>
  <c r="M160" i="1"/>
  <c r="N160" i="1"/>
  <c r="AG160" i="1"/>
  <c r="AH160" i="1"/>
  <c r="AK160" i="1"/>
  <c r="AG161" i="1"/>
  <c r="AH161" i="1"/>
  <c r="AK161" i="1"/>
  <c r="AG163" i="1"/>
  <c r="AH163" i="1"/>
  <c r="AK163" i="1"/>
  <c r="AG164" i="1"/>
  <c r="AH164" i="1"/>
  <c r="AK164" i="1"/>
  <c r="AG165" i="1"/>
  <c r="AH165" i="1"/>
  <c r="AI165" i="1"/>
  <c r="AG166" i="1"/>
  <c r="AH166" i="1"/>
  <c r="AI166" i="1"/>
  <c r="AK166" i="1"/>
  <c r="AG167" i="1"/>
  <c r="AH167" i="1"/>
  <c r="AI167" i="1"/>
  <c r="AK167" i="1"/>
  <c r="K168" i="1"/>
  <c r="K169" i="1"/>
  <c r="AG171" i="1"/>
  <c r="AH171" i="1"/>
  <c r="E173" i="1"/>
  <c r="K173" i="1"/>
  <c r="E174" i="1"/>
  <c r="K174" i="1"/>
  <c r="K176" i="1"/>
  <c r="L176" i="1"/>
  <c r="K177" i="1"/>
  <c r="L177" i="1"/>
  <c r="M177" i="1"/>
  <c r="N177" i="1"/>
  <c r="O177" i="1"/>
  <c r="P177" i="1"/>
  <c r="Q177" i="1"/>
  <c r="E179" i="1"/>
  <c r="K179" i="1"/>
  <c r="L179" i="1"/>
  <c r="K180" i="1"/>
  <c r="AG180" i="1"/>
  <c r="AH180" i="1"/>
  <c r="AI180" i="1"/>
  <c r="AK180" i="1"/>
  <c r="K181" i="1"/>
  <c r="K182" i="1"/>
  <c r="L182" i="1"/>
  <c r="M182" i="1"/>
  <c r="N182" i="1"/>
  <c r="O182" i="1"/>
  <c r="E183" i="1"/>
  <c r="E184" i="1"/>
  <c r="E185" i="1"/>
  <c r="K185" i="1"/>
  <c r="L185" i="1"/>
  <c r="K186" i="1"/>
  <c r="AG186" i="1"/>
  <c r="AH186" i="1"/>
  <c r="E187" i="1"/>
  <c r="K188" i="1"/>
  <c r="L188" i="1"/>
  <c r="M188" i="1"/>
  <c r="AG188" i="1"/>
  <c r="AH188" i="1"/>
  <c r="AK188" i="1"/>
  <c r="K189" i="1"/>
  <c r="K194" i="1"/>
  <c r="AG194" i="1"/>
  <c r="AH194" i="1"/>
  <c r="AK194" i="1"/>
  <c r="K195" i="1"/>
  <c r="AG195" i="1"/>
  <c r="AH195" i="1"/>
  <c r="AI195" i="1"/>
  <c r="AK195" i="1"/>
  <c r="K196" i="1"/>
  <c r="AG196" i="1"/>
  <c r="AH196" i="1"/>
  <c r="AK196" i="1"/>
  <c r="K197" i="1"/>
  <c r="AG197" i="1"/>
  <c r="AH197" i="1"/>
  <c r="AK197" i="1"/>
  <c r="K198" i="1"/>
  <c r="AG198" i="1"/>
  <c r="AH198" i="1"/>
  <c r="AK198" i="1"/>
  <c r="K199" i="1"/>
  <c r="AG199" i="1"/>
  <c r="AH199" i="1"/>
  <c r="AK199" i="1"/>
  <c r="K201" i="1"/>
  <c r="AG201" i="1"/>
  <c r="AH201" i="1"/>
  <c r="AK201" i="1"/>
  <c r="AG202" i="1"/>
  <c r="AH202" i="1"/>
  <c r="AK202" i="1"/>
  <c r="K203" i="1"/>
  <c r="AG203" i="1"/>
  <c r="AH203" i="1"/>
  <c r="AK203" i="1"/>
  <c r="K204" i="1"/>
  <c r="AG204" i="1"/>
  <c r="AH204" i="1"/>
  <c r="AI204" i="1"/>
  <c r="AK204" i="1"/>
  <c r="AG205" i="1"/>
  <c r="AH205" i="1"/>
  <c r="AK205" i="1"/>
  <c r="AG206" i="1"/>
  <c r="AH206" i="1"/>
  <c r="AK206" i="1"/>
  <c r="K207" i="1"/>
  <c r="AG207" i="1"/>
  <c r="AH207" i="1"/>
  <c r="AK207" i="1"/>
  <c r="K208" i="1"/>
  <c r="AG209" i="1"/>
  <c r="AH209" i="1"/>
  <c r="AK209" i="1"/>
  <c r="K211" i="1"/>
  <c r="K212" i="1"/>
  <c r="AG213" i="1"/>
  <c r="AH213" i="1"/>
  <c r="AK213" i="1"/>
  <c r="K214" i="1"/>
  <c r="AG214" i="1"/>
  <c r="AH214" i="1"/>
  <c r="AI214" i="1"/>
  <c r="AK214" i="1"/>
  <c r="K215" i="1"/>
  <c r="AG216" i="1"/>
  <c r="AH216" i="1"/>
  <c r="AK216" i="1"/>
  <c r="K217" i="1"/>
  <c r="K218" i="1"/>
  <c r="AG218" i="1"/>
  <c r="AH218" i="1"/>
  <c r="K219" i="1"/>
  <c r="AG219" i="1"/>
  <c r="AH219" i="1"/>
  <c r="K220" i="1"/>
  <c r="K221" i="1"/>
  <c r="AG221" i="1"/>
  <c r="AH221" i="1"/>
  <c r="K222" i="1"/>
  <c r="AG222" i="1"/>
  <c r="AH222" i="1"/>
  <c r="K223" i="1"/>
  <c r="AG223" i="1"/>
  <c r="AH223" i="1"/>
  <c r="K224" i="1"/>
  <c r="K225" i="1"/>
  <c r="K226" i="1"/>
  <c r="AG226" i="1"/>
  <c r="AH226" i="1"/>
  <c r="AG227" i="1"/>
  <c r="AH227" i="1"/>
  <c r="K228" i="1"/>
  <c r="AF228" i="1"/>
  <c r="AG228" i="1"/>
  <c r="AH228" i="1"/>
  <c r="K229" i="1"/>
  <c r="AG229" i="1"/>
  <c r="AH229" i="1"/>
  <c r="K230" i="1"/>
  <c r="AF230" i="1"/>
  <c r="AG230" i="1"/>
  <c r="AH230" i="1"/>
  <c r="AG231" i="1"/>
  <c r="AH231" i="1"/>
  <c r="K233" i="1"/>
  <c r="AG233" i="1"/>
  <c r="AH233" i="1"/>
  <c r="AI233" i="1"/>
  <c r="AK233" i="1"/>
  <c r="K234" i="1"/>
  <c r="AG234" i="1"/>
  <c r="AH234" i="1"/>
  <c r="AK234" i="1"/>
  <c r="K235" i="1"/>
  <c r="AG235" i="1"/>
  <c r="AH235" i="1"/>
  <c r="AI235" i="1"/>
  <c r="AK235" i="1"/>
  <c r="K236" i="1"/>
  <c r="AG236" i="1"/>
  <c r="AH236" i="1"/>
  <c r="AI236" i="1"/>
  <c r="AK236" i="1"/>
  <c r="K237" i="1"/>
  <c r="AG237" i="1"/>
  <c r="AH237" i="1"/>
  <c r="AI237" i="1"/>
  <c r="AK237" i="1"/>
  <c r="K238" i="1"/>
  <c r="AG238" i="1"/>
  <c r="AH238" i="1"/>
  <c r="AK238" i="1"/>
  <c r="K239" i="1"/>
  <c r="AG239" i="1"/>
  <c r="AH239" i="1"/>
  <c r="AK239" i="1"/>
  <c r="E240" i="1"/>
  <c r="F240" i="1"/>
  <c r="G240" i="1"/>
  <c r="AG240" i="1"/>
  <c r="AH240" i="1"/>
  <c r="K241" i="1"/>
  <c r="K242" i="1"/>
  <c r="E243" i="1"/>
  <c r="K245" i="1"/>
  <c r="L245" i="1"/>
  <c r="AG245" i="1"/>
  <c r="AH245" i="1"/>
  <c r="K246" i="1"/>
  <c r="L246" i="1"/>
  <c r="AG246" i="1"/>
  <c r="AH246" i="1"/>
  <c r="AG247" i="1"/>
  <c r="AH247" i="1"/>
  <c r="K248" i="1"/>
  <c r="AG248" i="1"/>
  <c r="AH248" i="1"/>
  <c r="AI248" i="1"/>
  <c r="AK248" i="1"/>
  <c r="K249" i="1"/>
  <c r="K251" i="1"/>
  <c r="AG251" i="1"/>
  <c r="AH251" i="1"/>
  <c r="K252" i="1"/>
  <c r="AG252" i="1"/>
  <c r="AH252" i="1"/>
  <c r="K253" i="1"/>
  <c r="AG253" i="1"/>
  <c r="AH253" i="1"/>
  <c r="K254" i="1"/>
  <c r="K255" i="1"/>
  <c r="AG255" i="1"/>
  <c r="AH255" i="1"/>
  <c r="K256" i="1"/>
  <c r="AG256" i="1"/>
  <c r="AH256" i="1"/>
  <c r="K257" i="1"/>
  <c r="AG257" i="1"/>
  <c r="AH257" i="1"/>
  <c r="K258" i="1"/>
  <c r="AF258" i="1"/>
  <c r="AF259" i="1"/>
  <c r="K260" i="1"/>
  <c r="K262" i="1"/>
  <c r="K263" i="1"/>
  <c r="AG263" i="1"/>
  <c r="AH263" i="1"/>
  <c r="AK263" i="1"/>
  <c r="K264" i="1"/>
  <c r="E265" i="1"/>
  <c r="K266" i="1"/>
  <c r="L266" i="1"/>
  <c r="M266" i="1"/>
  <c r="N266" i="1"/>
  <c r="K267" i="1"/>
  <c r="K268" i="1"/>
  <c r="K269" i="1"/>
  <c r="K270" i="1"/>
  <c r="K271" i="1"/>
  <c r="AG271" i="1"/>
  <c r="AH271" i="1"/>
  <c r="K272" i="1"/>
  <c r="K273" i="1"/>
  <c r="AG273" i="1"/>
  <c r="AH273" i="1"/>
  <c r="K274" i="1"/>
  <c r="AG274" i="1"/>
  <c r="AH274" i="1"/>
  <c r="K275" i="1"/>
  <c r="AG276" i="1"/>
  <c r="AH276" i="1"/>
  <c r="AG277" i="1"/>
  <c r="AH277" i="1"/>
  <c r="AG278" i="1"/>
  <c r="AH278" i="1"/>
  <c r="K279" i="1"/>
  <c r="AG279" i="1"/>
  <c r="AH279" i="1"/>
  <c r="K280" i="1"/>
  <c r="AG280" i="1"/>
  <c r="AH280" i="1"/>
  <c r="K281" i="1"/>
  <c r="AF281" i="1"/>
  <c r="K282" i="1"/>
  <c r="K283" i="1"/>
  <c r="AG283" i="1"/>
  <c r="AH283" i="1"/>
  <c r="K284" i="1"/>
  <c r="AG284" i="1"/>
  <c r="AH284" i="1"/>
  <c r="K285" i="1"/>
  <c r="AG285" i="1"/>
  <c r="AH285" i="1"/>
  <c r="K286" i="1"/>
  <c r="AG286" i="1"/>
  <c r="AH286" i="1"/>
  <c r="K287" i="1"/>
  <c r="AG287" i="1"/>
  <c r="AH287" i="1"/>
  <c r="AG288" i="1"/>
  <c r="AH288" i="1"/>
  <c r="K289" i="1"/>
  <c r="AG289" i="1"/>
  <c r="AH289" i="1"/>
  <c r="AG290" i="1"/>
  <c r="AH290" i="1"/>
  <c r="K291" i="1"/>
  <c r="K292" i="1"/>
  <c r="AF292" i="1"/>
  <c r="K293" i="1"/>
  <c r="AG293" i="1"/>
  <c r="AH293" i="1"/>
  <c r="K294" i="1"/>
  <c r="L294" i="1"/>
  <c r="M294" i="1"/>
  <c r="N294" i="1"/>
  <c r="O294" i="1"/>
  <c r="K295" i="1"/>
  <c r="AG295" i="1"/>
  <c r="AH295" i="1"/>
  <c r="AK295" i="1"/>
  <c r="K296" i="1"/>
  <c r="AG296" i="1"/>
  <c r="AH296" i="1"/>
  <c r="AK296" i="1"/>
  <c r="K297" i="1"/>
  <c r="AG297" i="1"/>
  <c r="AH297" i="1"/>
  <c r="AK297" i="1"/>
  <c r="K298" i="1"/>
  <c r="AG298" i="1"/>
  <c r="AH298" i="1"/>
  <c r="AI298" i="1"/>
  <c r="AK298" i="1"/>
  <c r="K299" i="1"/>
  <c r="L299" i="1"/>
  <c r="K300" i="1"/>
  <c r="AG300" i="1"/>
  <c r="AH300" i="1"/>
  <c r="AK300" i="1"/>
  <c r="AG301" i="1"/>
  <c r="AH301" i="1"/>
  <c r="AK301" i="1"/>
  <c r="E302" i="1"/>
  <c r="K302" i="1"/>
  <c r="AG302" i="1"/>
  <c r="AH302" i="1"/>
  <c r="AK302" i="1"/>
  <c r="K303" i="1"/>
  <c r="AG303" i="1"/>
  <c r="AH303" i="1"/>
  <c r="AG304" i="1"/>
  <c r="AH304" i="1"/>
  <c r="AK304" i="1"/>
  <c r="AG305" i="1"/>
  <c r="AH305" i="1"/>
  <c r="AK305" i="1"/>
  <c r="K306" i="1"/>
  <c r="L306" i="1"/>
  <c r="M306" i="1"/>
  <c r="N306" i="1"/>
  <c r="O306" i="1"/>
  <c r="P306" i="1"/>
  <c r="K307" i="1"/>
  <c r="AG307" i="1"/>
  <c r="AH307" i="1"/>
  <c r="AK307" i="1"/>
  <c r="K308" i="1"/>
  <c r="AG308" i="1"/>
  <c r="AH308" i="1"/>
  <c r="AI308" i="1"/>
  <c r="AK308" i="1"/>
  <c r="E309" i="1"/>
  <c r="K309" i="1"/>
  <c r="L309" i="1"/>
  <c r="M309" i="1"/>
  <c r="N309" i="1"/>
  <c r="AG309" i="1"/>
  <c r="AH309" i="1"/>
  <c r="AK309" i="1"/>
  <c r="K310" i="1"/>
  <c r="L310" i="1"/>
  <c r="AG310" i="1"/>
  <c r="AH310" i="1"/>
  <c r="AK310" i="1"/>
  <c r="K311" i="1"/>
  <c r="AG311" i="1"/>
  <c r="AH311" i="1"/>
  <c r="AK311" i="1"/>
  <c r="K312" i="1"/>
  <c r="AG312" i="1"/>
  <c r="AH312" i="1"/>
  <c r="AK312" i="1"/>
  <c r="K313" i="1"/>
  <c r="AG313" i="1"/>
  <c r="AH313" i="1"/>
  <c r="AK313" i="1"/>
  <c r="K314" i="1"/>
  <c r="AG314" i="1"/>
  <c r="AH314" i="1"/>
  <c r="AK314" i="1"/>
  <c r="K315" i="1"/>
  <c r="AG315" i="1"/>
  <c r="AH315" i="1"/>
  <c r="AK315" i="1"/>
  <c r="K316" i="1"/>
  <c r="AG316" i="1"/>
  <c r="AH316" i="1"/>
  <c r="AK316" i="1"/>
  <c r="K317" i="1"/>
  <c r="AG317" i="1"/>
  <c r="AH317" i="1"/>
  <c r="AK317" i="1"/>
  <c r="K318" i="1"/>
  <c r="AG318" i="1"/>
  <c r="AH318" i="1"/>
  <c r="AK318" i="1"/>
  <c r="AG319" i="1"/>
  <c r="AH319" i="1"/>
  <c r="AK319" i="1"/>
  <c r="K320" i="1"/>
  <c r="AG320" i="1"/>
  <c r="AH320" i="1"/>
  <c r="AI320" i="1"/>
  <c r="AK320" i="1"/>
  <c r="AG321" i="1"/>
  <c r="AH321" i="1"/>
  <c r="AK321" i="1"/>
  <c r="K322" i="1"/>
  <c r="AG322" i="1"/>
  <c r="AH322" i="1"/>
  <c r="AI322" i="1"/>
  <c r="AK322" i="1"/>
  <c r="AG323" i="1"/>
  <c r="AH323" i="1"/>
  <c r="AK323" i="1"/>
  <c r="K324" i="1"/>
  <c r="AG324" i="1"/>
  <c r="AH324" i="1"/>
  <c r="AK324" i="1"/>
  <c r="K325" i="1"/>
  <c r="AG325" i="1"/>
  <c r="AH325" i="1"/>
  <c r="AK325" i="1"/>
  <c r="AG326" i="1"/>
  <c r="AH326" i="1"/>
  <c r="AK326" i="1"/>
  <c r="AG327" i="1"/>
  <c r="AH327" i="1"/>
  <c r="AK327" i="1"/>
  <c r="AG328" i="1"/>
  <c r="AH328" i="1"/>
  <c r="AK328" i="1"/>
  <c r="K329" i="1"/>
  <c r="AG329" i="1"/>
  <c r="AH329" i="1"/>
  <c r="AK329" i="1"/>
  <c r="K330" i="1"/>
  <c r="AG330" i="1"/>
  <c r="AH330" i="1"/>
  <c r="AI330" i="1"/>
  <c r="AK330" i="1"/>
  <c r="K331" i="1"/>
  <c r="AG331" i="1"/>
  <c r="AH331" i="1"/>
  <c r="AI331" i="1"/>
  <c r="AK331" i="1"/>
  <c r="K332" i="1"/>
  <c r="AG332" i="1"/>
  <c r="AH332" i="1"/>
  <c r="AG333" i="1"/>
  <c r="AH333" i="1"/>
  <c r="K334" i="1"/>
  <c r="K335" i="1"/>
  <c r="AG335" i="1"/>
  <c r="AH335" i="1"/>
  <c r="AK335" i="1"/>
  <c r="AG336" i="1"/>
  <c r="AH336" i="1"/>
  <c r="K337" i="1"/>
  <c r="AG338" i="1"/>
  <c r="AH338" i="1"/>
  <c r="AI338" i="1"/>
  <c r="AK338" i="1"/>
  <c r="AG339" i="1"/>
  <c r="AH339" i="1"/>
  <c r="AK339" i="1"/>
  <c r="AG340" i="1"/>
  <c r="AH340" i="1"/>
  <c r="AK340" i="1"/>
  <c r="AG341" i="1"/>
  <c r="AH341" i="1"/>
  <c r="AK341" i="1"/>
  <c r="AG342" i="1"/>
  <c r="AH342" i="1"/>
  <c r="AK342" i="1"/>
  <c r="AG343" i="1"/>
  <c r="AH343" i="1"/>
  <c r="AK343" i="1"/>
  <c r="AG344" i="1"/>
  <c r="AH344" i="1"/>
  <c r="AK344" i="1"/>
  <c r="K345" i="1"/>
  <c r="AG345" i="1"/>
  <c r="AH345" i="1"/>
  <c r="K347" i="1"/>
  <c r="AG347" i="1"/>
  <c r="AH347" i="1"/>
  <c r="K348" i="1"/>
  <c r="K350" i="1"/>
  <c r="L350" i="1"/>
  <c r="M350" i="1"/>
  <c r="N350" i="1"/>
  <c r="K351" i="1"/>
  <c r="AG351" i="1"/>
  <c r="AH351" i="1"/>
  <c r="AK351" i="1"/>
  <c r="K352" i="1"/>
  <c r="AG352" i="1"/>
  <c r="AH352" i="1"/>
  <c r="AK352" i="1"/>
  <c r="AG353" i="1"/>
  <c r="AH353" i="1"/>
  <c r="AK353" i="1"/>
  <c r="AG354" i="1"/>
  <c r="AH354" i="1"/>
  <c r="AK354" i="1"/>
  <c r="K355" i="1"/>
  <c r="AG355" i="1"/>
  <c r="AH355" i="1"/>
  <c r="AK355" i="1"/>
  <c r="K356" i="1"/>
  <c r="AG356" i="1"/>
  <c r="AH356" i="1"/>
  <c r="AK356" i="1"/>
  <c r="K357" i="1"/>
  <c r="AG357" i="1"/>
  <c r="AH357" i="1"/>
  <c r="AK357" i="1"/>
  <c r="K358" i="1"/>
  <c r="AG358" i="1"/>
  <c r="AH358" i="1"/>
  <c r="K360" i="1"/>
  <c r="K361" i="1"/>
  <c r="K363" i="1"/>
  <c r="K364" i="1"/>
  <c r="K365" i="1"/>
  <c r="K366" i="1"/>
  <c r="AG366" i="1"/>
  <c r="AH366" i="1"/>
  <c r="K367" i="1"/>
  <c r="K368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AG370" i="1"/>
  <c r="AH370" i="1"/>
  <c r="AK370" i="1"/>
  <c r="AG371" i="1"/>
  <c r="AH371" i="1"/>
  <c r="AK371" i="1"/>
  <c r="K372" i="1"/>
  <c r="L372" i="1"/>
  <c r="AG373" i="1"/>
  <c r="AH373" i="1"/>
  <c r="AK373" i="1"/>
  <c r="AG374" i="1"/>
  <c r="AH374" i="1"/>
  <c r="AK374" i="1"/>
  <c r="AG375" i="1"/>
  <c r="AH375" i="1"/>
  <c r="AK375" i="1"/>
  <c r="AG376" i="1"/>
  <c r="AH376" i="1"/>
  <c r="AK376" i="1"/>
  <c r="K377" i="1"/>
  <c r="L377" i="1"/>
  <c r="K378" i="1"/>
  <c r="L378" i="1"/>
  <c r="M378" i="1"/>
  <c r="N378" i="1"/>
  <c r="O378" i="1"/>
  <c r="AG378" i="1"/>
  <c r="AH378" i="1"/>
  <c r="AK378" i="1"/>
  <c r="AG379" i="1"/>
  <c r="AH379" i="1"/>
  <c r="AK379" i="1"/>
  <c r="K380" i="1"/>
  <c r="L380" i="1"/>
  <c r="M380" i="1"/>
  <c r="N380" i="1"/>
  <c r="AG380" i="1"/>
  <c r="AH380" i="1"/>
  <c r="AK380" i="1"/>
  <c r="AG381" i="1"/>
  <c r="AH381" i="1"/>
  <c r="AK381" i="1"/>
  <c r="AG382" i="1"/>
  <c r="AH382" i="1"/>
  <c r="AK382" i="1"/>
  <c r="AG383" i="1"/>
  <c r="AH383" i="1"/>
  <c r="AK383" i="1"/>
  <c r="K384" i="1"/>
  <c r="AG384" i="1"/>
  <c r="AH384" i="1"/>
  <c r="K385" i="1"/>
  <c r="AG385" i="1"/>
  <c r="AH385" i="1"/>
  <c r="K387" i="1"/>
  <c r="AG387" i="1"/>
  <c r="AH387" i="1"/>
  <c r="K388" i="1"/>
  <c r="L388" i="1"/>
  <c r="M388" i="1"/>
  <c r="N388" i="1"/>
  <c r="AG388" i="1"/>
  <c r="AH388" i="1"/>
  <c r="AK388" i="1"/>
  <c r="K389" i="1"/>
  <c r="AG389" i="1"/>
  <c r="AH389" i="1"/>
  <c r="AK389" i="1"/>
  <c r="E390" i="1"/>
  <c r="K390" i="1"/>
  <c r="L390" i="1"/>
  <c r="M390" i="1"/>
  <c r="N390" i="1"/>
  <c r="O390" i="1"/>
  <c r="P390" i="1"/>
  <c r="Q390" i="1"/>
  <c r="R390" i="1"/>
  <c r="S390" i="1"/>
  <c r="T390" i="1"/>
  <c r="U390" i="1"/>
  <c r="AG390" i="1"/>
  <c r="AH390" i="1"/>
  <c r="AI390" i="1"/>
  <c r="AK390" i="1"/>
  <c r="AG391" i="1"/>
  <c r="AH391" i="1"/>
  <c r="AK391" i="1"/>
  <c r="AG392" i="1"/>
  <c r="AH392" i="1"/>
  <c r="AK392" i="1"/>
  <c r="K393" i="1"/>
  <c r="AG393" i="1"/>
  <c r="AH393" i="1"/>
  <c r="AK393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F394" i="1"/>
  <c r="AG394" i="1"/>
  <c r="AH394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G395" i="1"/>
  <c r="AH395" i="1"/>
  <c r="AG396" i="1"/>
  <c r="AH396" i="1"/>
  <c r="AK396" i="1"/>
  <c r="K397" i="1"/>
  <c r="AG397" i="1"/>
  <c r="AH397" i="1"/>
  <c r="AK397" i="1"/>
  <c r="K398" i="1"/>
  <c r="AG398" i="1"/>
  <c r="AH398" i="1"/>
  <c r="AI398" i="1"/>
  <c r="AK398" i="1"/>
  <c r="K399" i="1"/>
  <c r="AG399" i="1"/>
  <c r="AH399" i="1"/>
  <c r="AK399" i="1"/>
  <c r="K400" i="1"/>
  <c r="AG400" i="1"/>
  <c r="AH400" i="1"/>
  <c r="AK400" i="1"/>
  <c r="K401" i="1"/>
  <c r="AG401" i="1"/>
  <c r="AH401" i="1"/>
  <c r="AK401" i="1"/>
  <c r="K402" i="1"/>
  <c r="L402" i="1"/>
  <c r="M402" i="1"/>
  <c r="N402" i="1"/>
  <c r="O402" i="1"/>
  <c r="P402" i="1"/>
  <c r="Q402" i="1"/>
  <c r="R402" i="1"/>
  <c r="S402" i="1"/>
  <c r="AG403" i="1"/>
  <c r="AH403" i="1"/>
  <c r="AK403" i="1"/>
  <c r="K404" i="1"/>
  <c r="AG404" i="1"/>
  <c r="AH404" i="1"/>
  <c r="AK404" i="1"/>
  <c r="K405" i="1"/>
  <c r="AG405" i="1"/>
  <c r="AH405" i="1"/>
  <c r="AK405" i="1"/>
  <c r="AG406" i="1"/>
  <c r="AH406" i="1"/>
  <c r="AK406" i="1"/>
  <c r="K407" i="1"/>
  <c r="AG407" i="1"/>
  <c r="AH407" i="1"/>
  <c r="AK407" i="1"/>
  <c r="K408" i="1"/>
  <c r="AG408" i="1"/>
  <c r="AH408" i="1"/>
  <c r="AI408" i="1"/>
  <c r="AK408" i="1"/>
  <c r="K409" i="1"/>
  <c r="AG409" i="1"/>
  <c r="AH409" i="1"/>
  <c r="AK409" i="1"/>
  <c r="K410" i="1"/>
  <c r="L410" i="1"/>
  <c r="M410" i="1"/>
  <c r="N410" i="1"/>
  <c r="O410" i="1"/>
  <c r="P410" i="1"/>
  <c r="AG411" i="1"/>
  <c r="AK411" i="1"/>
  <c r="K412" i="1"/>
  <c r="AG412" i="1"/>
  <c r="AH412" i="1"/>
  <c r="AI412" i="1"/>
  <c r="AK412" i="1"/>
  <c r="AG413" i="1"/>
  <c r="AH413" i="1"/>
  <c r="AK413" i="1"/>
  <c r="AG414" i="1"/>
  <c r="AH414" i="1"/>
  <c r="AK414" i="1"/>
  <c r="K415" i="1"/>
  <c r="AG415" i="1"/>
  <c r="AH415" i="1"/>
  <c r="AK415" i="1"/>
  <c r="K416" i="1"/>
  <c r="L416" i="1"/>
  <c r="AG416" i="1"/>
  <c r="AH416" i="1"/>
  <c r="AI416" i="1"/>
  <c r="AK416" i="1"/>
  <c r="K417" i="1"/>
  <c r="L417" i="1"/>
  <c r="AG417" i="1"/>
  <c r="AH417" i="1"/>
  <c r="AI417" i="1"/>
  <c r="AK417" i="1"/>
  <c r="K418" i="1"/>
  <c r="AG418" i="1"/>
  <c r="AH418" i="1"/>
  <c r="AK418" i="1"/>
  <c r="AG419" i="1"/>
  <c r="AH419" i="1"/>
  <c r="AI419" i="1"/>
  <c r="AK419" i="1"/>
  <c r="AG420" i="1"/>
  <c r="AH420" i="1"/>
  <c r="AK420" i="1"/>
  <c r="AG421" i="1"/>
  <c r="AH421" i="1"/>
  <c r="AK421" i="1"/>
  <c r="K422" i="1"/>
  <c r="L422" i="1"/>
  <c r="AG423" i="1"/>
  <c r="AH423" i="1"/>
  <c r="AK423" i="1"/>
  <c r="K424" i="1"/>
  <c r="AG424" i="1"/>
  <c r="AH424" i="1"/>
  <c r="AK424" i="1"/>
  <c r="AG425" i="1"/>
  <c r="AH425" i="1"/>
  <c r="AK425" i="1"/>
  <c r="K426" i="1"/>
  <c r="AG426" i="1"/>
  <c r="AH426" i="1"/>
  <c r="AK426" i="1"/>
  <c r="AG427" i="1"/>
  <c r="AH427" i="1"/>
  <c r="AK427" i="1"/>
  <c r="K428" i="1"/>
  <c r="L428" i="1"/>
  <c r="M428" i="1"/>
  <c r="N428" i="1"/>
  <c r="O428" i="1"/>
  <c r="P428" i="1"/>
  <c r="Q428" i="1"/>
  <c r="R428" i="1"/>
  <c r="S428" i="1"/>
  <c r="T428" i="1"/>
  <c r="U428" i="1"/>
  <c r="AG428" i="1"/>
  <c r="AH428" i="1"/>
  <c r="AK428" i="1"/>
  <c r="K429" i="1"/>
  <c r="AG429" i="1"/>
  <c r="AH429" i="1"/>
  <c r="AI429" i="1"/>
  <c r="AK429" i="1"/>
  <c r="K430" i="1"/>
  <c r="AG430" i="1"/>
  <c r="AH430" i="1"/>
  <c r="AI430" i="1"/>
  <c r="AK430" i="1"/>
  <c r="K431" i="1"/>
  <c r="AG431" i="1"/>
  <c r="AH431" i="1"/>
  <c r="AI431" i="1"/>
  <c r="AK431" i="1"/>
  <c r="K432" i="1"/>
  <c r="L432" i="1"/>
  <c r="M432" i="1"/>
  <c r="AG432" i="1"/>
  <c r="AH432" i="1"/>
  <c r="AI432" i="1"/>
  <c r="AK432" i="1"/>
  <c r="AG433" i="1"/>
  <c r="AH433" i="1"/>
  <c r="AK433" i="1"/>
  <c r="K434" i="1"/>
  <c r="AG434" i="1"/>
  <c r="AH434" i="1"/>
  <c r="AI434" i="1"/>
  <c r="AK434" i="1"/>
  <c r="AG435" i="1"/>
  <c r="AH435" i="1"/>
  <c r="AK435" i="1"/>
  <c r="K436" i="1"/>
  <c r="K437" i="1"/>
  <c r="AG437" i="1"/>
  <c r="AH437" i="1"/>
  <c r="K438" i="1"/>
  <c r="AG438" i="1"/>
  <c r="AH438" i="1"/>
  <c r="AD439" i="1"/>
  <c r="AD440" i="1"/>
  <c r="AD441" i="1"/>
  <c r="K442" i="1"/>
  <c r="L442" i="1"/>
  <c r="M442" i="1"/>
  <c r="N442" i="1"/>
  <c r="AG442" i="1"/>
  <c r="AH442" i="1"/>
  <c r="K443" i="1"/>
  <c r="K444" i="1"/>
  <c r="AF444" i="1"/>
  <c r="AF445" i="1"/>
  <c r="K446" i="1"/>
  <c r="L446" i="1"/>
  <c r="K447" i="1"/>
  <c r="L447" i="1"/>
  <c r="K448" i="1"/>
  <c r="AD449" i="1"/>
  <c r="K451" i="1"/>
  <c r="AF451" i="1"/>
  <c r="K452" i="1"/>
  <c r="L452" i="1"/>
  <c r="M452" i="1"/>
  <c r="K453" i="1"/>
  <c r="E454" i="1"/>
  <c r="K454" i="1"/>
  <c r="L454" i="1"/>
  <c r="M454" i="1"/>
  <c r="AF454" i="1"/>
  <c r="K456" i="1"/>
  <c r="AF456" i="1"/>
  <c r="K457" i="1"/>
  <c r="K458" i="1"/>
  <c r="K459" i="1"/>
  <c r="L459" i="1"/>
  <c r="M459" i="1"/>
  <c r="N459" i="1"/>
  <c r="O459" i="1"/>
  <c r="K460" i="1"/>
  <c r="L460" i="1"/>
  <c r="K461" i="1"/>
  <c r="L461" i="1"/>
  <c r="M461" i="1"/>
  <c r="K462" i="1"/>
  <c r="K463" i="1"/>
  <c r="L463" i="1"/>
  <c r="K464" i="1"/>
  <c r="K465" i="1"/>
  <c r="AF466" i="1"/>
  <c r="K467" i="1"/>
  <c r="L467" i="1"/>
  <c r="M467" i="1"/>
  <c r="N467" i="1"/>
  <c r="AF467" i="1"/>
  <c r="K468" i="1"/>
  <c r="L468" i="1"/>
  <c r="M468" i="1"/>
  <c r="AG468" i="1"/>
  <c r="AH468" i="1"/>
  <c r="K470" i="1"/>
  <c r="K471" i="1"/>
  <c r="L471" i="1"/>
  <c r="K472" i="1"/>
  <c r="L472" i="1"/>
  <c r="M472" i="1"/>
  <c r="N472" i="1"/>
  <c r="O472" i="1"/>
  <c r="P472" i="1"/>
  <c r="Q472" i="1"/>
  <c r="R472" i="1"/>
  <c r="S472" i="1"/>
  <c r="AF472" i="1"/>
  <c r="K473" i="1"/>
  <c r="AF473" i="1"/>
  <c r="K474" i="1"/>
  <c r="L474" i="1"/>
  <c r="M474" i="1"/>
  <c r="N474" i="1"/>
  <c r="O474" i="1"/>
  <c r="P474" i="1"/>
  <c r="Q474" i="1"/>
  <c r="R474" i="1"/>
  <c r="S474" i="1"/>
  <c r="T474" i="1"/>
  <c r="AF474" i="1"/>
  <c r="K475" i="1"/>
  <c r="L475" i="1"/>
  <c r="M475" i="1"/>
  <c r="K476" i="1"/>
  <c r="K477" i="1"/>
  <c r="K478" i="1"/>
  <c r="AG478" i="1"/>
  <c r="AH478" i="1"/>
  <c r="AI478" i="1"/>
  <c r="AK478" i="1"/>
  <c r="AG479" i="1"/>
  <c r="AH479" i="1"/>
  <c r="AI479" i="1"/>
  <c r="AK479" i="1"/>
  <c r="AG480" i="1"/>
  <c r="AH480" i="1"/>
  <c r="AK480" i="1"/>
  <c r="K481" i="1"/>
  <c r="AG481" i="1"/>
  <c r="AH481" i="1"/>
  <c r="AI481" i="1"/>
  <c r="AK481" i="1"/>
  <c r="K482" i="1"/>
  <c r="AG482" i="1"/>
  <c r="AH482" i="1"/>
  <c r="K484" i="1"/>
  <c r="AG484" i="1"/>
  <c r="AH484" i="1"/>
  <c r="K485" i="1"/>
  <c r="L485" i="1"/>
  <c r="M485" i="1"/>
  <c r="N485" i="1"/>
  <c r="AG485" i="1"/>
  <c r="AH485" i="1"/>
  <c r="K486" i="1"/>
  <c r="K487" i="1"/>
  <c r="E488" i="1"/>
  <c r="F488" i="1"/>
  <c r="K489" i="1"/>
  <c r="K490" i="1"/>
  <c r="L490" i="1"/>
  <c r="M490" i="1"/>
  <c r="AG490" i="1"/>
  <c r="AH490" i="1"/>
  <c r="AK490" i="1"/>
  <c r="E491" i="1"/>
  <c r="K491" i="1"/>
  <c r="AF491" i="1"/>
  <c r="K492" i="1"/>
  <c r="AG492" i="1"/>
  <c r="AH492" i="1"/>
  <c r="E493" i="1"/>
  <c r="K493" i="1"/>
  <c r="AG493" i="1"/>
  <c r="AH493" i="1"/>
  <c r="AI493" i="1"/>
  <c r="E494" i="1"/>
  <c r="F494" i="1"/>
  <c r="G494" i="1"/>
  <c r="K494" i="1"/>
  <c r="AG494" i="1"/>
  <c r="AH494" i="1"/>
  <c r="K495" i="1"/>
  <c r="AG495" i="1"/>
  <c r="AH495" i="1"/>
  <c r="K496" i="1"/>
  <c r="AG496" i="1"/>
  <c r="AH496" i="1"/>
  <c r="K497" i="1"/>
  <c r="AG497" i="1"/>
  <c r="AH497" i="1"/>
  <c r="K498" i="1"/>
  <c r="K501" i="1"/>
  <c r="K503" i="1"/>
  <c r="K504" i="1"/>
  <c r="K506" i="1"/>
  <c r="K507" i="1"/>
  <c r="L507" i="1"/>
  <c r="M507" i="1"/>
  <c r="AG507" i="1"/>
  <c r="AH507" i="1"/>
  <c r="K508" i="1"/>
  <c r="K509" i="1"/>
  <c r="AF509" i="1"/>
  <c r="AG509" i="1"/>
  <c r="AH509" i="1"/>
  <c r="K510" i="1"/>
  <c r="K511" i="1"/>
  <c r="AG511" i="1"/>
  <c r="AH511" i="1"/>
  <c r="AI511" i="1"/>
  <c r="AG512" i="1"/>
  <c r="AH512" i="1"/>
  <c r="AI512" i="1"/>
  <c r="AK512" i="1"/>
  <c r="E513" i="1"/>
  <c r="F513" i="1"/>
  <c r="G513" i="1"/>
  <c r="AG513" i="1"/>
  <c r="AH513" i="1"/>
  <c r="K514" i="1"/>
  <c r="L514" i="1"/>
  <c r="K516" i="1"/>
  <c r="AG516" i="1"/>
  <c r="AH516" i="1"/>
  <c r="E517" i="1"/>
  <c r="F517" i="1"/>
  <c r="G517" i="1"/>
  <c r="K517" i="1"/>
  <c r="K518" i="1"/>
  <c r="K520" i="1"/>
  <c r="K522" i="1"/>
  <c r="K524" i="1"/>
  <c r="K525" i="1"/>
  <c r="K527" i="1"/>
  <c r="E528" i="1"/>
  <c r="K528" i="1"/>
  <c r="AG528" i="1"/>
  <c r="AH528" i="1"/>
  <c r="K529" i="1"/>
  <c r="AG529" i="1"/>
  <c r="AH529" i="1"/>
  <c r="AK529" i="1"/>
  <c r="K530" i="1"/>
  <c r="AG530" i="1"/>
  <c r="AH530" i="1"/>
  <c r="AK530" i="1"/>
  <c r="K531" i="1"/>
  <c r="AG531" i="1"/>
  <c r="AH531" i="1"/>
  <c r="AK531" i="1"/>
  <c r="K532" i="1"/>
  <c r="AG532" i="1"/>
  <c r="AH532" i="1"/>
  <c r="AI532" i="1"/>
  <c r="AK532" i="1"/>
  <c r="AG533" i="1"/>
  <c r="AH533" i="1"/>
  <c r="AK533" i="1"/>
  <c r="K534" i="1"/>
  <c r="AG534" i="1"/>
  <c r="AH534" i="1"/>
  <c r="AI534" i="1"/>
  <c r="AK534" i="1"/>
  <c r="K535" i="1"/>
  <c r="AG535" i="1"/>
  <c r="AH535" i="1"/>
  <c r="AK535" i="1"/>
  <c r="K536" i="1"/>
  <c r="AG536" i="1"/>
  <c r="AH536" i="1"/>
  <c r="AK536" i="1"/>
  <c r="AG537" i="1"/>
  <c r="AH537" i="1"/>
  <c r="K538" i="1"/>
  <c r="AG538" i="1"/>
  <c r="AH538" i="1"/>
  <c r="AI538" i="1"/>
  <c r="AK538" i="1"/>
  <c r="K539" i="1"/>
  <c r="AG539" i="1"/>
  <c r="AH539" i="1"/>
  <c r="AK539" i="1"/>
  <c r="K540" i="1"/>
  <c r="AG540" i="1"/>
  <c r="AH540" i="1"/>
  <c r="AK540" i="1"/>
  <c r="K541" i="1"/>
  <c r="K544" i="1"/>
  <c r="AG544" i="1"/>
  <c r="AH544" i="1"/>
  <c r="AK544" i="1"/>
  <c r="K545" i="1"/>
  <c r="AG545" i="1"/>
  <c r="AH545" i="1"/>
  <c r="K546" i="1"/>
  <c r="AG546" i="1"/>
  <c r="AH546" i="1"/>
  <c r="K547" i="1"/>
  <c r="AG547" i="1"/>
  <c r="AH547" i="1"/>
  <c r="K548" i="1"/>
  <c r="K549" i="1"/>
  <c r="L549" i="1"/>
  <c r="AG549" i="1"/>
  <c r="AH549" i="1"/>
  <c r="K550" i="1"/>
  <c r="AG550" i="1"/>
  <c r="AH550" i="1"/>
  <c r="K551" i="1"/>
  <c r="AG551" i="1"/>
  <c r="AH551" i="1"/>
  <c r="K552" i="1"/>
  <c r="AG552" i="1"/>
  <c r="AH552" i="1"/>
  <c r="E553" i="1"/>
  <c r="K553" i="1"/>
  <c r="L553" i="1"/>
  <c r="M553" i="1"/>
  <c r="N553" i="1"/>
  <c r="O553" i="1"/>
  <c r="P553" i="1"/>
  <c r="Q553" i="1"/>
  <c r="R553" i="1"/>
  <c r="S553" i="1"/>
  <c r="AG553" i="1"/>
  <c r="AH553" i="1"/>
  <c r="K555" i="1"/>
  <c r="K557" i="1"/>
  <c r="AG557" i="1"/>
  <c r="AH557" i="1"/>
  <c r="K558" i="1"/>
  <c r="AG558" i="1"/>
  <c r="AH558" i="1"/>
  <c r="K559" i="1"/>
  <c r="AG559" i="1"/>
  <c r="AH559" i="1"/>
  <c r="K560" i="1"/>
  <c r="K561" i="1"/>
  <c r="AG562" i="1"/>
  <c r="AH562" i="1"/>
  <c r="AK562" i="1"/>
  <c r="K564" i="1"/>
  <c r="AF564" i="1"/>
  <c r="AG564" i="1"/>
  <c r="AH564" i="1"/>
  <c r="K565" i="1"/>
  <c r="AG565" i="1"/>
  <c r="AH565" i="1"/>
  <c r="K566" i="1"/>
  <c r="AG566" i="1"/>
  <c r="AH566" i="1"/>
  <c r="K567" i="1"/>
  <c r="AG567" i="1"/>
  <c r="AH567" i="1"/>
  <c r="K568" i="1"/>
  <c r="K569" i="1"/>
  <c r="K570" i="1"/>
  <c r="L570" i="1"/>
  <c r="K571" i="1"/>
  <c r="K572" i="1"/>
  <c r="K574" i="1"/>
  <c r="K575" i="1"/>
  <c r="E577" i="1"/>
  <c r="F577" i="1"/>
  <c r="K577" i="1"/>
  <c r="L577" i="1"/>
  <c r="M577" i="1"/>
  <c r="N577" i="1"/>
  <c r="O577" i="1"/>
  <c r="P577" i="1"/>
  <c r="AG577" i="1"/>
  <c r="AH577" i="1"/>
  <c r="AK577" i="1"/>
  <c r="K578" i="1"/>
  <c r="K579" i="1"/>
  <c r="AG579" i="1"/>
  <c r="AH579" i="1"/>
  <c r="K580" i="1"/>
  <c r="K581" i="1"/>
  <c r="AG581" i="1"/>
  <c r="AH581" i="1"/>
  <c r="K582" i="1"/>
  <c r="AG582" i="1"/>
  <c r="AH582" i="1"/>
  <c r="K584" i="1"/>
  <c r="AG584" i="1"/>
  <c r="AH584" i="1"/>
  <c r="K585" i="1"/>
  <c r="K586" i="1"/>
  <c r="AG586" i="1"/>
  <c r="AH586" i="1"/>
  <c r="K587" i="1"/>
  <c r="K588" i="1"/>
  <c r="AG588" i="1"/>
  <c r="AH588" i="1"/>
  <c r="K589" i="1"/>
  <c r="AF589" i="1"/>
  <c r="AG589" i="1"/>
  <c r="AH589" i="1"/>
  <c r="K590" i="1"/>
  <c r="K591" i="1"/>
  <c r="K592" i="1"/>
  <c r="K593" i="1"/>
  <c r="K594" i="1"/>
  <c r="K595" i="1"/>
  <c r="K596" i="1"/>
  <c r="AG596" i="1"/>
  <c r="AH596" i="1"/>
  <c r="K597" i="1"/>
  <c r="K598" i="1"/>
  <c r="K599" i="1"/>
  <c r="K600" i="1"/>
  <c r="K601" i="1"/>
  <c r="K603" i="1"/>
  <c r="L603" i="1"/>
  <c r="K605" i="1"/>
  <c r="AD606" i="1"/>
  <c r="AE606" i="1"/>
  <c r="AF606" i="1"/>
  <c r="K607" i="1"/>
  <c r="L607" i="1"/>
  <c r="M607" i="1"/>
  <c r="K608" i="1"/>
  <c r="K609" i="1"/>
  <c r="K612" i="1"/>
  <c r="K613" i="1"/>
  <c r="AG614" i="1"/>
  <c r="AH614" i="1"/>
  <c r="AI614" i="1"/>
  <c r="AK614" i="1"/>
  <c r="AG615" i="1"/>
  <c r="AH615" i="1"/>
  <c r="K616" i="1"/>
  <c r="K617" i="1"/>
  <c r="K618" i="1"/>
  <c r="K619" i="1"/>
  <c r="AG619" i="1"/>
  <c r="AH619" i="1"/>
  <c r="K620" i="1"/>
  <c r="AG620" i="1"/>
  <c r="AH620" i="1"/>
  <c r="K621" i="1"/>
  <c r="AG621" i="1"/>
  <c r="AH621" i="1"/>
  <c r="K622" i="1"/>
  <c r="AG622" i="1"/>
  <c r="AH622" i="1"/>
  <c r="K623" i="1"/>
  <c r="AG623" i="1"/>
  <c r="AH623" i="1"/>
  <c r="K624" i="1"/>
  <c r="AG624" i="1"/>
  <c r="AH624" i="1"/>
  <c r="AI624" i="1"/>
  <c r="AK624" i="1"/>
  <c r="K625" i="1"/>
  <c r="AG625" i="1"/>
  <c r="AH625" i="1"/>
  <c r="AK625" i="1"/>
  <c r="K626" i="1"/>
  <c r="AG626" i="1"/>
  <c r="AH626" i="1"/>
  <c r="AI626" i="1"/>
  <c r="AK626" i="1"/>
  <c r="AG627" i="1"/>
  <c r="AH627" i="1"/>
  <c r="K628" i="1"/>
  <c r="AG628" i="1"/>
  <c r="AH628" i="1"/>
  <c r="AI628" i="1"/>
  <c r="AK628" i="1"/>
  <c r="K629" i="1"/>
  <c r="AF629" i="1"/>
  <c r="AG629" i="1"/>
  <c r="AH629" i="1"/>
  <c r="K630" i="1"/>
  <c r="AG630" i="1"/>
  <c r="AH630" i="1"/>
  <c r="K631" i="1"/>
  <c r="AG631" i="1"/>
  <c r="AH631" i="1"/>
  <c r="K632" i="1"/>
  <c r="K633" i="1"/>
  <c r="AG633" i="1"/>
  <c r="AH633" i="1"/>
  <c r="K634" i="1"/>
  <c r="K635" i="1"/>
  <c r="AG635" i="1"/>
  <c r="AH635" i="1"/>
  <c r="AI635" i="1"/>
  <c r="AK635" i="1"/>
  <c r="K636" i="1"/>
  <c r="AG636" i="1"/>
  <c r="AH636" i="1"/>
  <c r="AK636" i="1"/>
  <c r="AD637" i="1"/>
  <c r="K638" i="1"/>
  <c r="AG638" i="1"/>
  <c r="AH638" i="1"/>
  <c r="AK638" i="1"/>
  <c r="K639" i="1"/>
  <c r="AG639" i="1"/>
  <c r="AH639" i="1"/>
  <c r="AK639" i="1"/>
  <c r="K640" i="1"/>
  <c r="AG640" i="1"/>
  <c r="AH640" i="1"/>
  <c r="AI640" i="1"/>
  <c r="AK640" i="1"/>
  <c r="K641" i="1"/>
  <c r="AG641" i="1"/>
  <c r="AH641" i="1"/>
  <c r="AI641" i="1"/>
  <c r="AK641" i="1"/>
  <c r="K642" i="1"/>
  <c r="AG642" i="1"/>
  <c r="AH642" i="1"/>
  <c r="AK642" i="1"/>
  <c r="K643" i="1"/>
  <c r="AG643" i="1"/>
  <c r="AH643" i="1"/>
  <c r="AK643" i="1"/>
  <c r="K644" i="1"/>
  <c r="AG644" i="1"/>
  <c r="AH644" i="1"/>
  <c r="AK644" i="1"/>
  <c r="K645" i="1"/>
  <c r="AG645" i="1"/>
  <c r="AH645" i="1"/>
  <c r="AK645" i="1"/>
  <c r="AG646" i="1"/>
  <c r="AH646" i="1"/>
  <c r="AK646" i="1"/>
  <c r="AG647" i="1"/>
  <c r="AH647" i="1"/>
  <c r="AK647" i="1"/>
  <c r="AG648" i="1"/>
  <c r="AH648" i="1"/>
  <c r="AK648" i="1"/>
  <c r="AG649" i="1"/>
  <c r="AH649" i="1"/>
  <c r="AK649" i="1"/>
  <c r="AG650" i="1"/>
  <c r="AH650" i="1"/>
  <c r="AK650" i="1"/>
  <c r="AG651" i="1"/>
  <c r="AH651" i="1"/>
  <c r="AK651" i="1"/>
  <c r="AG652" i="1"/>
  <c r="AH652" i="1"/>
  <c r="AK652" i="1"/>
  <c r="AG653" i="1"/>
  <c r="AH653" i="1"/>
  <c r="AK653" i="1"/>
  <c r="AG654" i="1"/>
  <c r="AH654" i="1"/>
  <c r="AK654" i="1"/>
  <c r="K655" i="1"/>
  <c r="AG655" i="1"/>
  <c r="AH655" i="1"/>
  <c r="AI655" i="1"/>
  <c r="AK655" i="1"/>
  <c r="AG656" i="1"/>
  <c r="AH656" i="1"/>
  <c r="AK656" i="1"/>
  <c r="K657" i="1"/>
  <c r="AG657" i="1"/>
  <c r="AH657" i="1"/>
  <c r="AK657" i="1"/>
  <c r="AG658" i="1"/>
  <c r="AH658" i="1"/>
  <c r="AI658" i="1"/>
  <c r="AK658" i="1"/>
  <c r="AG659" i="1"/>
  <c r="AH659" i="1"/>
  <c r="AK659" i="1"/>
  <c r="AG660" i="1"/>
  <c r="AH660" i="1"/>
  <c r="AI660" i="1"/>
  <c r="AK660" i="1"/>
  <c r="AG661" i="1"/>
  <c r="AH661" i="1"/>
  <c r="AI661" i="1"/>
  <c r="AK661" i="1"/>
  <c r="AG662" i="1"/>
  <c r="AK662" i="1"/>
  <c r="AG663" i="1"/>
  <c r="AH663" i="1"/>
  <c r="AI663" i="1"/>
  <c r="AK663" i="1"/>
  <c r="AG664" i="1"/>
  <c r="AH664" i="1"/>
  <c r="AK664" i="1"/>
  <c r="AG665" i="1"/>
  <c r="AH665" i="1"/>
  <c r="AI665" i="1"/>
  <c r="AK665" i="1"/>
  <c r="AG666" i="1"/>
  <c r="AH666" i="1"/>
  <c r="AK666" i="1"/>
  <c r="AG667" i="1"/>
  <c r="AH667" i="1"/>
  <c r="AK667" i="1"/>
  <c r="K668" i="1"/>
  <c r="AG668" i="1"/>
  <c r="AH668" i="1"/>
  <c r="AI668" i="1"/>
  <c r="AK668" i="1"/>
  <c r="K669" i="1"/>
  <c r="AG669" i="1"/>
  <c r="AH669" i="1"/>
  <c r="AK669" i="1"/>
  <c r="K670" i="1"/>
  <c r="AG670" i="1"/>
  <c r="AH670" i="1"/>
  <c r="AI670" i="1"/>
  <c r="AK670" i="1"/>
  <c r="AG671" i="1"/>
  <c r="AH671" i="1"/>
  <c r="K672" i="1"/>
  <c r="AG673" i="1"/>
  <c r="AH673" i="1"/>
  <c r="K674" i="1"/>
  <c r="AG674" i="1"/>
  <c r="AH674" i="1"/>
  <c r="AK674" i="1"/>
  <c r="K675" i="1"/>
  <c r="AG675" i="1"/>
  <c r="AH675" i="1"/>
  <c r="K676" i="1"/>
  <c r="AG676" i="1"/>
  <c r="AH676" i="1"/>
  <c r="AK676" i="1"/>
  <c r="K677" i="1"/>
  <c r="AG677" i="1"/>
  <c r="AH677" i="1"/>
  <c r="AI677" i="1"/>
  <c r="AK677" i="1"/>
  <c r="K678" i="1"/>
  <c r="AG678" i="1"/>
  <c r="AH678" i="1"/>
  <c r="AK678" i="1"/>
  <c r="AG679" i="1"/>
  <c r="AH679" i="1"/>
  <c r="AK679" i="1"/>
  <c r="K680" i="1"/>
  <c r="AG680" i="1"/>
  <c r="AH680" i="1"/>
  <c r="AK680" i="1"/>
  <c r="K681" i="1"/>
  <c r="AG681" i="1"/>
  <c r="AH681" i="1"/>
  <c r="AI681" i="1"/>
  <c r="AK681" i="1"/>
  <c r="K682" i="1"/>
  <c r="AG682" i="1"/>
  <c r="AH682" i="1"/>
  <c r="AI682" i="1"/>
  <c r="AK682" i="1"/>
  <c r="K683" i="1"/>
  <c r="AG683" i="1"/>
  <c r="AH683" i="1"/>
  <c r="AI683" i="1"/>
  <c r="AK683" i="1"/>
  <c r="K684" i="1"/>
  <c r="AG684" i="1"/>
  <c r="AH684" i="1"/>
  <c r="AI684" i="1"/>
  <c r="AK684" i="1"/>
  <c r="AG685" i="1"/>
  <c r="AH685" i="1"/>
  <c r="AK685" i="1"/>
  <c r="K686" i="1"/>
  <c r="AG686" i="1"/>
  <c r="AH686" i="1"/>
  <c r="AK686" i="1"/>
  <c r="K687" i="1"/>
  <c r="AG687" i="1"/>
  <c r="AH687" i="1"/>
  <c r="K688" i="1"/>
  <c r="AG688" i="1"/>
  <c r="AH688" i="1"/>
  <c r="K689" i="1"/>
  <c r="AG689" i="1"/>
  <c r="AH689" i="1"/>
  <c r="K690" i="1"/>
  <c r="AG690" i="1"/>
  <c r="AH690" i="1"/>
  <c r="K691" i="1"/>
  <c r="K692" i="1"/>
  <c r="K694" i="1"/>
  <c r="AG694" i="1"/>
  <c r="AH694" i="1"/>
  <c r="K695" i="1"/>
  <c r="AG695" i="1"/>
  <c r="AH695" i="1"/>
  <c r="K696" i="1"/>
  <c r="AG696" i="1"/>
  <c r="AH696" i="1"/>
  <c r="K697" i="1"/>
  <c r="AG697" i="1"/>
  <c r="AH697" i="1"/>
  <c r="K698" i="1"/>
  <c r="K699" i="1"/>
  <c r="AG700" i="1"/>
  <c r="AH700" i="1"/>
  <c r="K701" i="1"/>
  <c r="K702" i="1"/>
  <c r="AG702" i="1"/>
  <c r="AH702" i="1"/>
  <c r="K703" i="1"/>
  <c r="AF703" i="1"/>
  <c r="AG703" i="1"/>
  <c r="AH703" i="1"/>
  <c r="K704" i="1"/>
  <c r="AG704" i="1"/>
  <c r="AH704" i="1"/>
  <c r="AD705" i="1"/>
  <c r="K706" i="1"/>
  <c r="AD706" i="1"/>
  <c r="K707" i="1"/>
  <c r="AG707" i="1"/>
  <c r="AH707" i="1"/>
  <c r="E708" i="1"/>
  <c r="F708" i="1"/>
  <c r="AG708" i="1"/>
  <c r="AH708" i="1"/>
  <c r="K709" i="1"/>
  <c r="K710" i="1"/>
  <c r="K711" i="1"/>
  <c r="K713" i="1"/>
  <c r="L713" i="1"/>
  <c r="AF713" i="1"/>
  <c r="K714" i="1"/>
  <c r="L714" i="1"/>
  <c r="M714" i="1"/>
  <c r="K715" i="1"/>
  <c r="K716" i="1"/>
  <c r="K717" i="1"/>
  <c r="L717" i="1"/>
  <c r="M717" i="1"/>
  <c r="K718" i="1"/>
  <c r="K719" i="1"/>
  <c r="AG719" i="1"/>
  <c r="AH719" i="1"/>
  <c r="K720" i="1"/>
  <c r="AG720" i="1"/>
  <c r="AH720" i="1"/>
  <c r="K722" i="1"/>
  <c r="K723" i="1"/>
  <c r="K724" i="1"/>
  <c r="E725" i="1"/>
  <c r="K726" i="1"/>
  <c r="K727" i="1"/>
  <c r="K728" i="1"/>
  <c r="AF728" i="1"/>
  <c r="AG728" i="1"/>
  <c r="AH728" i="1"/>
  <c r="K729" i="1"/>
  <c r="K730" i="1"/>
  <c r="AG730" i="1"/>
  <c r="AH730" i="1"/>
  <c r="K731" i="1"/>
  <c r="E732" i="1"/>
  <c r="K733" i="1"/>
  <c r="AG734" i="1"/>
  <c r="AH734" i="1"/>
  <c r="K735" i="1"/>
  <c r="AG735" i="1"/>
  <c r="AH735" i="1"/>
  <c r="K736" i="1"/>
  <c r="K738" i="1"/>
  <c r="L738" i="1"/>
  <c r="E740" i="1"/>
  <c r="K741" i="1"/>
  <c r="K742" i="1"/>
  <c r="K743" i="1"/>
  <c r="AG743" i="1"/>
  <c r="AH743" i="1"/>
  <c r="K744" i="1"/>
  <c r="K745" i="1"/>
  <c r="E746" i="1"/>
  <c r="K747" i="1"/>
  <c r="K748" i="1"/>
  <c r="AD749" i="1"/>
  <c r="K750" i="1"/>
  <c r="L750" i="1"/>
  <c r="M750" i="1"/>
  <c r="N750" i="1"/>
  <c r="K751" i="1"/>
  <c r="L751" i="1"/>
  <c r="AG751" i="1"/>
  <c r="AH751" i="1"/>
  <c r="AK751" i="1"/>
  <c r="K752" i="1"/>
  <c r="L752" i="1"/>
  <c r="AG752" i="1"/>
  <c r="AH752" i="1"/>
  <c r="AK752" i="1"/>
  <c r="K753" i="1"/>
  <c r="L753" i="1"/>
  <c r="M753" i="1"/>
  <c r="AG753" i="1"/>
  <c r="AH753" i="1"/>
  <c r="AI753" i="1"/>
  <c r="AK753" i="1"/>
  <c r="K754" i="1"/>
  <c r="K755" i="1"/>
  <c r="AG755" i="1"/>
  <c r="AH755" i="1"/>
  <c r="K756" i="1"/>
  <c r="AG756" i="1"/>
  <c r="AH756" i="1"/>
  <c r="AG757" i="1"/>
  <c r="AH757" i="1"/>
  <c r="AK757" i="1"/>
  <c r="K758" i="1"/>
  <c r="AF758" i="1"/>
  <c r="AG758" i="1"/>
  <c r="AH758" i="1"/>
  <c r="K759" i="1"/>
  <c r="AG759" i="1"/>
  <c r="AH759" i="1"/>
  <c r="AK759" i="1"/>
  <c r="K760" i="1"/>
  <c r="AG760" i="1"/>
  <c r="AH760" i="1"/>
  <c r="K761" i="1"/>
  <c r="L761" i="1"/>
  <c r="M761" i="1"/>
  <c r="K762" i="1"/>
  <c r="K763" i="1"/>
  <c r="AG763" i="1"/>
  <c r="AH763" i="1"/>
  <c r="K764" i="1"/>
  <c r="K765" i="1"/>
  <c r="AD766" i="1"/>
  <c r="AG767" i="1"/>
  <c r="AH767" i="1"/>
  <c r="AG768" i="1"/>
  <c r="AH768" i="1"/>
  <c r="AK768" i="1"/>
  <c r="E769" i="1"/>
  <c r="K769" i="1"/>
  <c r="L769" i="1"/>
  <c r="M769" i="1"/>
  <c r="K770" i="1"/>
  <c r="AG770" i="1"/>
  <c r="AH770" i="1"/>
  <c r="AK770" i="1"/>
  <c r="AG771" i="1"/>
  <c r="AH771" i="1"/>
  <c r="AK771" i="1"/>
  <c r="K772" i="1"/>
  <c r="AG772" i="1"/>
  <c r="AH772" i="1"/>
  <c r="AK772" i="1"/>
  <c r="K773" i="1"/>
  <c r="AG773" i="1"/>
  <c r="AH773" i="1"/>
  <c r="AK773" i="1"/>
  <c r="AG774" i="1"/>
  <c r="AH774" i="1"/>
  <c r="AK774" i="1"/>
  <c r="AG775" i="1"/>
  <c r="AH775" i="1"/>
  <c r="AK775" i="1"/>
  <c r="K776" i="1"/>
  <c r="AG776" i="1"/>
  <c r="AH776" i="1"/>
  <c r="AI776" i="1"/>
  <c r="AK776" i="1"/>
  <c r="K777" i="1"/>
  <c r="K778" i="1"/>
  <c r="AG778" i="1"/>
  <c r="AH778" i="1"/>
  <c r="AK778" i="1"/>
  <c r="K779" i="1"/>
  <c r="AG779" i="1"/>
  <c r="AH779" i="1"/>
  <c r="AI779" i="1"/>
  <c r="AK779" i="1"/>
  <c r="K780" i="1"/>
  <c r="AG780" i="1"/>
  <c r="AH780" i="1"/>
  <c r="AI780" i="1"/>
  <c r="AK780" i="1"/>
  <c r="K781" i="1"/>
  <c r="AG781" i="1"/>
  <c r="AH781" i="1"/>
  <c r="AI781" i="1"/>
  <c r="AK781" i="1"/>
  <c r="K782" i="1"/>
  <c r="AG782" i="1"/>
  <c r="AH782" i="1"/>
  <c r="AI782" i="1"/>
  <c r="AK782" i="1"/>
  <c r="AG783" i="1"/>
  <c r="AH783" i="1"/>
  <c r="AK783" i="1"/>
  <c r="K784" i="1"/>
  <c r="AG784" i="1"/>
  <c r="AH784" i="1"/>
  <c r="AK784" i="1"/>
  <c r="AG785" i="1"/>
  <c r="AH785" i="1"/>
  <c r="AK785" i="1"/>
  <c r="AG786" i="1"/>
  <c r="AH786" i="1"/>
  <c r="AK786" i="1"/>
  <c r="AG787" i="1"/>
  <c r="AH787" i="1"/>
  <c r="AI787" i="1"/>
  <c r="AK787" i="1"/>
  <c r="AG788" i="1"/>
  <c r="AH788" i="1"/>
  <c r="AK788" i="1"/>
  <c r="AG789" i="1"/>
  <c r="AH789" i="1"/>
  <c r="AI789" i="1"/>
  <c r="AK789" i="1"/>
  <c r="AG790" i="1"/>
  <c r="AH790" i="1"/>
  <c r="AK790" i="1"/>
  <c r="AG791" i="1"/>
  <c r="AH791" i="1"/>
  <c r="AK791" i="1"/>
  <c r="AG792" i="1"/>
  <c r="AH792" i="1"/>
  <c r="AK792" i="1"/>
  <c r="AG793" i="1"/>
  <c r="AH793" i="1"/>
  <c r="AK793" i="1"/>
  <c r="K794" i="1"/>
  <c r="AG794" i="1"/>
  <c r="AH794" i="1"/>
  <c r="AK794" i="1"/>
  <c r="K795" i="1"/>
  <c r="L795" i="1"/>
  <c r="AG795" i="1"/>
  <c r="AH795" i="1"/>
  <c r="AK795" i="1"/>
  <c r="K796" i="1"/>
  <c r="L796" i="1"/>
  <c r="K798" i="1"/>
  <c r="AG799" i="1"/>
  <c r="AH799" i="1"/>
  <c r="E800" i="1"/>
  <c r="K800" i="1"/>
  <c r="L800" i="1"/>
  <c r="M800" i="1"/>
  <c r="N800" i="1"/>
  <c r="AG801" i="1"/>
  <c r="AH801" i="1"/>
  <c r="AK801" i="1"/>
  <c r="AG802" i="1"/>
  <c r="AH802" i="1"/>
  <c r="AK802" i="1"/>
  <c r="AG803" i="1"/>
  <c r="AH803" i="1"/>
  <c r="AI803" i="1"/>
  <c r="AK803" i="1"/>
  <c r="K804" i="1"/>
  <c r="K805" i="1"/>
  <c r="AG805" i="1"/>
  <c r="AH805" i="1"/>
  <c r="K806" i="1"/>
  <c r="AG806" i="1"/>
  <c r="AH806" i="1"/>
  <c r="K807" i="1"/>
  <c r="AG807" i="1"/>
  <c r="AH807" i="1"/>
  <c r="AG808" i="1"/>
  <c r="AH808" i="1"/>
  <c r="AI808" i="1"/>
  <c r="AK808" i="1"/>
  <c r="AG809" i="1"/>
  <c r="AH809" i="1"/>
  <c r="AK809" i="1"/>
  <c r="K810" i="1"/>
  <c r="AG810" i="1"/>
  <c r="AH810" i="1"/>
  <c r="AI810" i="1"/>
  <c r="AK810" i="1"/>
  <c r="K811" i="1"/>
  <c r="AG811" i="1"/>
  <c r="AH811" i="1"/>
  <c r="AI811" i="1"/>
  <c r="AK811" i="1"/>
  <c r="AG812" i="1"/>
  <c r="AH812" i="1"/>
  <c r="K813" i="1"/>
  <c r="AG813" i="1"/>
  <c r="AH813" i="1"/>
  <c r="AK813" i="1"/>
  <c r="K814" i="1"/>
  <c r="AG814" i="1"/>
  <c r="AH814" i="1"/>
  <c r="AI814" i="1"/>
  <c r="AK814" i="1"/>
  <c r="AG815" i="1"/>
  <c r="AH815" i="1"/>
  <c r="AK815" i="1"/>
  <c r="K816" i="1"/>
  <c r="L816" i="1"/>
  <c r="M816" i="1"/>
  <c r="N816" i="1"/>
  <c r="AG816" i="1"/>
  <c r="AH816" i="1"/>
  <c r="AK816" i="1"/>
  <c r="AG817" i="1"/>
  <c r="AH817" i="1"/>
  <c r="AK817" i="1"/>
  <c r="K818" i="1"/>
  <c r="L818" i="1"/>
  <c r="M818" i="1"/>
  <c r="N818" i="1"/>
  <c r="O818" i="1"/>
  <c r="P818" i="1"/>
  <c r="AG818" i="1"/>
  <c r="AH818" i="1"/>
  <c r="AK818" i="1"/>
  <c r="AG819" i="1"/>
  <c r="AH819" i="1"/>
  <c r="AK819" i="1"/>
  <c r="AG820" i="1"/>
  <c r="AH820" i="1"/>
  <c r="AK820" i="1"/>
  <c r="AG821" i="1"/>
  <c r="AH821" i="1"/>
  <c r="AK821" i="1"/>
  <c r="AG822" i="1"/>
  <c r="AH822" i="1"/>
  <c r="AK822" i="1"/>
  <c r="K823" i="1"/>
  <c r="AG823" i="1"/>
  <c r="AH823" i="1"/>
  <c r="AI823" i="1"/>
  <c r="AK823" i="1"/>
  <c r="AG824" i="1"/>
  <c r="AH824" i="1"/>
  <c r="AK824" i="1"/>
  <c r="AG825" i="1"/>
  <c r="AH825" i="1"/>
  <c r="AK825" i="1"/>
  <c r="AG826" i="1"/>
  <c r="AH826" i="1"/>
  <c r="AK826" i="1"/>
  <c r="AG827" i="1"/>
  <c r="AH827" i="1"/>
  <c r="AK827" i="1"/>
  <c r="AG828" i="1"/>
  <c r="AH828" i="1"/>
  <c r="AK828" i="1"/>
  <c r="AG829" i="1"/>
  <c r="AH829" i="1"/>
  <c r="AK829" i="1"/>
  <c r="AG830" i="1"/>
  <c r="AH830" i="1"/>
  <c r="AK830" i="1"/>
  <c r="AG831" i="1"/>
  <c r="AH831" i="1"/>
  <c r="AK831" i="1"/>
  <c r="AG832" i="1"/>
  <c r="AH832" i="1"/>
  <c r="AK832" i="1"/>
  <c r="AG833" i="1"/>
  <c r="AH833" i="1"/>
  <c r="AK833" i="1"/>
  <c r="K834" i="1"/>
  <c r="AG834" i="1"/>
  <c r="AH834" i="1"/>
  <c r="AK834" i="1"/>
  <c r="AG835" i="1"/>
  <c r="AH835" i="1"/>
  <c r="AG836" i="1"/>
  <c r="AH836" i="1"/>
  <c r="AK836" i="1"/>
  <c r="AG837" i="1"/>
  <c r="AH837" i="1"/>
  <c r="AK837" i="1"/>
  <c r="K838" i="1"/>
  <c r="AG838" i="1"/>
  <c r="AH838" i="1"/>
  <c r="AK838" i="1"/>
  <c r="K839" i="1"/>
  <c r="AG839" i="1"/>
  <c r="AH839" i="1"/>
  <c r="AK839" i="1"/>
  <c r="AG840" i="1"/>
  <c r="AH840" i="1"/>
  <c r="AK840" i="1"/>
  <c r="K841" i="1"/>
  <c r="AG841" i="1"/>
  <c r="AH841" i="1"/>
  <c r="AI841" i="1"/>
  <c r="AK841" i="1"/>
  <c r="E843" i="1"/>
  <c r="K844" i="1"/>
  <c r="L844" i="1"/>
  <c r="AG845" i="1"/>
  <c r="AH845" i="1"/>
  <c r="AK845" i="1"/>
  <c r="AG846" i="1"/>
  <c r="AH846" i="1"/>
  <c r="AK846" i="1"/>
  <c r="AG847" i="1"/>
  <c r="AH847" i="1"/>
  <c r="AK847" i="1"/>
  <c r="AG848" i="1"/>
  <c r="AH848" i="1"/>
  <c r="AK848" i="1"/>
  <c r="AG849" i="1"/>
  <c r="AH849" i="1"/>
  <c r="AK849" i="1"/>
  <c r="K850" i="1"/>
  <c r="K851" i="1"/>
  <c r="K852" i="1"/>
  <c r="L852" i="1"/>
  <c r="E853" i="1"/>
  <c r="K853" i="1"/>
  <c r="L853" i="1"/>
  <c r="K854" i="1"/>
  <c r="AG854" i="1"/>
  <c r="AH854" i="1"/>
  <c r="AK854" i="1"/>
  <c r="K855" i="1"/>
  <c r="L855" i="1"/>
  <c r="AG856" i="1"/>
  <c r="AH856" i="1"/>
  <c r="AK856" i="1"/>
  <c r="AG857" i="1"/>
  <c r="AH857" i="1"/>
  <c r="AK857" i="1"/>
  <c r="AG858" i="1"/>
  <c r="AH858" i="1"/>
  <c r="AK858" i="1"/>
  <c r="K860" i="1"/>
  <c r="L860" i="1"/>
  <c r="M860" i="1"/>
  <c r="N860" i="1"/>
  <c r="O860" i="1"/>
  <c r="P860" i="1"/>
  <c r="Q860" i="1"/>
  <c r="K861" i="1"/>
  <c r="AG861" i="1"/>
  <c r="AH861" i="1"/>
  <c r="AK861" i="1"/>
  <c r="K862" i="1"/>
  <c r="AG862" i="1"/>
  <c r="AH862" i="1"/>
  <c r="AK862" i="1"/>
  <c r="K863" i="1"/>
  <c r="L863" i="1"/>
  <c r="M863" i="1"/>
  <c r="N863" i="1"/>
  <c r="O863" i="1"/>
  <c r="P863" i="1"/>
  <c r="Q863" i="1"/>
  <c r="R863" i="1"/>
  <c r="AG863" i="1"/>
  <c r="AH863" i="1"/>
  <c r="AK863" i="1"/>
  <c r="K864" i="1"/>
  <c r="AG865" i="1"/>
  <c r="AH865" i="1"/>
  <c r="AI865" i="1"/>
  <c r="AK865" i="1"/>
  <c r="K866" i="1"/>
  <c r="L866" i="1"/>
  <c r="M866" i="1"/>
  <c r="N866" i="1"/>
  <c r="K867" i="1"/>
  <c r="AG868" i="1"/>
  <c r="AH868" i="1"/>
  <c r="AK868" i="1"/>
  <c r="K869" i="1"/>
  <c r="AG870" i="1"/>
  <c r="AH870" i="1"/>
  <c r="AK870" i="1"/>
  <c r="E871" i="1"/>
  <c r="K872" i="1"/>
  <c r="L872" i="1"/>
  <c r="M872" i="1"/>
  <c r="N872" i="1"/>
  <c r="O872" i="1"/>
  <c r="P872" i="1"/>
  <c r="Q872" i="1"/>
  <c r="K873" i="1"/>
  <c r="K874" i="1"/>
  <c r="AG874" i="1"/>
  <c r="AH874" i="1"/>
  <c r="AI874" i="1"/>
  <c r="AK874" i="1"/>
  <c r="K875" i="1"/>
  <c r="AG875" i="1"/>
  <c r="AH875" i="1"/>
  <c r="AK875" i="1"/>
  <c r="AG876" i="1"/>
  <c r="AH876" i="1"/>
  <c r="AI876" i="1"/>
  <c r="AK876" i="1"/>
  <c r="AG877" i="1"/>
  <c r="AH877" i="1"/>
  <c r="AK877" i="1"/>
  <c r="AG878" i="1"/>
  <c r="AH878" i="1"/>
  <c r="AK878" i="1"/>
  <c r="AG879" i="1"/>
  <c r="AH879" i="1"/>
  <c r="AI879" i="1"/>
  <c r="AK879" i="1"/>
  <c r="AD880" i="1"/>
  <c r="K881" i="1"/>
  <c r="AG881" i="1"/>
  <c r="AH881" i="1"/>
  <c r="AI881" i="1"/>
  <c r="AK881" i="1"/>
  <c r="K882" i="1"/>
  <c r="AG882" i="1"/>
  <c r="AH882" i="1"/>
  <c r="AI882" i="1"/>
  <c r="AK882" i="1"/>
  <c r="AG883" i="1"/>
  <c r="AH883" i="1"/>
  <c r="AK883" i="1"/>
  <c r="K884" i="1"/>
  <c r="AG884" i="1"/>
  <c r="AH884" i="1"/>
  <c r="AK884" i="1"/>
  <c r="K885" i="1"/>
  <c r="AG885" i="1"/>
  <c r="AH885" i="1"/>
  <c r="AK885" i="1"/>
  <c r="AG886" i="1"/>
  <c r="AH886" i="1"/>
  <c r="AK886" i="1"/>
  <c r="AG887" i="1"/>
  <c r="AH887" i="1"/>
  <c r="AK887" i="1"/>
  <c r="AG888" i="1"/>
  <c r="AH888" i="1"/>
  <c r="AK888" i="1"/>
  <c r="AG889" i="1"/>
  <c r="AH889" i="1"/>
  <c r="AK889" i="1"/>
  <c r="AG890" i="1"/>
  <c r="AH890" i="1"/>
  <c r="AK890" i="1"/>
  <c r="AG891" i="1"/>
  <c r="AH891" i="1"/>
  <c r="AK891" i="1"/>
  <c r="AG892" i="1"/>
  <c r="AH892" i="1"/>
  <c r="AK892" i="1"/>
  <c r="AG893" i="1"/>
  <c r="AH893" i="1"/>
  <c r="AK893" i="1"/>
  <c r="K894" i="1"/>
  <c r="AG894" i="1"/>
  <c r="AH894" i="1"/>
  <c r="AK894" i="1"/>
  <c r="K895" i="1"/>
  <c r="AG895" i="1"/>
  <c r="AH895" i="1"/>
  <c r="AI895" i="1"/>
  <c r="AK895" i="1"/>
  <c r="K896" i="1"/>
  <c r="AG896" i="1"/>
  <c r="AH896" i="1"/>
  <c r="AI896" i="1"/>
  <c r="AK896" i="1"/>
  <c r="AG897" i="1"/>
  <c r="AH897" i="1"/>
  <c r="AI897" i="1"/>
  <c r="AK897" i="1"/>
  <c r="AG898" i="1"/>
  <c r="AH898" i="1"/>
  <c r="AK898" i="1"/>
  <c r="AG899" i="1"/>
  <c r="AH899" i="1"/>
  <c r="AK899" i="1"/>
  <c r="AG900" i="1"/>
  <c r="AH900" i="1"/>
  <c r="AK900" i="1"/>
  <c r="AG901" i="1"/>
  <c r="AH901" i="1"/>
  <c r="AK901" i="1"/>
  <c r="AG902" i="1"/>
  <c r="AH902" i="1"/>
  <c r="AK902" i="1"/>
  <c r="AG903" i="1"/>
  <c r="AH903" i="1"/>
  <c r="AK903" i="1"/>
  <c r="AG904" i="1"/>
  <c r="AH904" i="1"/>
  <c r="AI904" i="1"/>
  <c r="AK904" i="1"/>
  <c r="AG905" i="1"/>
  <c r="AH905" i="1"/>
  <c r="AK905" i="1"/>
  <c r="AG906" i="1"/>
  <c r="AH906" i="1"/>
  <c r="AK906" i="1"/>
  <c r="AG907" i="1"/>
  <c r="AH907" i="1"/>
  <c r="AK907" i="1"/>
  <c r="AG908" i="1"/>
  <c r="AH908" i="1"/>
  <c r="AK908" i="1"/>
  <c r="AG909" i="1"/>
  <c r="AH909" i="1"/>
  <c r="AK909" i="1"/>
  <c r="AG910" i="1"/>
  <c r="AH910" i="1"/>
  <c r="AK910" i="1"/>
  <c r="AG911" i="1"/>
  <c r="AH911" i="1"/>
  <c r="AK911" i="1"/>
  <c r="AG912" i="1"/>
  <c r="AH912" i="1"/>
  <c r="AK912" i="1"/>
  <c r="AG913" i="1"/>
  <c r="AH913" i="1"/>
  <c r="AK913" i="1"/>
  <c r="AG914" i="1"/>
  <c r="AH914" i="1"/>
  <c r="AK914" i="1"/>
  <c r="AG915" i="1"/>
  <c r="AH915" i="1"/>
  <c r="AK915" i="1"/>
  <c r="AG916" i="1"/>
  <c r="AH916" i="1"/>
  <c r="AG917" i="1"/>
  <c r="AH917" i="1"/>
  <c r="AK917" i="1"/>
  <c r="AG918" i="1"/>
  <c r="AH918" i="1"/>
  <c r="AI918" i="1"/>
  <c r="AK918" i="1"/>
  <c r="AG919" i="1"/>
  <c r="AH919" i="1"/>
  <c r="AK919" i="1"/>
  <c r="AG920" i="1"/>
  <c r="AH920" i="1"/>
  <c r="AK920" i="1"/>
  <c r="AG921" i="1"/>
  <c r="AH921" i="1"/>
  <c r="AK921" i="1"/>
  <c r="K922" i="1"/>
  <c r="L922" i="1"/>
  <c r="M922" i="1"/>
  <c r="AG922" i="1"/>
  <c r="AH922" i="1"/>
  <c r="AK922" i="1"/>
  <c r="K923" i="1"/>
  <c r="AG923" i="1"/>
  <c r="AH923" i="1"/>
  <c r="AK923" i="1"/>
  <c r="AG924" i="1"/>
  <c r="AH924" i="1"/>
  <c r="AK924" i="1"/>
  <c r="AG925" i="1"/>
  <c r="AH925" i="1"/>
  <c r="AK925" i="1"/>
  <c r="AG926" i="1"/>
  <c r="AH926" i="1"/>
  <c r="AK926" i="1"/>
  <c r="AG927" i="1"/>
  <c r="AH927" i="1"/>
  <c r="AK927" i="1"/>
  <c r="K928" i="1"/>
  <c r="L928" i="1"/>
  <c r="M928" i="1"/>
  <c r="N928" i="1"/>
  <c r="K929" i="1"/>
  <c r="AG929" i="1"/>
  <c r="AH929" i="1"/>
  <c r="K930" i="1"/>
  <c r="AG930" i="1"/>
  <c r="AH930" i="1"/>
  <c r="K931" i="1"/>
  <c r="L931" i="1"/>
  <c r="AF931" i="1"/>
  <c r="AG931" i="1"/>
  <c r="AH931" i="1"/>
  <c r="K932" i="1"/>
  <c r="AG933" i="1"/>
  <c r="AH933" i="1"/>
  <c r="AG934" i="1"/>
  <c r="AH934" i="1"/>
  <c r="AK934" i="1"/>
  <c r="AG935" i="1"/>
  <c r="AH935" i="1"/>
  <c r="AK935" i="1"/>
  <c r="K936" i="1"/>
  <c r="AG936" i="1"/>
  <c r="AH936" i="1"/>
  <c r="AK936" i="1"/>
  <c r="K937" i="1"/>
  <c r="AG937" i="1"/>
  <c r="AH937" i="1"/>
  <c r="AK937" i="1"/>
  <c r="AG938" i="1"/>
  <c r="AH938" i="1"/>
  <c r="AI938" i="1"/>
  <c r="AK938" i="1"/>
  <c r="AG939" i="1"/>
  <c r="AH939" i="1"/>
  <c r="AK939" i="1"/>
  <c r="AG940" i="1"/>
  <c r="AH940" i="1"/>
  <c r="AK940" i="1"/>
  <c r="AG941" i="1"/>
  <c r="AH941" i="1"/>
  <c r="AK941" i="1"/>
  <c r="AG942" i="1"/>
  <c r="AH942" i="1"/>
  <c r="AI942" i="1"/>
  <c r="AK942" i="1"/>
  <c r="AG943" i="1"/>
  <c r="AH943" i="1"/>
  <c r="AK943" i="1"/>
  <c r="AG944" i="1"/>
  <c r="AH944" i="1"/>
  <c r="AK944" i="1"/>
  <c r="K945" i="1"/>
  <c r="AG945" i="1"/>
  <c r="AH945" i="1"/>
  <c r="AK945" i="1"/>
  <c r="AG946" i="1"/>
  <c r="AH946" i="1"/>
  <c r="AK946" i="1"/>
  <c r="AG947" i="1"/>
  <c r="AH947" i="1"/>
  <c r="AK947" i="1"/>
  <c r="AG948" i="1"/>
  <c r="AH948" i="1"/>
  <c r="AK948" i="1"/>
  <c r="K949" i="1"/>
  <c r="L949" i="1"/>
  <c r="K950" i="1"/>
  <c r="L950" i="1"/>
  <c r="AG951" i="1"/>
  <c r="AH951" i="1"/>
  <c r="AK951" i="1"/>
  <c r="AG952" i="1"/>
  <c r="AH952" i="1"/>
  <c r="AI952" i="1"/>
  <c r="AK952" i="1"/>
  <c r="AG953" i="1"/>
  <c r="AH953" i="1"/>
  <c r="AK953" i="1"/>
  <c r="AG954" i="1"/>
  <c r="AH954" i="1"/>
  <c r="AK954" i="1"/>
  <c r="AG955" i="1"/>
  <c r="AH955" i="1"/>
  <c r="AK955" i="1"/>
  <c r="AG956" i="1"/>
  <c r="AH956" i="1"/>
  <c r="AK956" i="1"/>
  <c r="K957" i="1"/>
  <c r="AG957" i="1"/>
  <c r="AH957" i="1"/>
  <c r="AI957" i="1"/>
  <c r="AK957" i="1"/>
  <c r="AG958" i="1"/>
  <c r="AH958" i="1"/>
  <c r="AI958" i="1"/>
  <c r="AK958" i="1"/>
  <c r="AG959" i="1"/>
  <c r="AH959" i="1"/>
  <c r="AK959" i="1"/>
  <c r="AG960" i="1"/>
  <c r="AH960" i="1"/>
  <c r="AK960" i="1"/>
  <c r="K961" i="1"/>
  <c r="K962" i="1"/>
  <c r="AG963" i="1"/>
  <c r="AH963" i="1"/>
  <c r="AK963" i="1"/>
  <c r="AG964" i="1"/>
  <c r="AH964" i="1"/>
  <c r="AI964" i="1"/>
  <c r="AK964" i="1"/>
  <c r="AG965" i="1"/>
  <c r="AH965" i="1"/>
  <c r="AK965" i="1"/>
  <c r="K966" i="1"/>
  <c r="L966" i="1"/>
  <c r="M966" i="1"/>
  <c r="AG967" i="1"/>
  <c r="AH967" i="1"/>
  <c r="AG968" i="1"/>
  <c r="AH968" i="1"/>
  <c r="AK968" i="1"/>
  <c r="K969" i="1"/>
  <c r="L969" i="1"/>
  <c r="M969" i="1"/>
  <c r="N969" i="1"/>
  <c r="AG969" i="1"/>
  <c r="AH969" i="1"/>
  <c r="AK969" i="1"/>
  <c r="AG970" i="1"/>
  <c r="AH970" i="1"/>
  <c r="AK970" i="1"/>
  <c r="AG971" i="1"/>
  <c r="AH971" i="1"/>
  <c r="AK971" i="1"/>
  <c r="AG972" i="1"/>
  <c r="AH972" i="1"/>
  <c r="AG973" i="1"/>
  <c r="AH973" i="1"/>
  <c r="AK973" i="1"/>
  <c r="AG974" i="1"/>
  <c r="AH974" i="1"/>
  <c r="AK974" i="1"/>
  <c r="AG975" i="1"/>
  <c r="AH975" i="1"/>
  <c r="AK975" i="1"/>
  <c r="AG976" i="1"/>
  <c r="AH976" i="1"/>
  <c r="AI976" i="1"/>
  <c r="AK976" i="1"/>
  <c r="K977" i="1"/>
  <c r="AG977" i="1"/>
  <c r="AH977" i="1"/>
  <c r="AI977" i="1"/>
  <c r="AK977" i="1"/>
  <c r="AG978" i="1"/>
  <c r="AH978" i="1"/>
  <c r="AK978" i="1"/>
  <c r="AG979" i="1"/>
  <c r="AH979" i="1"/>
  <c r="AK979" i="1"/>
  <c r="AG980" i="1"/>
  <c r="AH980" i="1"/>
  <c r="AI980" i="1"/>
  <c r="AK980" i="1"/>
  <c r="AG981" i="1"/>
  <c r="AH981" i="1"/>
  <c r="AK981" i="1"/>
  <c r="AG982" i="1"/>
  <c r="AH982" i="1"/>
  <c r="AK982" i="1"/>
  <c r="AG983" i="1"/>
  <c r="AH983" i="1"/>
  <c r="AK983" i="1"/>
  <c r="AG984" i="1"/>
  <c r="AH984" i="1"/>
  <c r="AK984" i="1"/>
  <c r="AG985" i="1"/>
  <c r="AH985" i="1"/>
  <c r="AK985" i="1"/>
  <c r="AG986" i="1"/>
  <c r="AH986" i="1"/>
  <c r="AK986" i="1"/>
  <c r="AG987" i="1"/>
  <c r="AH987" i="1"/>
  <c r="AK987" i="1"/>
  <c r="AG988" i="1"/>
  <c r="AH988" i="1"/>
  <c r="AK988" i="1"/>
  <c r="AG989" i="1"/>
  <c r="AH989" i="1"/>
  <c r="AK989" i="1"/>
  <c r="AG990" i="1"/>
  <c r="AH990" i="1"/>
  <c r="AK990" i="1"/>
  <c r="AG991" i="1"/>
  <c r="AH991" i="1"/>
  <c r="AK991" i="1"/>
  <c r="AG992" i="1"/>
  <c r="AH992" i="1"/>
  <c r="AI992" i="1"/>
  <c r="AK992" i="1"/>
  <c r="AG993" i="1"/>
  <c r="AH993" i="1"/>
  <c r="AK993" i="1"/>
  <c r="AG994" i="1"/>
  <c r="AH994" i="1"/>
  <c r="AK994" i="1"/>
  <c r="AG995" i="1"/>
  <c r="AH995" i="1"/>
  <c r="AK995" i="1"/>
  <c r="AG996" i="1"/>
  <c r="AH996" i="1"/>
  <c r="AK996" i="1"/>
  <c r="AG997" i="1"/>
  <c r="AH997" i="1"/>
  <c r="AK997" i="1"/>
  <c r="AG998" i="1"/>
  <c r="AH998" i="1"/>
  <c r="AK998" i="1"/>
  <c r="AG999" i="1"/>
  <c r="AH999" i="1"/>
  <c r="AK999" i="1"/>
  <c r="AG1000" i="1"/>
  <c r="AH1000" i="1"/>
  <c r="AK1000" i="1"/>
  <c r="AG1001" i="1"/>
  <c r="AH1001" i="1"/>
  <c r="AK1001" i="1"/>
  <c r="K1002" i="1"/>
  <c r="AG1002" i="1"/>
  <c r="AH1002" i="1"/>
  <c r="AK1002" i="1"/>
  <c r="AG1003" i="1"/>
  <c r="AH1003" i="1"/>
  <c r="AK1003" i="1"/>
  <c r="K1004" i="1"/>
  <c r="AG1004" i="1"/>
  <c r="AH1004" i="1"/>
  <c r="AK1004" i="1"/>
  <c r="AG1005" i="1"/>
  <c r="AH1005" i="1"/>
  <c r="AK1005" i="1"/>
  <c r="AG1006" i="1"/>
  <c r="AH1006" i="1"/>
  <c r="AI1006" i="1"/>
  <c r="AK1006" i="1"/>
  <c r="AG1007" i="1"/>
  <c r="AH1007" i="1"/>
  <c r="AK1007" i="1"/>
  <c r="AG1008" i="1"/>
  <c r="AH1008" i="1"/>
  <c r="AK1008" i="1"/>
  <c r="K1009" i="1"/>
  <c r="AG1009" i="1"/>
  <c r="AH1009" i="1"/>
  <c r="AK1009" i="1"/>
  <c r="K1010" i="1"/>
  <c r="AG1010" i="1"/>
  <c r="AH1010" i="1"/>
  <c r="AK1010" i="1"/>
  <c r="AG1011" i="1"/>
  <c r="AH1011" i="1"/>
  <c r="AK1011" i="1"/>
  <c r="K1012" i="1"/>
  <c r="AG1012" i="1"/>
  <c r="AH1012" i="1"/>
  <c r="AI1012" i="1"/>
  <c r="AK1012" i="1"/>
  <c r="K1013" i="1"/>
  <c r="AG1013" i="1"/>
  <c r="AH1013" i="1"/>
  <c r="AK1013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AG1015" i="1"/>
  <c r="AH1015" i="1"/>
  <c r="AI1015" i="1"/>
  <c r="AK1015" i="1"/>
  <c r="AG1016" i="1"/>
  <c r="AH1016" i="1"/>
  <c r="AK1016" i="1"/>
  <c r="AG1017" i="1"/>
  <c r="AH1017" i="1"/>
  <c r="AK1017" i="1"/>
  <c r="K1018" i="1"/>
  <c r="AG1018" i="1"/>
  <c r="AH1018" i="1"/>
  <c r="AK1018" i="1"/>
  <c r="AG1019" i="1"/>
  <c r="AH1019" i="1"/>
  <c r="AK1019" i="1"/>
  <c r="AG1021" i="1"/>
  <c r="AH1021" i="1"/>
  <c r="AI1021" i="1"/>
  <c r="AK1021" i="1"/>
  <c r="K1022" i="1"/>
  <c r="AG1022" i="1"/>
  <c r="AH1022" i="1"/>
  <c r="AI1022" i="1"/>
  <c r="AK1022" i="1"/>
  <c r="K1023" i="1"/>
  <c r="L1023" i="1"/>
  <c r="M1023" i="1"/>
  <c r="AG1023" i="1"/>
  <c r="AH1023" i="1"/>
  <c r="AK1023" i="1"/>
  <c r="AG1024" i="1"/>
  <c r="AH1024" i="1"/>
  <c r="AK1024" i="1"/>
  <c r="AG1025" i="1"/>
  <c r="AH1025" i="1"/>
  <c r="AK1025" i="1"/>
  <c r="AG1026" i="1"/>
  <c r="AH1026" i="1"/>
  <c r="AK1026" i="1"/>
  <c r="AG1027" i="1"/>
  <c r="AH1027" i="1"/>
  <c r="AK1027" i="1"/>
  <c r="AG1028" i="1"/>
  <c r="AH1028" i="1"/>
  <c r="AK1028" i="1"/>
  <c r="AG1029" i="1"/>
  <c r="AH1029" i="1"/>
  <c r="AK1029" i="1"/>
  <c r="AG1030" i="1"/>
  <c r="AH1030" i="1"/>
  <c r="AI1030" i="1"/>
  <c r="AK1030" i="1"/>
  <c r="AG1031" i="1"/>
  <c r="AH1031" i="1"/>
  <c r="AK1031" i="1"/>
  <c r="AG1032" i="1"/>
  <c r="AH1032" i="1"/>
  <c r="AK1032" i="1"/>
  <c r="K1033" i="1"/>
  <c r="AG1033" i="1"/>
  <c r="AH1033" i="1"/>
  <c r="AK1033" i="1"/>
  <c r="AG1034" i="1"/>
  <c r="AH1034" i="1"/>
  <c r="AK1034" i="1"/>
  <c r="K1035" i="1"/>
  <c r="AG1035" i="1"/>
  <c r="AH1035" i="1"/>
  <c r="AK1035" i="1"/>
  <c r="E1036" i="1"/>
  <c r="K1036" i="1"/>
  <c r="L1036" i="1"/>
  <c r="AG1037" i="1"/>
  <c r="AH1037" i="1"/>
  <c r="AG1038" i="1"/>
  <c r="AH1038" i="1"/>
  <c r="AK1038" i="1"/>
  <c r="AG1039" i="1"/>
  <c r="AH1039" i="1"/>
  <c r="AK1039" i="1"/>
  <c r="AG1040" i="1"/>
  <c r="AH1040" i="1"/>
  <c r="AK1040" i="1"/>
  <c r="K1041" i="1"/>
  <c r="K1042" i="1"/>
  <c r="L1042" i="1"/>
  <c r="M1042" i="1"/>
  <c r="N1042" i="1"/>
  <c r="O1042" i="1"/>
  <c r="K1043" i="1"/>
  <c r="L1043" i="1"/>
  <c r="K1044" i="1"/>
  <c r="L1044" i="1"/>
  <c r="AG1044" i="1"/>
  <c r="AH1044" i="1"/>
  <c r="K1045" i="1"/>
  <c r="L1045" i="1"/>
  <c r="AG1045" i="1"/>
  <c r="AH1045" i="1"/>
  <c r="AG1046" i="1"/>
  <c r="AH1046" i="1"/>
  <c r="AG1047" i="1"/>
  <c r="AH1047" i="1"/>
  <c r="AK1047" i="1"/>
  <c r="AG1048" i="1"/>
  <c r="AH1048" i="1"/>
  <c r="AK1048" i="1"/>
  <c r="AG1049" i="1"/>
  <c r="AH1049" i="1"/>
  <c r="AK1049" i="1"/>
  <c r="AG1050" i="1"/>
  <c r="AH1050" i="1"/>
  <c r="AK1050" i="1"/>
  <c r="AG1051" i="1"/>
  <c r="AH1051" i="1"/>
  <c r="AK1051" i="1"/>
  <c r="K1052" i="1"/>
  <c r="AG1052" i="1"/>
  <c r="AH1052" i="1"/>
  <c r="K1053" i="1"/>
  <c r="AG1054" i="1"/>
  <c r="AH1054" i="1"/>
  <c r="AK1054" i="1"/>
  <c r="AG1055" i="1"/>
  <c r="AH1055" i="1"/>
  <c r="AK1055" i="1"/>
  <c r="AG1056" i="1"/>
  <c r="AH1056" i="1"/>
  <c r="AK1056" i="1"/>
  <c r="AG1057" i="1"/>
  <c r="AH1057" i="1"/>
  <c r="AK1057" i="1"/>
  <c r="AG1058" i="1"/>
  <c r="AH1058" i="1"/>
  <c r="AK1058" i="1"/>
  <c r="AG1059" i="1"/>
  <c r="AH1059" i="1"/>
  <c r="AI1059" i="1"/>
  <c r="AK1059" i="1"/>
  <c r="K1060" i="1"/>
  <c r="AG1060" i="1"/>
  <c r="AH1060" i="1"/>
  <c r="AI1060" i="1"/>
  <c r="AK1060" i="1"/>
  <c r="AG1061" i="1"/>
  <c r="AH1061" i="1"/>
  <c r="AK1061" i="1"/>
  <c r="K1062" i="1"/>
  <c r="AG1062" i="1"/>
  <c r="AH1062" i="1"/>
  <c r="AI1062" i="1"/>
  <c r="AK1062" i="1"/>
  <c r="AG1063" i="1"/>
  <c r="AH1063" i="1"/>
  <c r="AK1063" i="1"/>
  <c r="K1064" i="1"/>
  <c r="AG1064" i="1"/>
  <c r="AH1064" i="1"/>
  <c r="AK1064" i="1"/>
  <c r="AG1065" i="1"/>
  <c r="AH1065" i="1"/>
  <c r="AK1065" i="1"/>
  <c r="AG1066" i="1"/>
  <c r="AH1066" i="1"/>
  <c r="AK1066" i="1"/>
  <c r="AG1067" i="1"/>
  <c r="AH1067" i="1"/>
  <c r="AK1067" i="1"/>
  <c r="AG1068" i="1"/>
  <c r="AH1068" i="1"/>
  <c r="AK1068" i="1"/>
  <c r="AF1069" i="1"/>
  <c r="AG1070" i="1"/>
  <c r="AH1070" i="1"/>
  <c r="AK1070" i="1"/>
  <c r="AG1071" i="1"/>
  <c r="AH1071" i="1"/>
  <c r="AK1071" i="1"/>
  <c r="K1072" i="1"/>
  <c r="L1072" i="1"/>
  <c r="M1072" i="1"/>
  <c r="AG1072" i="1"/>
  <c r="AH1072" i="1"/>
  <c r="AK1072" i="1"/>
  <c r="K1073" i="1"/>
  <c r="L1073" i="1"/>
  <c r="M1073" i="1"/>
  <c r="AG1074" i="1"/>
  <c r="AH1074" i="1"/>
  <c r="AK1074" i="1"/>
  <c r="K1075" i="1"/>
  <c r="AG1075" i="1"/>
  <c r="AH1075" i="1"/>
  <c r="AG1076" i="1"/>
  <c r="AH1076" i="1"/>
  <c r="AK1076" i="1"/>
  <c r="K1077" i="1"/>
  <c r="AG1077" i="1"/>
  <c r="AH1077" i="1"/>
  <c r="E1078" i="1"/>
  <c r="AD1079" i="1"/>
  <c r="K1080" i="1"/>
  <c r="K1081" i="1"/>
  <c r="L1081" i="1"/>
  <c r="M1081" i="1"/>
  <c r="N1081" i="1"/>
  <c r="O1081" i="1"/>
  <c r="P1081" i="1"/>
  <c r="Q1081" i="1"/>
  <c r="R1081" i="1"/>
  <c r="S1081" i="1"/>
  <c r="T1081" i="1"/>
  <c r="AG1082" i="1"/>
  <c r="AH1082" i="1"/>
  <c r="AK1082" i="1"/>
  <c r="K1084" i="1"/>
  <c r="AG1084" i="1"/>
  <c r="AH1084" i="1"/>
  <c r="K1085" i="1"/>
  <c r="K1086" i="1"/>
  <c r="K1087" i="1"/>
  <c r="K1088" i="1"/>
  <c r="K1089" i="1"/>
  <c r="L1089" i="1"/>
  <c r="M1089" i="1"/>
  <c r="AG1089" i="1"/>
  <c r="AH1089" i="1"/>
  <c r="K1090" i="1"/>
  <c r="AG1090" i="1"/>
  <c r="AH1090" i="1"/>
  <c r="K1091" i="1"/>
  <c r="K1094" i="1"/>
  <c r="AG1095" i="1"/>
  <c r="AH1095" i="1"/>
  <c r="AK1095" i="1"/>
  <c r="AG1096" i="1"/>
  <c r="AH1096" i="1"/>
  <c r="AK1096" i="1"/>
  <c r="AG1097" i="1"/>
  <c r="AH1097" i="1"/>
  <c r="AK1097" i="1"/>
  <c r="AG1098" i="1"/>
  <c r="AH1098" i="1"/>
  <c r="AK1098" i="1"/>
  <c r="AG1099" i="1"/>
  <c r="AH1099" i="1"/>
  <c r="AK1099" i="1"/>
  <c r="AG1100" i="1"/>
  <c r="AH1100" i="1"/>
  <c r="AK1100" i="1"/>
  <c r="AG1101" i="1"/>
  <c r="AH1101" i="1"/>
  <c r="AK1101" i="1"/>
  <c r="K1102" i="1"/>
  <c r="AG1102" i="1"/>
  <c r="AH1102" i="1"/>
  <c r="AG1103" i="1"/>
  <c r="AH1103" i="1"/>
  <c r="AK1103" i="1"/>
  <c r="K1104" i="1"/>
  <c r="L1104" i="1"/>
  <c r="AG1104" i="1"/>
  <c r="AH1104" i="1"/>
  <c r="K1105" i="1"/>
  <c r="K1106" i="1"/>
  <c r="AG1106" i="1"/>
  <c r="AH1106" i="1"/>
  <c r="AK1106" i="1"/>
  <c r="AG1107" i="1"/>
  <c r="AH1107" i="1"/>
  <c r="AK1107" i="1"/>
  <c r="AG1108" i="1"/>
  <c r="AH1108" i="1"/>
  <c r="AK1108" i="1"/>
  <c r="K1109" i="1"/>
  <c r="AG1110" i="1"/>
  <c r="AH1110" i="1"/>
  <c r="AK1110" i="1"/>
  <c r="K1111" i="1"/>
  <c r="AG1111" i="1"/>
  <c r="AH1111" i="1"/>
  <c r="AI1111" i="1"/>
  <c r="AK1111" i="1"/>
  <c r="AG1112" i="1"/>
  <c r="AH1112" i="1"/>
  <c r="AI1112" i="1"/>
  <c r="AK1112" i="1"/>
  <c r="AG1113" i="1"/>
  <c r="AH1113" i="1"/>
  <c r="AK1113" i="1"/>
  <c r="AG1114" i="1"/>
  <c r="AH1114" i="1"/>
  <c r="AK1114" i="1"/>
  <c r="AG1115" i="1"/>
  <c r="AH1115" i="1"/>
  <c r="AK1115" i="1"/>
  <c r="AG1116" i="1"/>
  <c r="AH1116" i="1"/>
  <c r="AK1116" i="1"/>
  <c r="E1117" i="1"/>
  <c r="F1117" i="1"/>
  <c r="K1117" i="1"/>
  <c r="L1117" i="1"/>
  <c r="AG1118" i="1"/>
  <c r="AH1118" i="1"/>
  <c r="AK1118" i="1"/>
  <c r="E1120" i="1"/>
  <c r="K1120" i="1"/>
  <c r="L1120" i="1"/>
  <c r="M1120" i="1"/>
  <c r="N1120" i="1"/>
  <c r="O1120" i="1"/>
  <c r="P1120" i="1"/>
  <c r="AG1120" i="1"/>
  <c r="AH1120" i="1"/>
  <c r="AK1120" i="1"/>
  <c r="K1121" i="1"/>
  <c r="L1121" i="1"/>
  <c r="AG1121" i="1"/>
  <c r="AH1121" i="1"/>
  <c r="AI1121" i="1"/>
  <c r="AK1121" i="1"/>
  <c r="AG1122" i="1"/>
  <c r="AH1122" i="1"/>
  <c r="AK1122" i="1"/>
  <c r="AG1123" i="1"/>
  <c r="AH1123" i="1"/>
  <c r="AK1123" i="1"/>
  <c r="AG1124" i="1"/>
  <c r="AH1124" i="1"/>
  <c r="AK1124" i="1"/>
  <c r="AG1125" i="1"/>
  <c r="AH1125" i="1"/>
  <c r="AK1125" i="1"/>
  <c r="AG1126" i="1"/>
  <c r="AH1126" i="1"/>
  <c r="AG1127" i="1"/>
  <c r="AH1127" i="1"/>
  <c r="AK1127" i="1"/>
  <c r="AG1128" i="1"/>
  <c r="AH1128" i="1"/>
  <c r="AK1128" i="1"/>
  <c r="K1129" i="1"/>
  <c r="AG1129" i="1"/>
  <c r="AH1129" i="1"/>
  <c r="AK1129" i="1"/>
  <c r="AG1130" i="1"/>
  <c r="AH1130" i="1"/>
  <c r="AK1130" i="1"/>
  <c r="AG1131" i="1"/>
  <c r="AH1131" i="1"/>
  <c r="AK1131" i="1"/>
  <c r="K1132" i="1"/>
  <c r="AG1132" i="1"/>
  <c r="AH1132" i="1"/>
  <c r="AK1132" i="1"/>
  <c r="E1133" i="1"/>
  <c r="F1133" i="1"/>
  <c r="G1133" i="1"/>
  <c r="K1133" i="1"/>
  <c r="L1133" i="1"/>
  <c r="M1133" i="1"/>
  <c r="N1133" i="1"/>
  <c r="O1133" i="1"/>
  <c r="P1133" i="1"/>
  <c r="Q1133" i="1"/>
  <c r="R1133" i="1"/>
  <c r="S1133" i="1"/>
  <c r="T1133" i="1"/>
  <c r="AG1133" i="1"/>
  <c r="AH1133" i="1"/>
  <c r="AK1133" i="1"/>
  <c r="AG1134" i="1"/>
  <c r="AH1134" i="1"/>
  <c r="AK1134" i="1"/>
  <c r="K1135" i="1"/>
  <c r="AG1135" i="1"/>
  <c r="AH1135" i="1"/>
  <c r="AI1135" i="1"/>
  <c r="AK1135" i="1"/>
  <c r="K1136" i="1"/>
  <c r="AG1136" i="1"/>
  <c r="AH1136" i="1"/>
  <c r="AK1136" i="1"/>
  <c r="AG1137" i="1"/>
  <c r="AH1137" i="1"/>
  <c r="AK1137" i="1"/>
  <c r="K1138" i="1"/>
  <c r="AG1138" i="1"/>
  <c r="AH1138" i="1"/>
  <c r="AK1138" i="1"/>
  <c r="K1139" i="1"/>
  <c r="AG1139" i="1"/>
  <c r="AH1139" i="1"/>
  <c r="AI1139" i="1"/>
  <c r="AK1139" i="1"/>
  <c r="K1140" i="1"/>
  <c r="AG1140" i="1"/>
  <c r="AH1140" i="1"/>
  <c r="AK1140" i="1"/>
  <c r="K1141" i="1"/>
  <c r="AG1141" i="1"/>
  <c r="AH1141" i="1"/>
  <c r="AK1141" i="1"/>
  <c r="K1142" i="1"/>
  <c r="AG1142" i="1"/>
  <c r="AH1142" i="1"/>
  <c r="AI1142" i="1"/>
  <c r="AK1142" i="1"/>
  <c r="K1143" i="1"/>
  <c r="AG1143" i="1"/>
  <c r="AH1143" i="1"/>
  <c r="AK1143" i="1"/>
  <c r="K1144" i="1"/>
  <c r="AG1144" i="1"/>
  <c r="AH1144" i="1"/>
  <c r="AI1144" i="1"/>
  <c r="AK1144" i="1"/>
  <c r="E1145" i="1"/>
  <c r="K1145" i="1"/>
  <c r="L1145" i="1"/>
  <c r="M1145" i="1"/>
  <c r="K1146" i="1"/>
  <c r="AG1146" i="1"/>
  <c r="AH1146" i="1"/>
  <c r="AK1146" i="1"/>
  <c r="K1147" i="1"/>
  <c r="AG1147" i="1"/>
  <c r="AH1147" i="1"/>
  <c r="AI1147" i="1"/>
  <c r="AK1147" i="1"/>
  <c r="AG1148" i="1"/>
  <c r="AH1148" i="1"/>
  <c r="AK1148" i="1"/>
  <c r="K1149" i="1"/>
  <c r="AG1149" i="1"/>
  <c r="AH1149" i="1"/>
  <c r="AI1149" i="1"/>
  <c r="AK1149" i="1"/>
  <c r="AG1150" i="1"/>
  <c r="AH1150" i="1"/>
  <c r="AI1150" i="1"/>
  <c r="AK1150" i="1"/>
  <c r="K1151" i="1"/>
  <c r="AG1151" i="1"/>
  <c r="AH1151" i="1"/>
  <c r="AI1151" i="1"/>
  <c r="AK1151" i="1"/>
  <c r="AG1152" i="1"/>
  <c r="AH1152" i="1"/>
  <c r="AK1152" i="1"/>
  <c r="AG1153" i="1"/>
  <c r="AH1153" i="1"/>
  <c r="AI1153" i="1"/>
  <c r="AK1153" i="1"/>
  <c r="AG1154" i="1"/>
  <c r="AH1154" i="1"/>
  <c r="AK1154" i="1"/>
  <c r="AG1155" i="1"/>
  <c r="AH1155" i="1"/>
  <c r="AG1156" i="1"/>
  <c r="AH1156" i="1"/>
  <c r="AK1156" i="1"/>
  <c r="AG1157" i="1"/>
  <c r="AH1157" i="1"/>
  <c r="AK1157" i="1"/>
  <c r="AG1158" i="1"/>
  <c r="AH1158" i="1"/>
  <c r="AG1159" i="1"/>
  <c r="AH1159" i="1"/>
  <c r="AK1159" i="1"/>
  <c r="AG1160" i="1"/>
  <c r="AH1160" i="1"/>
  <c r="AK1160" i="1"/>
  <c r="AG1161" i="1"/>
  <c r="AH1161" i="1"/>
  <c r="AK1161" i="1"/>
  <c r="AG1162" i="1"/>
  <c r="AH1162" i="1"/>
  <c r="AK1162" i="1"/>
  <c r="K1163" i="1"/>
  <c r="L1163" i="1"/>
  <c r="M1163" i="1"/>
  <c r="N1163" i="1"/>
  <c r="O1163" i="1"/>
  <c r="P1163" i="1"/>
  <c r="Q1163" i="1"/>
  <c r="R1163" i="1"/>
  <c r="AG1164" i="1"/>
  <c r="AH1164" i="1"/>
  <c r="E1165" i="1"/>
  <c r="F1165" i="1"/>
  <c r="G1165" i="1"/>
  <c r="K1165" i="1"/>
  <c r="L1165" i="1"/>
  <c r="M1165" i="1"/>
  <c r="N1165" i="1"/>
  <c r="O1165" i="1"/>
  <c r="P1165" i="1"/>
  <c r="Q1165" i="1"/>
  <c r="R1165" i="1"/>
  <c r="S1165" i="1"/>
  <c r="T1165" i="1"/>
  <c r="E1166" i="1"/>
  <c r="K1167" i="1"/>
  <c r="L1167" i="1"/>
  <c r="M1167" i="1"/>
  <c r="N1167" i="1"/>
  <c r="O1167" i="1"/>
  <c r="E1168" i="1"/>
  <c r="K1168" i="1"/>
  <c r="L1168" i="1"/>
  <c r="AG1169" i="1"/>
  <c r="AH1169" i="1"/>
  <c r="K1170" i="1"/>
  <c r="L1170" i="1"/>
  <c r="M1170" i="1"/>
  <c r="N1170" i="1"/>
  <c r="O1170" i="1"/>
  <c r="P1170" i="1"/>
  <c r="Q1170" i="1"/>
  <c r="AH1170" i="1"/>
  <c r="AI1170" i="1"/>
  <c r="K1171" i="1"/>
  <c r="K1172" i="1"/>
  <c r="K1173" i="1"/>
  <c r="K1174" i="1"/>
  <c r="L1174" i="1"/>
  <c r="M1174" i="1"/>
  <c r="N1174" i="1"/>
  <c r="O1174" i="1"/>
  <c r="P1174" i="1"/>
  <c r="Q1174" i="1"/>
  <c r="K1176" i="1"/>
  <c r="K1177" i="1"/>
  <c r="K1179" i="1"/>
  <c r="K1180" i="1"/>
  <c r="K1181" i="1"/>
  <c r="AG1182" i="1"/>
  <c r="AH1182" i="1"/>
  <c r="AK1182" i="1"/>
  <c r="AG1183" i="1"/>
  <c r="AH1183" i="1"/>
  <c r="AG1184" i="1"/>
  <c r="AH1184" i="1"/>
  <c r="AG1185" i="1"/>
  <c r="AH1185" i="1"/>
  <c r="AK1185" i="1"/>
  <c r="AG1186" i="1"/>
  <c r="AH1186" i="1"/>
  <c r="AK1186" i="1"/>
  <c r="AG1187" i="1"/>
  <c r="AH1187" i="1"/>
  <c r="AK1187" i="1"/>
  <c r="K1188" i="1"/>
  <c r="AG1188" i="1"/>
  <c r="AH1188" i="1"/>
  <c r="AK1188" i="1"/>
  <c r="K1189" i="1"/>
  <c r="AG1189" i="1"/>
  <c r="AH1189" i="1"/>
  <c r="AK1189" i="1"/>
  <c r="K1190" i="1"/>
  <c r="AG1190" i="1"/>
  <c r="AH1190" i="1"/>
  <c r="AI1190" i="1"/>
  <c r="AK1190" i="1"/>
  <c r="AG1191" i="1"/>
  <c r="AH1191" i="1"/>
  <c r="AK1191" i="1"/>
  <c r="AG1192" i="1"/>
  <c r="AH1192" i="1"/>
  <c r="AK1192" i="1"/>
  <c r="AG1193" i="1"/>
  <c r="AH1193" i="1"/>
  <c r="AK1193" i="1"/>
  <c r="K1194" i="1"/>
  <c r="AG1194" i="1"/>
  <c r="AH1194" i="1"/>
  <c r="AI1194" i="1"/>
  <c r="AK1194" i="1"/>
  <c r="K1195" i="1"/>
  <c r="AG1195" i="1"/>
  <c r="AH1195" i="1"/>
  <c r="AK1195" i="1"/>
  <c r="K1196" i="1"/>
  <c r="AG1196" i="1"/>
  <c r="AH1196" i="1"/>
  <c r="AI1196" i="1"/>
  <c r="AK1196" i="1"/>
  <c r="AG1197" i="1"/>
  <c r="AH1197" i="1"/>
  <c r="AK1197" i="1"/>
  <c r="AG1198" i="1"/>
  <c r="AH1198" i="1"/>
  <c r="AK1198" i="1"/>
  <c r="K1199" i="1"/>
  <c r="AG1199" i="1"/>
  <c r="AH1199" i="1"/>
  <c r="AK1199" i="1"/>
  <c r="K1200" i="1"/>
  <c r="L1200" i="1"/>
  <c r="M1200" i="1"/>
  <c r="AG1200" i="1"/>
  <c r="AH1200" i="1"/>
  <c r="AI1200" i="1"/>
  <c r="AK1200" i="1"/>
  <c r="AG1201" i="1"/>
  <c r="AH1201" i="1"/>
  <c r="AG1202" i="1"/>
  <c r="AH1202" i="1"/>
  <c r="AK1202" i="1"/>
  <c r="AG1203" i="1"/>
  <c r="AH1203" i="1"/>
  <c r="AK1203" i="1"/>
  <c r="AG1204" i="1"/>
  <c r="AH1204" i="1"/>
  <c r="AK1204" i="1"/>
  <c r="AG1205" i="1"/>
  <c r="AH1205" i="1"/>
  <c r="AK1205" i="1"/>
  <c r="AG1206" i="1"/>
  <c r="AH1206" i="1"/>
  <c r="AK1206" i="1"/>
  <c r="AG1207" i="1"/>
  <c r="AH1207" i="1"/>
  <c r="AK1207" i="1"/>
  <c r="AG1208" i="1"/>
  <c r="AH1208" i="1"/>
  <c r="AK1208" i="1"/>
  <c r="AG1209" i="1"/>
  <c r="AH1209" i="1"/>
  <c r="AI1209" i="1"/>
  <c r="AK1209" i="1"/>
  <c r="AG1210" i="1"/>
  <c r="AH1210" i="1"/>
  <c r="AI1210" i="1"/>
  <c r="AK1210" i="1"/>
  <c r="AG1211" i="1"/>
  <c r="AH1211" i="1"/>
  <c r="AK1211" i="1"/>
  <c r="AG1212" i="1"/>
  <c r="AH1212" i="1"/>
  <c r="AK1212" i="1"/>
  <c r="AG1213" i="1"/>
  <c r="AH1213" i="1"/>
  <c r="AK1213" i="1"/>
  <c r="AG1214" i="1"/>
  <c r="AH1214" i="1"/>
  <c r="AK1214" i="1"/>
  <c r="AG1215" i="1"/>
  <c r="AH1215" i="1"/>
  <c r="AK1215" i="1"/>
  <c r="AG1216" i="1"/>
  <c r="AH1216" i="1"/>
  <c r="AK1216" i="1"/>
  <c r="AG1217" i="1"/>
  <c r="AH1217" i="1"/>
  <c r="AI1217" i="1"/>
  <c r="AK1217" i="1"/>
  <c r="AG1218" i="1"/>
  <c r="AH1218" i="1"/>
  <c r="AK1218" i="1"/>
  <c r="AG1219" i="1"/>
  <c r="AH1219" i="1"/>
  <c r="AK1219" i="1"/>
  <c r="AG1220" i="1"/>
  <c r="AH1220" i="1"/>
  <c r="AK1220" i="1"/>
  <c r="AG1221" i="1"/>
  <c r="AH1221" i="1"/>
  <c r="AK1221" i="1"/>
  <c r="AG1222" i="1"/>
  <c r="AH1222" i="1"/>
  <c r="AK1222" i="1"/>
  <c r="AG1223" i="1"/>
  <c r="AH1223" i="1"/>
  <c r="K1224" i="1"/>
  <c r="AG1224" i="1"/>
  <c r="AH1224" i="1"/>
  <c r="AK1224" i="1"/>
  <c r="AG1225" i="1"/>
  <c r="AI1225" i="1"/>
  <c r="AK1225" i="1"/>
  <c r="AG1226" i="1"/>
  <c r="AH1226" i="1"/>
  <c r="AK1226" i="1"/>
  <c r="K1227" i="1"/>
  <c r="AG1227" i="1"/>
  <c r="AH1227" i="1"/>
  <c r="AK1227" i="1"/>
  <c r="K1228" i="1"/>
  <c r="L1228" i="1"/>
  <c r="AG1228" i="1"/>
  <c r="AH1228" i="1"/>
  <c r="AK1228" i="1"/>
  <c r="K1229" i="1"/>
  <c r="AG1229" i="1"/>
  <c r="AH1229" i="1"/>
  <c r="AK1229" i="1"/>
  <c r="K1230" i="1"/>
  <c r="AG1230" i="1"/>
  <c r="AH1230" i="1"/>
  <c r="AI1230" i="1"/>
  <c r="AK1230" i="1"/>
  <c r="AG1231" i="1"/>
  <c r="AH1231" i="1"/>
  <c r="AK1231" i="1"/>
  <c r="AG1232" i="1"/>
  <c r="AH1232" i="1"/>
  <c r="AK1232" i="1"/>
  <c r="K1233" i="1"/>
  <c r="AG1233" i="1"/>
  <c r="AH1233" i="1"/>
  <c r="AK1233" i="1"/>
  <c r="AG1234" i="1"/>
  <c r="AH1234" i="1"/>
  <c r="AG1235" i="1"/>
  <c r="AH1235" i="1"/>
  <c r="AK1235" i="1"/>
  <c r="AG1236" i="1"/>
  <c r="AH1236" i="1"/>
  <c r="AK1236" i="1"/>
  <c r="AG1237" i="1"/>
  <c r="AH1237" i="1"/>
  <c r="AK1237" i="1"/>
  <c r="AG1238" i="1"/>
  <c r="AH1238" i="1"/>
  <c r="AK1238" i="1"/>
  <c r="AG1239" i="1"/>
  <c r="AH1239" i="1"/>
  <c r="AK1239" i="1"/>
  <c r="AG1240" i="1"/>
  <c r="AH1240" i="1"/>
  <c r="AK1240" i="1"/>
  <c r="K1241" i="1"/>
  <c r="AG1241" i="1"/>
  <c r="AH1241" i="1"/>
  <c r="AK1241" i="1"/>
  <c r="AG1242" i="1"/>
  <c r="AH1242" i="1"/>
  <c r="AK1242" i="1"/>
  <c r="AG1243" i="1"/>
  <c r="AH1243" i="1"/>
  <c r="AK1243" i="1"/>
  <c r="AG1244" i="1"/>
  <c r="AH1244" i="1"/>
  <c r="AK1244" i="1"/>
  <c r="AG1245" i="1"/>
  <c r="AH1245" i="1"/>
  <c r="AK1245" i="1"/>
  <c r="AG1246" i="1"/>
  <c r="AH1246" i="1"/>
  <c r="AK1246" i="1"/>
  <c r="AG1247" i="1"/>
  <c r="AH1247" i="1"/>
  <c r="AG1248" i="1"/>
  <c r="AH1248" i="1"/>
  <c r="AK1248" i="1"/>
  <c r="AG1249" i="1"/>
  <c r="AH1249" i="1"/>
  <c r="AI1249" i="1"/>
  <c r="AK1249" i="1"/>
  <c r="AG1250" i="1"/>
  <c r="AH1250" i="1"/>
  <c r="AI1250" i="1"/>
  <c r="AK1250" i="1"/>
  <c r="AG1251" i="1"/>
  <c r="AH1251" i="1"/>
  <c r="AK1251" i="1"/>
  <c r="AG1252" i="1"/>
  <c r="AH1252" i="1"/>
  <c r="AK1252" i="1"/>
  <c r="AG1253" i="1"/>
  <c r="AH1253" i="1"/>
  <c r="AK1253" i="1"/>
  <c r="AG1254" i="1"/>
  <c r="AH1254" i="1"/>
  <c r="AI1254" i="1"/>
  <c r="AK1254" i="1"/>
  <c r="AG1255" i="1"/>
  <c r="AH1255" i="1"/>
  <c r="AK1255" i="1"/>
  <c r="AG1256" i="1"/>
  <c r="AH1256" i="1"/>
  <c r="AK1256" i="1"/>
  <c r="AG1257" i="1"/>
  <c r="AH1257" i="1"/>
  <c r="AK1257" i="1"/>
  <c r="AG1258" i="1"/>
  <c r="AH1258" i="1"/>
  <c r="AK1258" i="1"/>
  <c r="AG1259" i="1"/>
  <c r="AH1259" i="1"/>
  <c r="AK1259" i="1"/>
  <c r="AG1260" i="1"/>
  <c r="AH1260" i="1"/>
  <c r="AK1260" i="1"/>
  <c r="AG1261" i="1"/>
  <c r="AH1261" i="1"/>
  <c r="AI1261" i="1"/>
  <c r="AK1261" i="1"/>
  <c r="AG1262" i="1"/>
  <c r="AH1262" i="1"/>
  <c r="AK1262" i="1"/>
  <c r="AG1263" i="1"/>
  <c r="AH1263" i="1"/>
  <c r="AK1263" i="1"/>
  <c r="AG1264" i="1"/>
  <c r="AH1264" i="1"/>
  <c r="AK1264" i="1"/>
  <c r="AG1265" i="1"/>
  <c r="AH1265" i="1"/>
  <c r="AK1265" i="1"/>
  <c r="AG1266" i="1"/>
  <c r="AH1266" i="1"/>
  <c r="AK1266" i="1"/>
  <c r="K1267" i="1"/>
  <c r="AG1267" i="1"/>
  <c r="AH1267" i="1"/>
  <c r="AK1267" i="1"/>
  <c r="K1268" i="1"/>
  <c r="AG1268" i="1"/>
  <c r="AH1268" i="1"/>
  <c r="AG1269" i="1"/>
  <c r="AH1269" i="1"/>
  <c r="AK1269" i="1"/>
  <c r="K1270" i="1"/>
  <c r="AG1270" i="1"/>
  <c r="AH1270" i="1"/>
  <c r="AK1270" i="1"/>
  <c r="K1271" i="1"/>
  <c r="AG1271" i="1"/>
  <c r="AH1271" i="1"/>
  <c r="AI1271" i="1"/>
  <c r="AK1271" i="1"/>
  <c r="AG1272" i="1"/>
  <c r="AH1272" i="1"/>
  <c r="AK1272" i="1"/>
  <c r="AG1273" i="1"/>
  <c r="AH1273" i="1"/>
  <c r="AK1273" i="1"/>
  <c r="AG1274" i="1"/>
  <c r="AH1274" i="1"/>
  <c r="AK1274" i="1"/>
  <c r="K1275" i="1"/>
  <c r="AG1275" i="1"/>
  <c r="AH1275" i="1"/>
  <c r="AI1275" i="1"/>
  <c r="AK1275" i="1"/>
  <c r="AG1276" i="1"/>
  <c r="AH1276" i="1"/>
  <c r="AK1276" i="1"/>
  <c r="AG1277" i="1"/>
  <c r="AH1277" i="1"/>
  <c r="AI1277" i="1"/>
  <c r="AK1277" i="1"/>
  <c r="AG1278" i="1"/>
  <c r="AH1278" i="1"/>
  <c r="AK1278" i="1"/>
  <c r="AG1279" i="1"/>
  <c r="AH1279" i="1"/>
  <c r="AK1279" i="1"/>
  <c r="K1280" i="1"/>
  <c r="AG1280" i="1"/>
  <c r="AH1280" i="1"/>
  <c r="AI1280" i="1"/>
  <c r="AK1280" i="1"/>
  <c r="AG1281" i="1"/>
  <c r="AH1281" i="1"/>
  <c r="AK1281" i="1"/>
  <c r="AG1282" i="1"/>
  <c r="AH1282" i="1"/>
  <c r="AK1282" i="1"/>
  <c r="AG1283" i="1"/>
  <c r="AH1283" i="1"/>
  <c r="AK1283" i="1"/>
  <c r="AG1284" i="1"/>
  <c r="AH1284" i="1"/>
  <c r="AI1284" i="1"/>
  <c r="AK1284" i="1"/>
  <c r="AG1285" i="1"/>
  <c r="AH1285" i="1"/>
  <c r="AK1285" i="1"/>
  <c r="AG1286" i="1"/>
  <c r="AH1286" i="1"/>
  <c r="AK1286" i="1"/>
  <c r="K1287" i="1"/>
  <c r="AG1287" i="1"/>
  <c r="AH1287" i="1"/>
  <c r="AI1287" i="1"/>
  <c r="AK1287" i="1"/>
  <c r="K1288" i="1"/>
  <c r="AG1288" i="1"/>
  <c r="AH1288" i="1"/>
  <c r="AI1288" i="1"/>
  <c r="AK1288" i="1"/>
  <c r="K1289" i="1"/>
  <c r="AG1289" i="1"/>
  <c r="AH1289" i="1"/>
  <c r="AK1289" i="1"/>
  <c r="K1290" i="1"/>
  <c r="AG1290" i="1"/>
  <c r="AH1290" i="1"/>
  <c r="AI1290" i="1"/>
  <c r="AK1290" i="1"/>
  <c r="K1291" i="1"/>
  <c r="AG1291" i="1"/>
  <c r="AH1291" i="1"/>
  <c r="AK1291" i="1"/>
  <c r="AG1292" i="1"/>
  <c r="AH1292" i="1"/>
  <c r="AK1292" i="1"/>
  <c r="AG1293" i="1"/>
  <c r="AH1293" i="1"/>
  <c r="AK1293" i="1"/>
  <c r="AG1294" i="1"/>
  <c r="AH1294" i="1"/>
  <c r="AK1294" i="1"/>
  <c r="AG1295" i="1"/>
  <c r="AH1295" i="1"/>
  <c r="AI1295" i="1"/>
  <c r="AK1295" i="1"/>
  <c r="AG1296" i="1"/>
  <c r="AH1296" i="1"/>
  <c r="AK1296" i="1"/>
  <c r="K1297" i="1"/>
  <c r="AG1297" i="1"/>
  <c r="AH1297" i="1"/>
  <c r="AK1297" i="1"/>
  <c r="K1298" i="1"/>
  <c r="AG1298" i="1"/>
  <c r="AH1298" i="1"/>
  <c r="AI1298" i="1"/>
  <c r="AK1298" i="1"/>
  <c r="K1299" i="1"/>
  <c r="AG1299" i="1"/>
  <c r="AH1299" i="1"/>
  <c r="AI1299" i="1"/>
  <c r="AK1299" i="1"/>
  <c r="AG1300" i="1"/>
  <c r="AH1300" i="1"/>
  <c r="AK1300" i="1"/>
  <c r="AG1301" i="1"/>
  <c r="AH1301" i="1"/>
  <c r="AK1301" i="1"/>
  <c r="AG1302" i="1"/>
  <c r="AH1302" i="1"/>
  <c r="AK1302" i="1"/>
  <c r="K1303" i="1"/>
  <c r="AG1303" i="1"/>
  <c r="AH1303" i="1"/>
  <c r="AI1303" i="1"/>
  <c r="AK1303" i="1"/>
  <c r="AG1304" i="1"/>
  <c r="AH1304" i="1"/>
  <c r="AI1304" i="1"/>
  <c r="AK1304" i="1"/>
  <c r="AG1305" i="1"/>
  <c r="AH1305" i="1"/>
  <c r="AK1305" i="1"/>
  <c r="AG1306" i="1"/>
  <c r="AH1306" i="1"/>
  <c r="AK1306" i="1"/>
  <c r="K1307" i="1"/>
  <c r="AG1307" i="1"/>
  <c r="AH1307" i="1"/>
  <c r="AK1307" i="1"/>
  <c r="K1308" i="1"/>
  <c r="AG1308" i="1"/>
  <c r="AH1308" i="1"/>
  <c r="AK1308" i="1"/>
  <c r="K1309" i="1"/>
  <c r="AG1309" i="1"/>
  <c r="AH1309" i="1"/>
  <c r="AK1309" i="1"/>
  <c r="K1310" i="1"/>
  <c r="L1310" i="1"/>
  <c r="AG1310" i="1"/>
  <c r="AH1310" i="1"/>
  <c r="AK1310" i="1"/>
  <c r="AG1311" i="1"/>
  <c r="AH1311" i="1"/>
  <c r="AK1311" i="1"/>
  <c r="AG1312" i="1"/>
  <c r="AH1312" i="1"/>
  <c r="AK1312" i="1"/>
  <c r="AG1313" i="1"/>
  <c r="AH1313" i="1"/>
  <c r="AK1313" i="1"/>
  <c r="K1314" i="1"/>
  <c r="AG1314" i="1"/>
  <c r="AH1314" i="1"/>
  <c r="AI1314" i="1"/>
  <c r="AK1314" i="1"/>
  <c r="K1315" i="1"/>
  <c r="AG1315" i="1"/>
  <c r="AH1315" i="1"/>
  <c r="K1316" i="1"/>
  <c r="L1316" i="1"/>
  <c r="AG1316" i="1"/>
  <c r="AH1316" i="1"/>
  <c r="AK1316" i="1"/>
  <c r="K1317" i="1"/>
  <c r="AG1317" i="1"/>
  <c r="AH1317" i="1"/>
  <c r="AK1317" i="1"/>
  <c r="K1318" i="1"/>
  <c r="AG1318" i="1"/>
  <c r="AH1318" i="1"/>
  <c r="AK1318" i="1"/>
  <c r="K1319" i="1"/>
  <c r="AG1319" i="1"/>
  <c r="AH1319" i="1"/>
  <c r="AK1319" i="1"/>
  <c r="AG1320" i="1"/>
  <c r="AH1320" i="1"/>
  <c r="AK1320" i="1"/>
  <c r="AG1321" i="1"/>
  <c r="AH1321" i="1"/>
  <c r="AK1321" i="1"/>
  <c r="AG1322" i="1"/>
  <c r="AH1322" i="1"/>
  <c r="AK1322" i="1"/>
  <c r="AG1323" i="1"/>
  <c r="AH1323" i="1"/>
  <c r="AK1323" i="1"/>
  <c r="K1324" i="1"/>
  <c r="AG1324" i="1"/>
  <c r="AH1324" i="1"/>
  <c r="AI1324" i="1"/>
  <c r="AK1324" i="1"/>
  <c r="K1325" i="1"/>
  <c r="L1325" i="1"/>
  <c r="M1325" i="1"/>
  <c r="N1325" i="1"/>
  <c r="O1325" i="1"/>
  <c r="P1325" i="1"/>
  <c r="Q1325" i="1"/>
  <c r="K1326" i="1"/>
  <c r="L1326" i="1"/>
  <c r="E1327" i="1"/>
  <c r="F1327" i="1"/>
  <c r="G1327" i="1"/>
  <c r="H1327" i="1"/>
  <c r="E1328" i="1"/>
  <c r="F1328" i="1"/>
  <c r="K1328" i="1"/>
  <c r="K1329" i="1"/>
  <c r="E1330" i="1"/>
  <c r="F1330" i="1"/>
  <c r="G1330" i="1"/>
  <c r="K1331" i="1"/>
  <c r="E1332" i="1"/>
  <c r="E1333" i="1"/>
  <c r="K1334" i="1"/>
  <c r="E1335" i="1"/>
  <c r="F1335" i="1"/>
  <c r="E1336" i="1"/>
  <c r="F1336" i="1"/>
  <c r="E1337" i="1"/>
  <c r="F1337" i="1"/>
  <c r="E1338" i="1"/>
  <c r="F1338" i="1"/>
  <c r="E1339" i="1"/>
  <c r="F1339" i="1"/>
  <c r="G1339" i="1"/>
  <c r="H1339" i="1"/>
  <c r="I1339" i="1"/>
  <c r="E1340" i="1"/>
  <c r="F1340" i="1"/>
  <c r="G1340" i="1"/>
  <c r="E1341" i="1"/>
  <c r="F1341" i="1"/>
  <c r="G1341" i="1"/>
  <c r="E1342" i="1"/>
  <c r="F1342" i="1"/>
  <c r="E1343" i="1"/>
  <c r="F1343" i="1"/>
  <c r="G1343" i="1"/>
  <c r="H1343" i="1"/>
  <c r="K1343" i="1"/>
  <c r="L1343" i="1"/>
  <c r="M1343" i="1"/>
  <c r="E1344" i="1"/>
  <c r="F1344" i="1"/>
  <c r="K1344" i="1"/>
  <c r="E1345" i="1"/>
  <c r="K1345" i="1"/>
  <c r="E1346" i="1"/>
  <c r="F1346" i="1"/>
  <c r="G1346" i="1"/>
  <c r="H1346" i="1"/>
  <c r="E1347" i="1"/>
  <c r="K1347" i="1"/>
  <c r="E1348" i="1"/>
  <c r="K1348" i="1"/>
  <c r="E1349" i="1"/>
  <c r="F1349" i="1"/>
  <c r="G1349" i="1"/>
  <c r="H1349" i="1"/>
  <c r="K1350" i="1"/>
  <c r="E1351" i="1"/>
  <c r="F1351" i="1"/>
  <c r="K1351" i="1"/>
  <c r="E1352" i="1"/>
  <c r="K1352" i="1"/>
  <c r="K1353" i="1"/>
  <c r="AG1353" i="1"/>
  <c r="AH1353" i="1"/>
  <c r="AI1353" i="1"/>
  <c r="AK1353" i="1"/>
  <c r="K1354" i="1"/>
  <c r="AG1354" i="1"/>
  <c r="AH1354" i="1"/>
  <c r="AI1354" i="1"/>
  <c r="AK1354" i="1"/>
  <c r="K1355" i="1"/>
  <c r="AG1355" i="1"/>
  <c r="AH1355" i="1"/>
  <c r="K1356" i="1"/>
  <c r="AG1356" i="1"/>
  <c r="AH1356" i="1"/>
  <c r="K1357" i="1"/>
  <c r="AG1357" i="1"/>
  <c r="AH1357" i="1"/>
  <c r="K1358" i="1"/>
  <c r="AF1358" i="1"/>
  <c r="AG1358" i="1"/>
  <c r="AH1358" i="1"/>
  <c r="K1359" i="1"/>
  <c r="AG1359" i="1"/>
  <c r="AH1359" i="1"/>
  <c r="K1360" i="1"/>
  <c r="AG1360" i="1"/>
  <c r="AH1360" i="1"/>
  <c r="K1361" i="1"/>
  <c r="K1362" i="1"/>
  <c r="L1362" i="1"/>
  <c r="M1362" i="1"/>
  <c r="E1364" i="1"/>
  <c r="K1364" i="1"/>
  <c r="L1364" i="1"/>
  <c r="M1364" i="1"/>
  <c r="K1366" i="1"/>
  <c r="K1367" i="1"/>
  <c r="K1369" i="1"/>
  <c r="K1374" i="1"/>
  <c r="E1375" i="1"/>
  <c r="K1375" i="1"/>
  <c r="L1375" i="1"/>
  <c r="E1376" i="1"/>
  <c r="K1376" i="1"/>
  <c r="AG1377" i="1"/>
  <c r="AH1377" i="1"/>
  <c r="K1379" i="1"/>
  <c r="K1380" i="1"/>
  <c r="K1381" i="1"/>
  <c r="AG1381" i="1"/>
  <c r="AH1381" i="1"/>
  <c r="K1382" i="1"/>
  <c r="AG1382" i="1"/>
  <c r="AH1382" i="1"/>
  <c r="K1383" i="1"/>
  <c r="L1383" i="1"/>
  <c r="M1383" i="1"/>
  <c r="N1383" i="1"/>
  <c r="O1383" i="1"/>
  <c r="K1384" i="1"/>
  <c r="K1385" i="1"/>
  <c r="K1386" i="1"/>
  <c r="L1386" i="1"/>
  <c r="K1387" i="1"/>
  <c r="L1387" i="1"/>
  <c r="M1387" i="1"/>
  <c r="N1387" i="1"/>
  <c r="O1387" i="1"/>
  <c r="P1387" i="1"/>
  <c r="Q1387" i="1"/>
  <c r="R1387" i="1"/>
  <c r="S1387" i="1"/>
  <c r="T1387" i="1"/>
  <c r="K1388" i="1"/>
  <c r="L1388" i="1"/>
  <c r="M1388" i="1"/>
  <c r="AG1388" i="1"/>
  <c r="AH1388" i="1"/>
  <c r="AI1388" i="1"/>
  <c r="AK1388" i="1"/>
  <c r="AG1389" i="1"/>
  <c r="AH1389" i="1"/>
  <c r="AK1389" i="1"/>
  <c r="AG1390" i="1"/>
  <c r="AH1390" i="1"/>
  <c r="AG1394" i="1"/>
  <c r="AH1394" i="1"/>
  <c r="AK1394" i="1"/>
  <c r="AG1395" i="1"/>
  <c r="AH1395" i="1"/>
  <c r="AK1395" i="1"/>
  <c r="K1396" i="1"/>
  <c r="L1396" i="1"/>
  <c r="K1397" i="1"/>
  <c r="K1398" i="1"/>
  <c r="L1398" i="1"/>
  <c r="K1399" i="1"/>
  <c r="K1400" i="1"/>
  <c r="K1401" i="1"/>
  <c r="K1402" i="1"/>
  <c r="AG1402" i="1"/>
  <c r="AH1402" i="1"/>
  <c r="AK1402" i="1"/>
  <c r="AG1403" i="1"/>
  <c r="AH1403" i="1"/>
  <c r="AK1403" i="1"/>
  <c r="AG1404" i="1"/>
  <c r="AH1404" i="1"/>
  <c r="AI1404" i="1"/>
  <c r="AK1404" i="1"/>
  <c r="K1405" i="1"/>
  <c r="AG1405" i="1"/>
  <c r="AH1405" i="1"/>
  <c r="AI1405" i="1"/>
  <c r="AK1405" i="1"/>
  <c r="AG1407" i="1"/>
  <c r="AH1407" i="1"/>
  <c r="AK1407" i="1"/>
  <c r="AG1408" i="1"/>
  <c r="AH1408" i="1"/>
  <c r="AK1408" i="1"/>
  <c r="AG1409" i="1"/>
  <c r="AH1409" i="1"/>
  <c r="AI1409" i="1"/>
  <c r="AK1409" i="1"/>
  <c r="AG1410" i="1"/>
  <c r="AH1410" i="1"/>
  <c r="AI1410" i="1"/>
  <c r="AK1410" i="1"/>
  <c r="AG1411" i="1"/>
  <c r="AH1411" i="1"/>
  <c r="AI1411" i="1"/>
  <c r="AK1411" i="1"/>
  <c r="AG1412" i="1"/>
  <c r="AH1412" i="1"/>
  <c r="AK1412" i="1"/>
  <c r="AG1413" i="1"/>
  <c r="AH1413" i="1"/>
  <c r="AI1413" i="1"/>
  <c r="AK1413" i="1"/>
  <c r="AG1414" i="1"/>
  <c r="AH1414" i="1"/>
  <c r="AK1414" i="1"/>
  <c r="AG1415" i="1"/>
  <c r="AH1415" i="1"/>
  <c r="AK1415" i="1"/>
  <c r="AG1416" i="1"/>
  <c r="AH1416" i="1"/>
  <c r="AK1416" i="1"/>
  <c r="AG1417" i="1"/>
  <c r="AH1417" i="1"/>
  <c r="AI1417" i="1"/>
  <c r="AK1417" i="1"/>
  <c r="AG1418" i="1"/>
  <c r="AH1418" i="1"/>
  <c r="AK1418" i="1"/>
  <c r="AG1419" i="1"/>
  <c r="AH1419" i="1"/>
  <c r="AK1419" i="1"/>
  <c r="AG1420" i="1"/>
  <c r="AH1420" i="1"/>
  <c r="AK1420" i="1"/>
  <c r="AG1421" i="1"/>
  <c r="AH1421" i="1"/>
  <c r="AI1421" i="1"/>
  <c r="AK1421" i="1"/>
  <c r="AG1422" i="1"/>
  <c r="AH1422" i="1"/>
  <c r="AK1422" i="1"/>
  <c r="AG1423" i="1"/>
  <c r="AH1423" i="1"/>
  <c r="AI1423" i="1"/>
  <c r="AK1423" i="1"/>
  <c r="AG1424" i="1"/>
  <c r="AH1424" i="1"/>
  <c r="AK1424" i="1"/>
  <c r="AG1425" i="1"/>
  <c r="AH1425" i="1"/>
  <c r="AK1425" i="1"/>
  <c r="AG1427" i="1"/>
  <c r="AH1427" i="1"/>
  <c r="AK1427" i="1"/>
  <c r="AG1428" i="1"/>
  <c r="AH1428" i="1"/>
  <c r="AK1428" i="1"/>
  <c r="AG1429" i="1"/>
  <c r="AH1429" i="1"/>
  <c r="AI1429" i="1"/>
  <c r="AK1429" i="1"/>
  <c r="K1430" i="1"/>
  <c r="AG1430" i="1"/>
  <c r="AH1430" i="1"/>
  <c r="AK1430" i="1"/>
  <c r="K1431" i="1"/>
  <c r="AG1431" i="1"/>
  <c r="AH1431" i="1"/>
  <c r="K1432" i="1"/>
  <c r="K1433" i="1"/>
  <c r="K1434" i="1"/>
  <c r="AG1434" i="1"/>
  <c r="AH1434" i="1"/>
  <c r="K1435" i="1"/>
  <c r="AG1435" i="1"/>
  <c r="AH1435" i="1"/>
  <c r="K1436" i="1"/>
  <c r="AG1436" i="1"/>
  <c r="AH1436" i="1"/>
  <c r="K1437" i="1"/>
  <c r="AG1437" i="1"/>
  <c r="AH1437" i="1"/>
  <c r="K1438" i="1"/>
  <c r="AG1438" i="1"/>
  <c r="AH1438" i="1"/>
  <c r="K1439" i="1"/>
  <c r="AG1440" i="1"/>
  <c r="AH1440" i="1"/>
  <c r="K1441" i="1"/>
  <c r="L1441" i="1"/>
  <c r="K1442" i="1"/>
  <c r="K1443" i="1"/>
  <c r="AG1443" i="1"/>
  <c r="AH1443" i="1"/>
  <c r="K1444" i="1"/>
  <c r="L1444" i="1"/>
  <c r="M1444" i="1"/>
  <c r="N1444" i="1"/>
  <c r="K1445" i="1"/>
  <c r="K1446" i="1"/>
  <c r="AG1446" i="1"/>
  <c r="AH1446" i="1"/>
  <c r="K1447" i="1"/>
  <c r="AG1447" i="1"/>
  <c r="AH1447" i="1"/>
  <c r="K1448" i="1"/>
  <c r="AG1448" i="1"/>
  <c r="AH1448" i="1"/>
  <c r="K1449" i="1"/>
  <c r="AG1450" i="1"/>
  <c r="AH1450" i="1"/>
  <c r="AK1450" i="1"/>
  <c r="K1451" i="1"/>
  <c r="AG1451" i="1"/>
  <c r="AH1451" i="1"/>
  <c r="AK1451" i="1"/>
  <c r="K1452" i="1"/>
  <c r="K1453" i="1"/>
  <c r="K1454" i="1"/>
  <c r="AG1454" i="1"/>
  <c r="AH1454" i="1"/>
  <c r="K1455" i="1"/>
  <c r="K1456" i="1"/>
  <c r="K1457" i="1"/>
  <c r="AG1457" i="1"/>
  <c r="AH1457" i="1"/>
  <c r="K1458" i="1"/>
  <c r="AG1458" i="1"/>
  <c r="AH1458" i="1"/>
  <c r="AK1458" i="1"/>
  <c r="K1459" i="1"/>
  <c r="AG1459" i="1"/>
  <c r="AH1459" i="1"/>
  <c r="AK1459" i="1"/>
  <c r="K1460" i="1"/>
  <c r="AG1460" i="1"/>
  <c r="AH1460" i="1"/>
  <c r="AK1460" i="1"/>
  <c r="K1461" i="1"/>
  <c r="AG1461" i="1"/>
  <c r="AH1461" i="1"/>
  <c r="AK1461" i="1"/>
  <c r="K1462" i="1"/>
  <c r="AG1462" i="1"/>
  <c r="AH1462" i="1"/>
  <c r="AK1462" i="1"/>
  <c r="K1463" i="1"/>
  <c r="AG1463" i="1"/>
  <c r="AH1463" i="1"/>
  <c r="AK1463" i="1"/>
  <c r="K1464" i="1"/>
  <c r="AG1464" i="1"/>
  <c r="AH1464" i="1"/>
  <c r="AI1464" i="1"/>
  <c r="AK1464" i="1"/>
  <c r="K1465" i="1"/>
  <c r="AG1465" i="1"/>
  <c r="AH1465" i="1"/>
  <c r="AI1465" i="1"/>
  <c r="AK1465" i="1"/>
  <c r="K1466" i="1"/>
  <c r="AG1466" i="1"/>
  <c r="AH1466" i="1"/>
  <c r="AK1466" i="1"/>
  <c r="AG1467" i="1"/>
  <c r="AH1467" i="1"/>
  <c r="AK1467" i="1"/>
  <c r="K1468" i="1"/>
  <c r="AG1468" i="1"/>
  <c r="AH1468" i="1"/>
  <c r="AK1468" i="1"/>
  <c r="K1469" i="1"/>
  <c r="AG1469" i="1"/>
  <c r="AH1469" i="1"/>
  <c r="AK1469" i="1"/>
  <c r="AG1470" i="1"/>
  <c r="AH1470" i="1"/>
  <c r="AK1470" i="1"/>
  <c r="AG1471" i="1"/>
  <c r="AH1471" i="1"/>
  <c r="AK1471" i="1"/>
  <c r="K1472" i="1"/>
  <c r="K1473" i="1"/>
  <c r="K1474" i="1"/>
  <c r="K1475" i="1"/>
  <c r="K1476" i="1"/>
  <c r="AG1476" i="1"/>
  <c r="AH1476" i="1"/>
  <c r="K1477" i="1"/>
  <c r="K1478" i="1"/>
  <c r="AF1478" i="1"/>
  <c r="AG1478" i="1"/>
  <c r="AH1478" i="1"/>
  <c r="K1479" i="1"/>
  <c r="AG1479" i="1"/>
  <c r="AH1479" i="1"/>
  <c r="K1480" i="1"/>
  <c r="AG1480" i="1"/>
  <c r="AH1480" i="1"/>
  <c r="K1481" i="1"/>
  <c r="AG1481" i="1"/>
  <c r="AH1481" i="1"/>
  <c r="K1483" i="1"/>
  <c r="AG1484" i="1"/>
  <c r="AH1484" i="1"/>
  <c r="AI1484" i="1"/>
  <c r="AK1484" i="1"/>
  <c r="AG1485" i="1"/>
  <c r="AH1485" i="1"/>
  <c r="AK1485" i="1"/>
  <c r="K1486" i="1"/>
  <c r="K1488" i="1"/>
  <c r="K1489" i="1"/>
  <c r="K1490" i="1"/>
  <c r="K1494" i="1"/>
  <c r="AG1494" i="1"/>
  <c r="AH1494" i="1"/>
  <c r="K1498" i="1"/>
  <c r="L1498" i="1"/>
  <c r="AG1498" i="1"/>
  <c r="AH1498" i="1"/>
  <c r="AI1498" i="1"/>
  <c r="AK1498" i="1"/>
  <c r="K1499" i="1"/>
  <c r="L1499" i="1"/>
  <c r="K1500" i="1"/>
  <c r="AG1500" i="1"/>
  <c r="AH1500" i="1"/>
  <c r="AK1500" i="1"/>
  <c r="AG1501" i="1"/>
  <c r="AH1501" i="1"/>
  <c r="AI1501" i="1"/>
  <c r="AK1501" i="1"/>
  <c r="K1502" i="1"/>
  <c r="L1502" i="1"/>
  <c r="M1502" i="1"/>
  <c r="N1502" i="1"/>
  <c r="O1502" i="1"/>
  <c r="P1502" i="1"/>
  <c r="Q1502" i="1"/>
  <c r="K1504" i="1"/>
  <c r="L1504" i="1"/>
  <c r="M1504" i="1"/>
  <c r="N1504" i="1"/>
  <c r="O1504" i="1"/>
  <c r="P1504" i="1"/>
  <c r="Q1504" i="1"/>
  <c r="R1504" i="1"/>
  <c r="S1504" i="1"/>
  <c r="T1504" i="1"/>
  <c r="AF1504" i="1"/>
  <c r="AG1504" i="1"/>
  <c r="AH1504" i="1"/>
  <c r="K1505" i="1"/>
  <c r="L1505" i="1"/>
  <c r="K1506" i="1"/>
  <c r="AG1506" i="1"/>
  <c r="AH1506" i="1"/>
  <c r="AI1506" i="1"/>
  <c r="AK1506" i="1"/>
  <c r="K1507" i="1"/>
  <c r="AG1508" i="1"/>
  <c r="AH1508" i="1"/>
  <c r="AK1508" i="1"/>
  <c r="AG1509" i="1"/>
  <c r="AH1509" i="1"/>
  <c r="AK1509" i="1"/>
  <c r="K1510" i="1"/>
  <c r="AG1510" i="1"/>
  <c r="AH1510" i="1"/>
  <c r="K1511" i="1"/>
  <c r="K1512" i="1"/>
  <c r="K1513" i="1"/>
  <c r="L1513" i="1"/>
  <c r="M1513" i="1"/>
  <c r="N1513" i="1"/>
  <c r="AG1513" i="1"/>
  <c r="AH1513" i="1"/>
  <c r="AK1513" i="1"/>
  <c r="K1514" i="1"/>
  <c r="L1514" i="1"/>
  <c r="M1514" i="1"/>
  <c r="N1514" i="1"/>
  <c r="O1514" i="1"/>
  <c r="P1514" i="1"/>
  <c r="AG1514" i="1"/>
  <c r="AH1514" i="1"/>
  <c r="AK1514" i="1"/>
  <c r="K1515" i="1"/>
  <c r="K1516" i="1"/>
  <c r="L1516" i="1"/>
  <c r="AG1516" i="1"/>
  <c r="AH1516" i="1"/>
  <c r="AK1516" i="1"/>
  <c r="AG1517" i="1"/>
  <c r="AH1517" i="1"/>
  <c r="AI1517" i="1"/>
  <c r="AK1517" i="1"/>
  <c r="K1518" i="1"/>
  <c r="K1519" i="1"/>
  <c r="L1519" i="1"/>
  <c r="AG1519" i="1"/>
  <c r="AH1519" i="1"/>
  <c r="AI1519" i="1"/>
  <c r="AK1519" i="1"/>
  <c r="K1521" i="1"/>
  <c r="AG1521" i="1"/>
  <c r="AH1521" i="1"/>
  <c r="K1522" i="1"/>
  <c r="AG1522" i="1"/>
  <c r="AH1522" i="1"/>
  <c r="E1523" i="1"/>
  <c r="K1525" i="1"/>
  <c r="AF1525" i="1"/>
  <c r="K1526" i="1"/>
  <c r="K1527" i="1"/>
  <c r="K1528" i="1"/>
  <c r="AF1528" i="1"/>
  <c r="AG1528" i="1"/>
  <c r="AH1528" i="1"/>
  <c r="K1529" i="1"/>
  <c r="K1530" i="1"/>
  <c r="AG1531" i="1"/>
  <c r="AH1531" i="1"/>
  <c r="E1532" i="1"/>
  <c r="K1533" i="1"/>
  <c r="K1534" i="1"/>
  <c r="L1534" i="1"/>
  <c r="M1534" i="1"/>
  <c r="N1534" i="1"/>
  <c r="K1535" i="1"/>
  <c r="AG1535" i="1"/>
  <c r="AH1535" i="1"/>
  <c r="K1536" i="1"/>
  <c r="AG1536" i="1"/>
  <c r="AH1536" i="1"/>
  <c r="AK1536" i="1"/>
  <c r="AG1537" i="1"/>
  <c r="AH1537" i="1"/>
  <c r="AK1537" i="1"/>
  <c r="AG1538" i="1"/>
  <c r="AH1538" i="1"/>
  <c r="AK1538" i="1"/>
  <c r="K1539" i="1"/>
  <c r="AG1539" i="1"/>
  <c r="AH1539" i="1"/>
  <c r="K1540" i="1"/>
  <c r="AG1540" i="1"/>
  <c r="AH1540" i="1"/>
  <c r="K1541" i="1"/>
  <c r="AG1541" i="1"/>
  <c r="AH1541" i="1"/>
  <c r="AK1541" i="1"/>
  <c r="AG1542" i="1"/>
  <c r="AH1542" i="1"/>
  <c r="AK1542" i="1"/>
  <c r="K1543" i="1"/>
  <c r="AG1543" i="1"/>
  <c r="AH1543" i="1"/>
  <c r="AK1543" i="1"/>
  <c r="K1544" i="1"/>
  <c r="K1545" i="1"/>
  <c r="K1546" i="1"/>
  <c r="AG1546" i="1"/>
  <c r="AH1546" i="1"/>
  <c r="K1547" i="1"/>
  <c r="K1549" i="1"/>
  <c r="AG1550" i="1"/>
  <c r="AH1550" i="1"/>
  <c r="K1551" i="1"/>
  <c r="E1552" i="1"/>
  <c r="K1553" i="1"/>
  <c r="AG1553" i="1"/>
  <c r="AH1553" i="1"/>
  <c r="AG1554" i="1"/>
  <c r="AH1554" i="1"/>
  <c r="AI1554" i="1"/>
  <c r="K1555" i="1"/>
  <c r="K1556" i="1"/>
  <c r="K1557" i="1"/>
  <c r="AG1558" i="1"/>
  <c r="AH1558" i="1"/>
  <c r="AK1558" i="1"/>
  <c r="AG1559" i="1"/>
  <c r="AH1559" i="1"/>
  <c r="AK1559" i="1"/>
  <c r="K1560" i="1"/>
  <c r="AG1560" i="1"/>
  <c r="AH1560" i="1"/>
  <c r="AI1560" i="1"/>
  <c r="AK1560" i="1"/>
  <c r="K1561" i="1"/>
  <c r="AG1561" i="1"/>
  <c r="AH1561" i="1"/>
  <c r="AK1561" i="1"/>
  <c r="K1562" i="1"/>
  <c r="AG1562" i="1"/>
  <c r="AH1562" i="1"/>
  <c r="AK1562" i="1"/>
  <c r="K1563" i="1"/>
  <c r="AG1563" i="1"/>
  <c r="AH1563" i="1"/>
  <c r="AK1563" i="1"/>
  <c r="AG1564" i="1"/>
  <c r="AH1564" i="1"/>
  <c r="AK1564" i="1"/>
  <c r="K1565" i="1"/>
  <c r="AG1565" i="1"/>
  <c r="AH1565" i="1"/>
  <c r="AI1565" i="1"/>
  <c r="AK1565" i="1"/>
  <c r="AG1566" i="1"/>
  <c r="AH1566" i="1"/>
  <c r="AK1566" i="1"/>
  <c r="AG1567" i="1"/>
  <c r="AH1567" i="1"/>
  <c r="AK1567" i="1"/>
  <c r="K1568" i="1"/>
  <c r="AG1568" i="1"/>
  <c r="AK1568" i="1"/>
  <c r="AG1569" i="1"/>
  <c r="AH1569" i="1"/>
  <c r="AK1569" i="1"/>
  <c r="K1570" i="1"/>
  <c r="AG1570" i="1"/>
  <c r="AH1570" i="1"/>
  <c r="AK1570" i="1"/>
  <c r="K1571" i="1"/>
  <c r="AG1571" i="1"/>
  <c r="AH1571" i="1"/>
  <c r="AK1571" i="1"/>
  <c r="K1572" i="1"/>
  <c r="AG1572" i="1"/>
  <c r="AH1572" i="1"/>
  <c r="AK1572" i="1"/>
  <c r="K1573" i="1"/>
  <c r="AG1573" i="1"/>
  <c r="AH1573" i="1"/>
  <c r="AK1573" i="1"/>
  <c r="AG1574" i="1"/>
  <c r="AH1574" i="1"/>
  <c r="AI1574" i="1"/>
  <c r="AK1574" i="1"/>
  <c r="AG1575" i="1"/>
  <c r="AH1575" i="1"/>
  <c r="AI1575" i="1"/>
  <c r="AK1575" i="1"/>
  <c r="AG1576" i="1"/>
  <c r="AH1576" i="1"/>
  <c r="AK1576" i="1"/>
  <c r="AG1577" i="1"/>
  <c r="AH1577" i="1"/>
  <c r="AK1577" i="1"/>
  <c r="AG1578" i="1"/>
  <c r="AH1578" i="1"/>
  <c r="AK1578" i="1"/>
  <c r="AG1579" i="1"/>
  <c r="AH1579" i="1"/>
  <c r="AK1579" i="1"/>
  <c r="AG1580" i="1"/>
  <c r="AH1580" i="1"/>
  <c r="AK1580" i="1"/>
  <c r="AG1581" i="1"/>
  <c r="AH1581" i="1"/>
  <c r="AK1581" i="1"/>
  <c r="AG1582" i="1"/>
  <c r="AH1582" i="1"/>
  <c r="AK1582" i="1"/>
  <c r="AG1583" i="1"/>
  <c r="AH1583" i="1"/>
  <c r="AK1583" i="1"/>
  <c r="AG1584" i="1"/>
  <c r="AH1584" i="1"/>
  <c r="AK1584" i="1"/>
  <c r="K1585" i="1"/>
  <c r="AG1585" i="1"/>
  <c r="AH1585" i="1"/>
  <c r="AK1585" i="1"/>
  <c r="AG1586" i="1"/>
  <c r="AH1586" i="1"/>
  <c r="AK1586" i="1"/>
  <c r="K1587" i="1"/>
  <c r="AG1587" i="1"/>
  <c r="AH1587" i="1"/>
  <c r="AK1587" i="1"/>
  <c r="K1588" i="1"/>
  <c r="AG1588" i="1"/>
  <c r="AH1588" i="1"/>
  <c r="AK1588" i="1"/>
  <c r="AG1589" i="1"/>
  <c r="AH1589" i="1"/>
  <c r="AK1589" i="1"/>
  <c r="K1590" i="1"/>
  <c r="AG1590" i="1"/>
  <c r="AH1590" i="1"/>
  <c r="AK1590" i="1"/>
  <c r="AG1591" i="1"/>
  <c r="AH1591" i="1"/>
  <c r="AK1591" i="1"/>
  <c r="AG1592" i="1"/>
  <c r="AK1592" i="1"/>
  <c r="K1593" i="1"/>
  <c r="AG1593" i="1"/>
  <c r="AH1593" i="1"/>
  <c r="AK1593" i="1"/>
  <c r="AG1594" i="1"/>
  <c r="AH1594" i="1"/>
  <c r="AK1594" i="1"/>
  <c r="AG1595" i="1"/>
  <c r="AH1595" i="1"/>
  <c r="AK1595" i="1"/>
  <c r="K1596" i="1"/>
  <c r="AG1596" i="1"/>
  <c r="AH1596" i="1"/>
  <c r="AK1596" i="1"/>
  <c r="K1597" i="1"/>
  <c r="AG1597" i="1"/>
  <c r="AH1597" i="1"/>
  <c r="AK1597" i="1"/>
  <c r="K1598" i="1"/>
  <c r="AG1600" i="1"/>
  <c r="AH1600" i="1"/>
  <c r="K1601" i="1"/>
  <c r="AG1601" i="1"/>
  <c r="AH1601" i="1"/>
  <c r="AK1601" i="1"/>
  <c r="AG1602" i="1"/>
  <c r="AH1602" i="1"/>
  <c r="AK1602" i="1"/>
  <c r="AG1603" i="1"/>
  <c r="AH1603" i="1"/>
  <c r="AK1603" i="1"/>
  <c r="AG1604" i="1"/>
  <c r="AH1604" i="1"/>
  <c r="AI1604" i="1"/>
  <c r="AK1604" i="1"/>
  <c r="AG1605" i="1"/>
  <c r="AH1605" i="1"/>
  <c r="AK1605" i="1"/>
  <c r="AG1606" i="1"/>
  <c r="AH1606" i="1"/>
  <c r="AK1606" i="1"/>
  <c r="AG1607" i="1"/>
  <c r="AH1607" i="1"/>
  <c r="AK1607" i="1"/>
  <c r="AG1608" i="1"/>
  <c r="AH1608" i="1"/>
  <c r="AK1608" i="1"/>
  <c r="AG1609" i="1"/>
  <c r="AH1609" i="1"/>
  <c r="AK1609" i="1"/>
  <c r="K1610" i="1"/>
  <c r="AG1610" i="1"/>
  <c r="AH1610" i="1"/>
  <c r="AI1610" i="1"/>
  <c r="AK1610" i="1"/>
  <c r="K1611" i="1"/>
  <c r="AG1611" i="1"/>
  <c r="AH1611" i="1"/>
  <c r="AI1611" i="1"/>
  <c r="AK1611" i="1"/>
  <c r="AG1612" i="1"/>
  <c r="AH1612" i="1"/>
  <c r="AK1612" i="1"/>
  <c r="AG1613" i="1"/>
  <c r="AH1613" i="1"/>
  <c r="AK1613" i="1"/>
  <c r="AG1614" i="1"/>
  <c r="AH1614" i="1"/>
  <c r="AK1614" i="1"/>
  <c r="AG1615" i="1"/>
  <c r="AH1615" i="1"/>
  <c r="AK1615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K1617" i="1"/>
  <c r="AG1617" i="1"/>
  <c r="AH1617" i="1"/>
  <c r="AI1617" i="1"/>
  <c r="AK1617" i="1"/>
  <c r="AG1618" i="1"/>
  <c r="AH1618" i="1"/>
  <c r="AK1618" i="1"/>
  <c r="AG1619" i="1"/>
  <c r="AH1619" i="1"/>
  <c r="AK1619" i="1"/>
  <c r="AG1620" i="1"/>
  <c r="AH1620" i="1"/>
  <c r="AK1620" i="1"/>
  <c r="K1621" i="1"/>
  <c r="L1621" i="1"/>
  <c r="AG1621" i="1"/>
  <c r="AH1621" i="1"/>
  <c r="AI1621" i="1"/>
  <c r="AK1621" i="1"/>
  <c r="AG1622" i="1"/>
  <c r="AH1622" i="1"/>
  <c r="AK1622" i="1"/>
  <c r="AG1623" i="1"/>
  <c r="AH1623" i="1"/>
  <c r="AK1623" i="1"/>
  <c r="K1624" i="1"/>
  <c r="AG1624" i="1"/>
  <c r="AH1624" i="1"/>
  <c r="AI1624" i="1"/>
  <c r="AK1624" i="1"/>
  <c r="AG1625" i="1"/>
  <c r="AH1625" i="1"/>
  <c r="AK1625" i="1"/>
  <c r="AG1626" i="1"/>
  <c r="AH1626" i="1"/>
  <c r="AI1626" i="1"/>
  <c r="AK1626" i="1"/>
  <c r="AG1628" i="1"/>
  <c r="AH1628" i="1"/>
  <c r="AK1628" i="1"/>
  <c r="AG1629" i="1"/>
  <c r="AH1629" i="1"/>
  <c r="AK1629" i="1"/>
  <c r="AG1630" i="1"/>
  <c r="AH1630" i="1"/>
  <c r="AK1630" i="1"/>
  <c r="AG1631" i="1"/>
  <c r="AH1631" i="1"/>
  <c r="AK1631" i="1"/>
  <c r="AG1632" i="1"/>
  <c r="AH1632" i="1"/>
  <c r="AK1632" i="1"/>
  <c r="AG1633" i="1"/>
  <c r="AH1633" i="1"/>
  <c r="AK1633" i="1"/>
  <c r="AG1634" i="1"/>
  <c r="AH1634" i="1"/>
  <c r="AI1634" i="1"/>
  <c r="AK1634" i="1"/>
  <c r="AG1635" i="1"/>
  <c r="AH1635" i="1"/>
  <c r="AI1635" i="1"/>
  <c r="AK1635" i="1"/>
  <c r="AG1636" i="1"/>
  <c r="AH1636" i="1"/>
  <c r="AK1636" i="1"/>
  <c r="K1637" i="1"/>
  <c r="AG1637" i="1"/>
  <c r="AH1637" i="1"/>
  <c r="AK1637" i="1"/>
  <c r="AG1638" i="1"/>
  <c r="AH1638" i="1"/>
  <c r="AK1638" i="1"/>
  <c r="AG1639" i="1"/>
  <c r="AH1639" i="1"/>
  <c r="AK1639" i="1"/>
  <c r="AG1640" i="1"/>
  <c r="AH1640" i="1"/>
  <c r="AK1640" i="1"/>
  <c r="AG1641" i="1"/>
  <c r="AH1641" i="1"/>
  <c r="AK1641" i="1"/>
  <c r="AG1642" i="1"/>
  <c r="AH1642" i="1"/>
  <c r="AK1642" i="1"/>
  <c r="AG1643" i="1"/>
  <c r="AH1643" i="1"/>
  <c r="AI1643" i="1"/>
  <c r="AK1643" i="1"/>
  <c r="AG1644" i="1"/>
  <c r="AH1644" i="1"/>
  <c r="AK1644" i="1"/>
  <c r="AG1645" i="1"/>
  <c r="AH1645" i="1"/>
  <c r="AK1645" i="1"/>
  <c r="AG1646" i="1"/>
  <c r="AH1646" i="1"/>
  <c r="AK1646" i="1"/>
  <c r="AG1647" i="1"/>
  <c r="AH1647" i="1"/>
  <c r="AI1647" i="1"/>
  <c r="AK1647" i="1"/>
  <c r="AG1648" i="1"/>
  <c r="AH1648" i="1"/>
  <c r="AK1648" i="1"/>
  <c r="AG1649" i="1"/>
  <c r="AH1649" i="1"/>
  <c r="AK1649" i="1"/>
  <c r="K1650" i="1"/>
  <c r="AG1650" i="1"/>
  <c r="AH1650" i="1"/>
  <c r="AI1650" i="1"/>
  <c r="AK1650" i="1"/>
  <c r="AG1651" i="1"/>
  <c r="AH1651" i="1"/>
  <c r="AI1651" i="1"/>
  <c r="AK1651" i="1"/>
  <c r="K1652" i="1"/>
  <c r="AG1652" i="1"/>
  <c r="AH1652" i="1"/>
  <c r="AK1652" i="1"/>
  <c r="AG1653" i="1"/>
  <c r="AH1653" i="1"/>
  <c r="AK1653" i="1"/>
  <c r="K1654" i="1"/>
  <c r="AG1654" i="1"/>
  <c r="AH1654" i="1"/>
  <c r="AK1654" i="1"/>
  <c r="AG1655" i="1"/>
  <c r="AH1655" i="1"/>
  <c r="AK1655" i="1"/>
  <c r="AG1656" i="1"/>
  <c r="AH1656" i="1"/>
  <c r="AK1656" i="1"/>
  <c r="AG1657" i="1"/>
  <c r="AH1657" i="1"/>
  <c r="AK1657" i="1"/>
  <c r="AG1658" i="1"/>
  <c r="AH1658" i="1"/>
  <c r="AK1658" i="1"/>
  <c r="AG1659" i="1"/>
  <c r="AH1659" i="1"/>
  <c r="AK1659" i="1"/>
  <c r="AG1660" i="1"/>
  <c r="AH1660" i="1"/>
  <c r="AI1660" i="1"/>
  <c r="AK1660" i="1"/>
  <c r="K1661" i="1"/>
  <c r="AG1661" i="1"/>
  <c r="AH1661" i="1"/>
  <c r="AI1661" i="1"/>
  <c r="AK1661" i="1"/>
  <c r="K1662" i="1"/>
  <c r="AG1662" i="1"/>
  <c r="AH1662" i="1"/>
  <c r="AI1662" i="1"/>
  <c r="AK1662" i="1"/>
  <c r="K1663" i="1"/>
  <c r="L1663" i="1"/>
  <c r="AG1663" i="1"/>
  <c r="AH1663" i="1"/>
  <c r="AK1663" i="1"/>
  <c r="AG1664" i="1"/>
  <c r="AH1664" i="1"/>
  <c r="AK1664" i="1"/>
  <c r="AG1665" i="1"/>
  <c r="AH1665" i="1"/>
  <c r="AK1665" i="1"/>
  <c r="AG1666" i="1"/>
  <c r="AH1666" i="1"/>
  <c r="AK1666" i="1"/>
  <c r="K1667" i="1"/>
  <c r="AG1667" i="1"/>
  <c r="AH1667" i="1"/>
  <c r="AI1667" i="1"/>
  <c r="AK1667" i="1"/>
  <c r="K1668" i="1"/>
  <c r="AG1668" i="1"/>
  <c r="AH1668" i="1"/>
  <c r="AI1668" i="1"/>
  <c r="AK1668" i="1"/>
  <c r="AG1669" i="1"/>
  <c r="AH1669" i="1"/>
  <c r="AK1669" i="1"/>
  <c r="AG1670" i="1"/>
  <c r="AH1670" i="1"/>
  <c r="AK1670" i="1"/>
  <c r="K1671" i="1"/>
  <c r="AG1671" i="1"/>
  <c r="AH1671" i="1"/>
  <c r="AK1671" i="1"/>
  <c r="AG1672" i="1"/>
  <c r="AH1672" i="1"/>
  <c r="AI1672" i="1"/>
  <c r="AK1672" i="1"/>
  <c r="AG1673" i="1"/>
  <c r="AH1673" i="1"/>
  <c r="AK1673" i="1"/>
  <c r="K1674" i="1"/>
  <c r="AG1674" i="1"/>
  <c r="AH1674" i="1"/>
  <c r="AI1674" i="1"/>
  <c r="AK1674" i="1"/>
  <c r="AG1675" i="1"/>
  <c r="AH1675" i="1"/>
  <c r="AI1675" i="1"/>
  <c r="AK1675" i="1"/>
  <c r="K1676" i="1"/>
  <c r="AG1676" i="1"/>
  <c r="AH1676" i="1"/>
  <c r="AK1676" i="1"/>
  <c r="AG1677" i="1"/>
  <c r="AH1677" i="1"/>
  <c r="AG1678" i="1"/>
  <c r="AH1678" i="1"/>
  <c r="AK1678" i="1"/>
  <c r="AG1679" i="1"/>
  <c r="AH1679" i="1"/>
  <c r="AK1679" i="1"/>
  <c r="K1680" i="1"/>
  <c r="AG1680" i="1"/>
  <c r="AH1680" i="1"/>
  <c r="AK1680" i="1"/>
  <c r="AG1681" i="1"/>
  <c r="AH1681" i="1"/>
  <c r="AK1681" i="1"/>
  <c r="AG1682" i="1"/>
  <c r="AH1682" i="1"/>
  <c r="AK1682" i="1"/>
  <c r="K1683" i="1"/>
  <c r="AG1683" i="1"/>
  <c r="AH1683" i="1"/>
  <c r="AK1683" i="1"/>
  <c r="AG1684" i="1"/>
  <c r="AH1684" i="1"/>
  <c r="AK1684" i="1"/>
  <c r="AG1685" i="1"/>
  <c r="AH1685" i="1"/>
  <c r="AK1685" i="1"/>
  <c r="K1686" i="1"/>
  <c r="AG1686" i="1"/>
  <c r="AH1686" i="1"/>
  <c r="AI1686" i="1"/>
  <c r="AK1686" i="1"/>
  <c r="K1687" i="1"/>
  <c r="AG1687" i="1"/>
  <c r="AH1687" i="1"/>
  <c r="AI1687" i="1"/>
  <c r="AK1687" i="1"/>
  <c r="K1688" i="1"/>
  <c r="AG1688" i="1"/>
  <c r="AH1688" i="1"/>
  <c r="AI1688" i="1"/>
  <c r="AK1688" i="1"/>
  <c r="AG1689" i="1"/>
  <c r="AH1689" i="1"/>
  <c r="AK1689" i="1"/>
  <c r="K1690" i="1"/>
  <c r="AG1690" i="1"/>
  <c r="AH1690" i="1"/>
  <c r="AG1691" i="1"/>
  <c r="AH1691" i="1"/>
  <c r="K1692" i="1"/>
  <c r="K1693" i="1"/>
  <c r="AG1693" i="1"/>
  <c r="AH1693" i="1"/>
  <c r="AK1693" i="1"/>
  <c r="AG1694" i="1"/>
  <c r="AH1694" i="1"/>
  <c r="AG1695" i="1"/>
  <c r="AH1695" i="1"/>
  <c r="K1696" i="1"/>
  <c r="L1696" i="1"/>
  <c r="M1696" i="1"/>
  <c r="N1696" i="1"/>
  <c r="O1696" i="1"/>
  <c r="AG1696" i="1"/>
  <c r="AH1696" i="1"/>
  <c r="K1697" i="1"/>
  <c r="K1698" i="1"/>
  <c r="AG1698" i="1"/>
  <c r="AH1698" i="1"/>
  <c r="K1699" i="1"/>
  <c r="AG1699" i="1"/>
  <c r="AH1699" i="1"/>
  <c r="K1700" i="1"/>
  <c r="AG1700" i="1"/>
  <c r="AH1700" i="1"/>
  <c r="K1701" i="1"/>
  <c r="K1702" i="1"/>
  <c r="K1703" i="1"/>
  <c r="AG1703" i="1"/>
  <c r="AH1703" i="1"/>
  <c r="K1704" i="1"/>
  <c r="K1706" i="1"/>
  <c r="K1707" i="1"/>
  <c r="AG1708" i="1"/>
  <c r="AH1708" i="1"/>
  <c r="K1709" i="1"/>
  <c r="K1710" i="1"/>
  <c r="L1710" i="1"/>
  <c r="M1710" i="1"/>
  <c r="K1711" i="1"/>
  <c r="L1711" i="1"/>
  <c r="M1711" i="1"/>
  <c r="N1711" i="1"/>
  <c r="O1711" i="1"/>
  <c r="P1711" i="1"/>
  <c r="Q1711" i="1"/>
  <c r="R1711" i="1"/>
  <c r="S1711" i="1"/>
  <c r="T1711" i="1"/>
  <c r="U1711" i="1"/>
  <c r="AG1712" i="1"/>
  <c r="AH1712" i="1"/>
  <c r="K1713" i="1"/>
  <c r="L1713" i="1"/>
  <c r="M1713" i="1"/>
  <c r="AG1713" i="1"/>
  <c r="AH1713" i="1"/>
  <c r="AI1713" i="1"/>
  <c r="AK1713" i="1"/>
  <c r="AG1714" i="1"/>
  <c r="AH1714" i="1"/>
  <c r="AK1714" i="1"/>
  <c r="AG1715" i="1"/>
  <c r="AH1715" i="1"/>
  <c r="AK1715" i="1"/>
  <c r="AG1716" i="1"/>
  <c r="AH1716" i="1"/>
  <c r="AK1716" i="1"/>
  <c r="AG1717" i="1"/>
  <c r="AH1717" i="1"/>
  <c r="AK1717" i="1"/>
  <c r="AG1718" i="1"/>
  <c r="AH1718" i="1"/>
  <c r="AG1719" i="1"/>
  <c r="AH1719" i="1"/>
  <c r="AK1719" i="1"/>
  <c r="AG1720" i="1"/>
  <c r="AH1720" i="1"/>
  <c r="AK1720" i="1"/>
  <c r="AG1721" i="1"/>
  <c r="AH1721" i="1"/>
  <c r="AI1721" i="1"/>
  <c r="AK1721" i="1"/>
  <c r="AG1722" i="1"/>
  <c r="AH1722" i="1"/>
  <c r="AI1722" i="1"/>
  <c r="AK1722" i="1"/>
  <c r="AG1723" i="1"/>
  <c r="AH1723" i="1"/>
  <c r="AK1723" i="1"/>
  <c r="AG1724" i="1"/>
  <c r="AH1724" i="1"/>
  <c r="K1725" i="1"/>
  <c r="AG1725" i="1"/>
  <c r="AH1725" i="1"/>
  <c r="AK1725" i="1"/>
  <c r="K1726" i="1"/>
  <c r="AG1726" i="1"/>
  <c r="AH1726" i="1"/>
  <c r="AI1726" i="1"/>
  <c r="AK1726" i="1"/>
  <c r="K1727" i="1"/>
  <c r="AG1727" i="1"/>
  <c r="AH1727" i="1"/>
  <c r="AK1727" i="1"/>
  <c r="AG1728" i="1"/>
  <c r="AH1728" i="1"/>
  <c r="AK1728" i="1"/>
  <c r="K1729" i="1"/>
  <c r="AG1729" i="1"/>
  <c r="AH1729" i="1"/>
  <c r="AI1729" i="1"/>
  <c r="AK1729" i="1"/>
  <c r="AG1730" i="1"/>
  <c r="AH1730" i="1"/>
  <c r="AK1730" i="1"/>
  <c r="AG1731" i="1"/>
  <c r="AH1731" i="1"/>
  <c r="AK1731" i="1"/>
  <c r="AG1732" i="1"/>
  <c r="AH1732" i="1"/>
  <c r="AK1732" i="1"/>
  <c r="AG1733" i="1"/>
  <c r="AH1733" i="1"/>
  <c r="AK1733" i="1"/>
  <c r="AG1734" i="1"/>
  <c r="AH1734" i="1"/>
  <c r="AK1734" i="1"/>
  <c r="AG1735" i="1"/>
  <c r="AH1735" i="1"/>
  <c r="AI1735" i="1"/>
  <c r="AK1735" i="1"/>
  <c r="AG1736" i="1"/>
  <c r="AH1736" i="1"/>
  <c r="AI1736" i="1"/>
  <c r="AK1736" i="1"/>
  <c r="AG1737" i="1"/>
  <c r="AH1737" i="1"/>
  <c r="AK1737" i="1"/>
  <c r="AG1738" i="1"/>
  <c r="AH1738" i="1"/>
  <c r="AK1738" i="1"/>
  <c r="AG1739" i="1"/>
  <c r="AH1739" i="1"/>
  <c r="AK1739" i="1"/>
  <c r="AG1740" i="1"/>
  <c r="AH1740" i="1"/>
  <c r="AK1740" i="1"/>
  <c r="K1741" i="1"/>
  <c r="L1741" i="1"/>
  <c r="M1741" i="1"/>
  <c r="N1741" i="1"/>
  <c r="AG1742" i="1"/>
  <c r="AH1742" i="1"/>
  <c r="AK1742" i="1"/>
  <c r="AG1743" i="1"/>
  <c r="AH1743" i="1"/>
  <c r="AK1743" i="1"/>
  <c r="AG1744" i="1"/>
  <c r="AH1744" i="1"/>
  <c r="AK1744" i="1"/>
  <c r="K1745" i="1"/>
  <c r="L1745" i="1"/>
  <c r="M1745" i="1"/>
  <c r="N1745" i="1"/>
  <c r="AF1745" i="1"/>
  <c r="AG1746" i="1"/>
  <c r="AH1746" i="1"/>
  <c r="AG1747" i="1"/>
  <c r="AH1747" i="1"/>
  <c r="AG1748" i="1"/>
  <c r="AH1748" i="1"/>
  <c r="AK1748" i="1"/>
  <c r="AG1749" i="1"/>
  <c r="AH1749" i="1"/>
  <c r="AK1749" i="1"/>
  <c r="AG1750" i="1"/>
  <c r="AH1750" i="1"/>
  <c r="AK1750" i="1"/>
  <c r="AG1751" i="1"/>
  <c r="AH1751" i="1"/>
  <c r="AK1751" i="1"/>
  <c r="AG1752" i="1"/>
  <c r="AH1752" i="1"/>
  <c r="AG1753" i="1"/>
  <c r="AH1753" i="1"/>
  <c r="AK1753" i="1"/>
  <c r="AG1754" i="1"/>
  <c r="AH1754" i="1"/>
  <c r="AK1754" i="1"/>
  <c r="K1755" i="1"/>
  <c r="L1755" i="1"/>
  <c r="AG1756" i="1"/>
  <c r="AH1756" i="1"/>
  <c r="AK1756" i="1"/>
  <c r="AG1757" i="1"/>
  <c r="AH1757" i="1"/>
  <c r="AK1757" i="1"/>
  <c r="K1758" i="1"/>
  <c r="AG1758" i="1"/>
  <c r="AH1758" i="1"/>
  <c r="AK1758" i="1"/>
  <c r="AG1759" i="1"/>
  <c r="AH1759" i="1"/>
  <c r="AK1759" i="1"/>
  <c r="AG1760" i="1"/>
  <c r="AH1760" i="1"/>
  <c r="AK1760" i="1"/>
  <c r="AG1761" i="1"/>
  <c r="AH1761" i="1"/>
  <c r="AK1761" i="1"/>
  <c r="AG1762" i="1"/>
  <c r="AH1762" i="1"/>
  <c r="AK1762" i="1"/>
  <c r="AG1763" i="1"/>
  <c r="AH1763" i="1"/>
  <c r="AG1764" i="1"/>
  <c r="AH1764" i="1"/>
  <c r="AK1764" i="1"/>
  <c r="AG1765" i="1"/>
  <c r="AH1765" i="1"/>
  <c r="AK1765" i="1"/>
  <c r="AG1766" i="1"/>
  <c r="AH1766" i="1"/>
  <c r="AK1766" i="1"/>
  <c r="AG1767" i="1"/>
  <c r="AH1767" i="1"/>
  <c r="AI1767" i="1"/>
  <c r="AK1767" i="1"/>
  <c r="AG1768" i="1"/>
  <c r="AH1768" i="1"/>
  <c r="AK1768" i="1"/>
  <c r="K1769" i="1"/>
  <c r="AG1769" i="1"/>
  <c r="AH1769" i="1"/>
  <c r="AI1769" i="1"/>
  <c r="AK1769" i="1"/>
  <c r="AG1770" i="1"/>
  <c r="AH1770" i="1"/>
  <c r="AK1770" i="1"/>
  <c r="AG1771" i="1"/>
  <c r="AH1771" i="1"/>
  <c r="AK1771" i="1"/>
  <c r="AG1772" i="1"/>
  <c r="AH1772" i="1"/>
  <c r="AI1772" i="1"/>
  <c r="AK1772" i="1"/>
  <c r="AG1773" i="1"/>
  <c r="AH1773" i="1"/>
  <c r="AK1773" i="1"/>
  <c r="K1774" i="1"/>
  <c r="AG1774" i="1"/>
  <c r="AH1774" i="1"/>
  <c r="AK1774" i="1"/>
  <c r="AG1775" i="1"/>
  <c r="AH1775" i="1"/>
  <c r="AG1776" i="1"/>
  <c r="AH1776" i="1"/>
  <c r="AK1776" i="1"/>
  <c r="AG1777" i="1"/>
  <c r="AH1777" i="1"/>
  <c r="AK1777" i="1"/>
  <c r="E1779" i="1"/>
  <c r="K1779" i="1"/>
  <c r="L1779" i="1"/>
  <c r="K1780" i="1"/>
  <c r="L1780" i="1"/>
  <c r="M1780" i="1"/>
  <c r="N1780" i="1"/>
  <c r="AG1781" i="1"/>
  <c r="AH1781" i="1"/>
  <c r="AI1781" i="1"/>
  <c r="AK1781" i="1"/>
  <c r="AG1782" i="1"/>
  <c r="AH1782" i="1"/>
  <c r="AI1782" i="1"/>
  <c r="AK1782" i="1"/>
  <c r="AG1783" i="1"/>
  <c r="AH1783" i="1"/>
  <c r="AK1783" i="1"/>
  <c r="K1784" i="1"/>
  <c r="AG1784" i="1"/>
  <c r="AH1784" i="1"/>
  <c r="K1785" i="1"/>
  <c r="AG1785" i="1"/>
  <c r="AH1785" i="1"/>
  <c r="K1786" i="1"/>
  <c r="AG1786" i="1"/>
  <c r="AH1786" i="1"/>
  <c r="K1787" i="1"/>
  <c r="K1788" i="1"/>
  <c r="K1789" i="1"/>
  <c r="AG1789" i="1"/>
  <c r="AH1789" i="1"/>
  <c r="K1790" i="1"/>
  <c r="K1791" i="1"/>
  <c r="AG1791" i="1"/>
  <c r="AH1791" i="1"/>
  <c r="AI1791" i="1"/>
  <c r="AK1791" i="1"/>
  <c r="K1792" i="1"/>
  <c r="AF1792" i="1"/>
  <c r="K1793" i="1"/>
  <c r="E1795" i="1"/>
  <c r="K1795" i="1"/>
  <c r="AG1797" i="1"/>
  <c r="AH1797" i="1"/>
  <c r="K1798" i="1"/>
  <c r="K1799" i="1"/>
  <c r="AG1800" i="1"/>
  <c r="AH1800" i="1"/>
  <c r="AK1800" i="1"/>
  <c r="AG1801" i="1"/>
  <c r="AH1801" i="1"/>
  <c r="AI1801" i="1"/>
  <c r="AK1801" i="1"/>
  <c r="K1802" i="1"/>
  <c r="AG1802" i="1"/>
  <c r="AH1802" i="1"/>
  <c r="AK1802" i="1"/>
  <c r="K1803" i="1"/>
  <c r="AG1803" i="1"/>
  <c r="AH1803" i="1"/>
  <c r="AK1803" i="1"/>
  <c r="AG1804" i="1"/>
  <c r="AH1804" i="1"/>
  <c r="AK1804" i="1"/>
  <c r="AG1805" i="1"/>
  <c r="AH1805" i="1"/>
  <c r="AI1805" i="1"/>
  <c r="AK1805" i="1"/>
  <c r="AG1806" i="1"/>
  <c r="AH1806" i="1"/>
  <c r="AK1806" i="1"/>
  <c r="K1807" i="1"/>
  <c r="L1807" i="1"/>
  <c r="M1807" i="1"/>
  <c r="K1808" i="1"/>
  <c r="L1808" i="1"/>
  <c r="K1809" i="1"/>
  <c r="K1810" i="1"/>
  <c r="K1811" i="1"/>
  <c r="AG1811" i="1"/>
  <c r="AH1811" i="1"/>
  <c r="AI1811" i="1"/>
  <c r="AK1811" i="1"/>
  <c r="K1812" i="1"/>
  <c r="AF1812" i="1"/>
  <c r="K1813" i="1"/>
  <c r="L1813" i="1"/>
  <c r="K1814" i="1"/>
  <c r="L1814" i="1"/>
  <c r="E1815" i="1"/>
  <c r="K1815" i="1"/>
  <c r="L1815" i="1"/>
  <c r="M1815" i="1"/>
  <c r="N1815" i="1"/>
  <c r="O1815" i="1"/>
  <c r="P1815" i="1"/>
  <c r="Q1815" i="1"/>
  <c r="R1815" i="1"/>
  <c r="S1815" i="1"/>
  <c r="K1818" i="1"/>
  <c r="L1818" i="1"/>
  <c r="AG1819" i="1"/>
  <c r="AH1819" i="1"/>
  <c r="AK1819" i="1"/>
  <c r="K1820" i="1"/>
  <c r="AG1820" i="1"/>
  <c r="AH1820" i="1"/>
  <c r="AK1820" i="1"/>
  <c r="K1821" i="1"/>
  <c r="AG1821" i="1"/>
  <c r="AH1821" i="1"/>
  <c r="AK1821" i="1"/>
  <c r="K1822" i="1"/>
  <c r="AG1822" i="1"/>
  <c r="AH1822" i="1"/>
  <c r="AK1822" i="1"/>
  <c r="K1823" i="1"/>
  <c r="AG1823" i="1"/>
  <c r="AH1823" i="1"/>
  <c r="AK1823" i="1"/>
  <c r="K1824" i="1"/>
  <c r="AG1824" i="1"/>
  <c r="AH1824" i="1"/>
  <c r="AK1824" i="1"/>
  <c r="K1825" i="1"/>
  <c r="AG1825" i="1"/>
  <c r="AH1825" i="1"/>
  <c r="AK1825" i="1"/>
  <c r="K1826" i="1"/>
  <c r="AG1826" i="1"/>
  <c r="AH1826" i="1"/>
  <c r="AK1826" i="1"/>
  <c r="K1827" i="1"/>
  <c r="AG1827" i="1"/>
  <c r="AH1827" i="1"/>
  <c r="AK1827" i="1"/>
  <c r="K1828" i="1"/>
  <c r="AG1828" i="1"/>
  <c r="AH1828" i="1"/>
  <c r="AK1828" i="1"/>
  <c r="K1829" i="1"/>
  <c r="AG1829" i="1"/>
  <c r="AH1829" i="1"/>
  <c r="AK1829" i="1"/>
  <c r="K1830" i="1"/>
  <c r="AG1830" i="1"/>
  <c r="AH1830" i="1"/>
  <c r="AK1830" i="1"/>
  <c r="AG1831" i="1"/>
  <c r="AH1831" i="1"/>
  <c r="AK1831" i="1"/>
  <c r="K1832" i="1"/>
  <c r="AG1832" i="1"/>
  <c r="AH1832" i="1"/>
  <c r="AK1832" i="1"/>
  <c r="K1833" i="1"/>
  <c r="AG1833" i="1"/>
  <c r="AH1833" i="1"/>
  <c r="AK1833" i="1"/>
  <c r="AG1834" i="1"/>
  <c r="AH1834" i="1"/>
  <c r="AK1834" i="1"/>
  <c r="K1835" i="1"/>
  <c r="AG1835" i="1"/>
  <c r="AH1835" i="1"/>
  <c r="AK1835" i="1"/>
  <c r="K1836" i="1"/>
  <c r="AG1836" i="1"/>
  <c r="AH1836" i="1"/>
  <c r="AK1836" i="1"/>
  <c r="K1837" i="1"/>
  <c r="AG1837" i="1"/>
  <c r="AH1837" i="1"/>
  <c r="AI1837" i="1"/>
  <c r="AK1837" i="1"/>
  <c r="AG1838" i="1"/>
  <c r="AH1838" i="1"/>
  <c r="AK1838" i="1"/>
  <c r="K1839" i="1"/>
  <c r="AG1839" i="1"/>
  <c r="AH1839" i="1"/>
  <c r="AI1839" i="1"/>
  <c r="AK1839" i="1"/>
  <c r="K1840" i="1"/>
  <c r="AG1840" i="1"/>
  <c r="AH1840" i="1"/>
  <c r="AK1840" i="1"/>
  <c r="K1841" i="1"/>
  <c r="AG1841" i="1"/>
  <c r="AH1841" i="1"/>
  <c r="AK1841" i="1"/>
  <c r="K1842" i="1"/>
  <c r="AG1842" i="1"/>
  <c r="AH1842" i="1"/>
  <c r="AI1842" i="1"/>
  <c r="AK1842" i="1"/>
  <c r="K1843" i="1"/>
  <c r="AG1843" i="1"/>
  <c r="AH1843" i="1"/>
  <c r="AK1843" i="1"/>
  <c r="K1844" i="1"/>
  <c r="AG1844" i="1"/>
  <c r="AH1844" i="1"/>
  <c r="AI1844" i="1"/>
  <c r="AK1844" i="1"/>
  <c r="K1845" i="1"/>
  <c r="AG1845" i="1"/>
  <c r="AH1845" i="1"/>
  <c r="AK1845" i="1"/>
  <c r="AG1846" i="1"/>
  <c r="AH1846" i="1"/>
  <c r="AK1846" i="1"/>
  <c r="K1847" i="1"/>
  <c r="AG1847" i="1"/>
  <c r="AH1847" i="1"/>
  <c r="AK1847" i="1"/>
  <c r="AG1848" i="1"/>
  <c r="AH1848" i="1"/>
  <c r="AK1848" i="1"/>
  <c r="K1849" i="1"/>
  <c r="AG1849" i="1"/>
  <c r="AH1849" i="1"/>
  <c r="AK1849" i="1"/>
  <c r="K1850" i="1"/>
  <c r="K1851" i="1"/>
  <c r="AG1851" i="1"/>
  <c r="AH1851" i="1"/>
  <c r="AK1851" i="1"/>
  <c r="K1852" i="1"/>
  <c r="AG1852" i="1"/>
  <c r="AH1852" i="1"/>
  <c r="AI1852" i="1"/>
  <c r="AK1852" i="1"/>
  <c r="E1853" i="1"/>
  <c r="K1853" i="1"/>
  <c r="L1853" i="1"/>
  <c r="M1853" i="1"/>
  <c r="N1853" i="1"/>
  <c r="O1853" i="1"/>
  <c r="P1853" i="1"/>
  <c r="Q1853" i="1"/>
  <c r="AG1853" i="1"/>
  <c r="AH1853" i="1"/>
  <c r="AI1853" i="1"/>
  <c r="AK1853" i="1"/>
  <c r="AG1854" i="1"/>
  <c r="AH1854" i="1"/>
  <c r="AK1854" i="1"/>
  <c r="K1855" i="1"/>
  <c r="AG1855" i="1"/>
  <c r="AH1855" i="1"/>
  <c r="AK1855" i="1"/>
  <c r="K1856" i="1"/>
  <c r="AG1856" i="1"/>
  <c r="AH1856" i="1"/>
  <c r="AK1856" i="1"/>
  <c r="K1857" i="1"/>
  <c r="AG1857" i="1"/>
  <c r="AH1857" i="1"/>
  <c r="AI1857" i="1"/>
  <c r="AK1857" i="1"/>
  <c r="AG1858" i="1"/>
  <c r="AH1858" i="1"/>
  <c r="AK1858" i="1"/>
  <c r="K1859" i="1"/>
  <c r="AG1859" i="1"/>
  <c r="AH1859" i="1"/>
  <c r="AI1859" i="1"/>
  <c r="AK1859" i="1"/>
  <c r="K1860" i="1"/>
  <c r="AG1860" i="1"/>
  <c r="AH1860" i="1"/>
  <c r="AK1860" i="1"/>
  <c r="AG1861" i="1"/>
  <c r="AH1861" i="1"/>
  <c r="AK1861" i="1"/>
  <c r="AG1862" i="1"/>
  <c r="AH1862" i="1"/>
  <c r="AK1862" i="1"/>
  <c r="AG1863" i="1"/>
  <c r="AH1863" i="1"/>
  <c r="AK1863" i="1"/>
  <c r="K1864" i="1"/>
  <c r="L1864" i="1"/>
  <c r="M1864" i="1"/>
  <c r="N1864" i="1"/>
  <c r="O1864" i="1"/>
  <c r="P1864" i="1"/>
  <c r="Q1864" i="1"/>
  <c r="R1864" i="1"/>
  <c r="S1864" i="1"/>
  <c r="T1864" i="1"/>
  <c r="U1864" i="1"/>
  <c r="V1864" i="1"/>
  <c r="K1865" i="1"/>
  <c r="AG1865" i="1"/>
  <c r="AH1865" i="1"/>
  <c r="AI1865" i="1"/>
  <c r="AK1865" i="1"/>
  <c r="K1866" i="1"/>
  <c r="AG1866" i="1"/>
  <c r="AH1866" i="1"/>
  <c r="AK1866" i="1"/>
  <c r="K1867" i="1"/>
  <c r="AG1867" i="1"/>
  <c r="AH1867" i="1"/>
  <c r="AK1867" i="1"/>
  <c r="K1868" i="1"/>
  <c r="AG1868" i="1"/>
  <c r="AH1868" i="1"/>
  <c r="AK1868" i="1"/>
  <c r="K1869" i="1"/>
  <c r="AG1869" i="1"/>
  <c r="AH1869" i="1"/>
  <c r="AI1869" i="1"/>
  <c r="AK1869" i="1"/>
  <c r="AG1870" i="1"/>
  <c r="AH1870" i="1"/>
  <c r="AK1870" i="1"/>
  <c r="AG1871" i="1"/>
  <c r="AH1871" i="1"/>
  <c r="AK1871" i="1"/>
  <c r="AG1872" i="1"/>
  <c r="AH1872" i="1"/>
  <c r="AK1872" i="1"/>
  <c r="AG1873" i="1"/>
  <c r="AH1873" i="1"/>
  <c r="AK1873" i="1"/>
  <c r="AG1874" i="1"/>
  <c r="AH1874" i="1"/>
  <c r="AK1874" i="1"/>
  <c r="K1875" i="1"/>
  <c r="AG1875" i="1"/>
  <c r="AH1875" i="1"/>
  <c r="AK1875" i="1"/>
  <c r="K1876" i="1"/>
  <c r="AG1876" i="1"/>
  <c r="AH1876" i="1"/>
  <c r="AK1876" i="1"/>
  <c r="K1877" i="1"/>
  <c r="AG1877" i="1"/>
  <c r="AH1877" i="1"/>
  <c r="AI1877" i="1"/>
  <c r="AK1877" i="1"/>
  <c r="K1878" i="1"/>
  <c r="AG1878" i="1"/>
  <c r="AH1878" i="1"/>
  <c r="AK1878" i="1"/>
  <c r="AG1879" i="1"/>
  <c r="AH1879" i="1"/>
  <c r="AK1879" i="1"/>
  <c r="K1880" i="1"/>
  <c r="AG1880" i="1"/>
  <c r="AH1880" i="1"/>
  <c r="AI1880" i="1"/>
  <c r="AK1880" i="1"/>
  <c r="K1881" i="1"/>
  <c r="AG1881" i="1"/>
  <c r="AH1881" i="1"/>
  <c r="AI1881" i="1"/>
  <c r="AK1881" i="1"/>
  <c r="K1883" i="1"/>
  <c r="AG1883" i="1"/>
  <c r="AH1883" i="1"/>
  <c r="AK1883" i="1"/>
  <c r="K1884" i="1"/>
  <c r="AG1884" i="1"/>
  <c r="AH1884" i="1"/>
  <c r="AK1884" i="1"/>
  <c r="K1885" i="1"/>
  <c r="AG1885" i="1"/>
  <c r="AH1885" i="1"/>
  <c r="AK1885" i="1"/>
  <c r="K1886" i="1"/>
  <c r="AG1886" i="1"/>
  <c r="AH1886" i="1"/>
  <c r="AK1886" i="1"/>
  <c r="K1887" i="1"/>
  <c r="AG1887" i="1"/>
  <c r="AH1887" i="1"/>
  <c r="AI1887" i="1"/>
  <c r="AK1887" i="1"/>
  <c r="K1888" i="1"/>
  <c r="AG1888" i="1"/>
  <c r="AH1888" i="1"/>
  <c r="AI1888" i="1"/>
  <c r="AK1888" i="1"/>
  <c r="K1889" i="1"/>
  <c r="AG1889" i="1"/>
  <c r="AH1889" i="1"/>
  <c r="AI1889" i="1"/>
  <c r="AK1889" i="1"/>
  <c r="K1890" i="1"/>
  <c r="AG1890" i="1"/>
  <c r="AH1890" i="1"/>
  <c r="AK1890" i="1"/>
  <c r="K1891" i="1"/>
  <c r="AG1891" i="1"/>
  <c r="AH1891" i="1"/>
  <c r="AK1891" i="1"/>
  <c r="K1892" i="1"/>
  <c r="AG1892" i="1"/>
  <c r="AH1892" i="1"/>
  <c r="AK1892" i="1"/>
  <c r="AG1893" i="1"/>
  <c r="AH1893" i="1"/>
  <c r="AK1893" i="1"/>
  <c r="AG1894" i="1"/>
  <c r="AH1894" i="1"/>
  <c r="AK1894" i="1"/>
  <c r="K1895" i="1"/>
  <c r="L1895" i="1"/>
  <c r="M1895" i="1"/>
  <c r="N1895" i="1"/>
  <c r="AG1896" i="1"/>
  <c r="AH1896" i="1"/>
  <c r="AK1896" i="1"/>
  <c r="AG1897" i="1"/>
  <c r="AH1897" i="1"/>
  <c r="AK1897" i="1"/>
  <c r="K1898" i="1"/>
  <c r="AG1898" i="1"/>
  <c r="AH1898" i="1"/>
  <c r="AK1898" i="1"/>
  <c r="AG1899" i="1"/>
  <c r="AH1899" i="1"/>
  <c r="AK1899" i="1"/>
  <c r="AG1900" i="1"/>
  <c r="AH1900" i="1"/>
  <c r="AK1900" i="1"/>
  <c r="AG1901" i="1"/>
  <c r="AH1901" i="1"/>
  <c r="AK1901" i="1"/>
  <c r="AG1902" i="1"/>
  <c r="AH1902" i="1"/>
  <c r="AK1902" i="1"/>
  <c r="AG1903" i="1"/>
  <c r="AH1903" i="1"/>
  <c r="AK1903" i="1"/>
  <c r="K1904" i="1"/>
  <c r="L1904" i="1"/>
  <c r="M1904" i="1"/>
  <c r="AG1904" i="1"/>
  <c r="AH1904" i="1"/>
  <c r="AI1904" i="1"/>
  <c r="AK1904" i="1"/>
  <c r="K1905" i="1"/>
  <c r="AG1905" i="1"/>
  <c r="AH1905" i="1"/>
  <c r="AK1905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R1906" i="1"/>
  <c r="S1906" i="1"/>
  <c r="T1906" i="1"/>
  <c r="U1906" i="1"/>
  <c r="V1906" i="1"/>
  <c r="W1906" i="1"/>
  <c r="X1906" i="1"/>
  <c r="AG1906" i="1"/>
  <c r="AH1906" i="1"/>
  <c r="AI1906" i="1"/>
  <c r="AK1906" i="1"/>
  <c r="AG1907" i="1"/>
  <c r="AH1907" i="1"/>
  <c r="AK1907" i="1"/>
  <c r="K1908" i="1"/>
  <c r="AG1908" i="1"/>
  <c r="AH1908" i="1"/>
  <c r="AK1908" i="1"/>
  <c r="K1909" i="1"/>
  <c r="AG1909" i="1"/>
  <c r="AH1909" i="1"/>
  <c r="AI1909" i="1"/>
  <c r="AK1909" i="1"/>
  <c r="K1910" i="1"/>
  <c r="AG1910" i="1"/>
  <c r="AH1910" i="1"/>
  <c r="AI1910" i="1"/>
  <c r="AK1910" i="1"/>
  <c r="K1911" i="1"/>
  <c r="AG1911" i="1"/>
  <c r="AH1911" i="1"/>
  <c r="AI1911" i="1"/>
  <c r="AK1911" i="1"/>
  <c r="K1912" i="1"/>
  <c r="AF1912" i="1"/>
  <c r="AG1913" i="1"/>
  <c r="AH1913" i="1"/>
  <c r="AK1913" i="1"/>
  <c r="AG1914" i="1"/>
  <c r="AH1914" i="1"/>
  <c r="AK1914" i="1"/>
  <c r="AG1915" i="1"/>
  <c r="AH1915" i="1"/>
  <c r="AK1915" i="1"/>
  <c r="K1916" i="1"/>
  <c r="AG1916" i="1"/>
  <c r="AH1916" i="1"/>
  <c r="AK1916" i="1"/>
  <c r="K1917" i="1"/>
  <c r="AG1917" i="1"/>
  <c r="AH1917" i="1"/>
  <c r="AK1917" i="1"/>
  <c r="AG1918" i="1"/>
  <c r="AH1918" i="1"/>
  <c r="AK1918" i="1"/>
  <c r="K1919" i="1"/>
  <c r="AG1919" i="1"/>
  <c r="AH1919" i="1"/>
  <c r="AI1919" i="1"/>
  <c r="AK1919" i="1"/>
  <c r="AG1920" i="1"/>
  <c r="AH1920" i="1"/>
  <c r="AK1920" i="1"/>
  <c r="K1921" i="1"/>
  <c r="AG1921" i="1"/>
  <c r="AH1921" i="1"/>
  <c r="AI1921" i="1"/>
  <c r="AK1921" i="1"/>
  <c r="AG1922" i="1"/>
  <c r="AH1922" i="1"/>
  <c r="AK1922" i="1"/>
  <c r="AG1923" i="1"/>
  <c r="AH1923" i="1"/>
  <c r="AK1923" i="1"/>
  <c r="AG1924" i="1"/>
  <c r="AH1924" i="1"/>
  <c r="AI1924" i="1"/>
  <c r="AK1924" i="1"/>
  <c r="AG1925" i="1"/>
  <c r="AH1925" i="1"/>
  <c r="AK1925" i="1"/>
  <c r="AG1926" i="1"/>
  <c r="AH1926" i="1"/>
  <c r="AK1926" i="1"/>
  <c r="AG1927" i="1"/>
  <c r="AH1927" i="1"/>
  <c r="AK1927" i="1"/>
  <c r="AG1929" i="1"/>
  <c r="AH1929" i="1"/>
  <c r="AI1929" i="1"/>
  <c r="AK1929" i="1"/>
  <c r="K1930" i="1"/>
  <c r="AG1930" i="1"/>
  <c r="AH1930" i="1"/>
  <c r="AK1930" i="1"/>
  <c r="K1931" i="1"/>
  <c r="AG1931" i="1"/>
  <c r="AH1931" i="1"/>
  <c r="AK1931" i="1"/>
  <c r="K1932" i="1"/>
  <c r="AG1932" i="1"/>
  <c r="AH1932" i="1"/>
  <c r="AK1932" i="1"/>
  <c r="K1933" i="1"/>
  <c r="AG1933" i="1"/>
  <c r="AH1933" i="1"/>
  <c r="AK1933" i="1"/>
  <c r="AG1934" i="1"/>
  <c r="AH1934" i="1"/>
  <c r="AK1934" i="1"/>
  <c r="AG1935" i="1"/>
  <c r="AH1935" i="1"/>
  <c r="AK1935" i="1"/>
  <c r="AG1936" i="1"/>
  <c r="AH1936" i="1"/>
  <c r="AK1936" i="1"/>
  <c r="K1937" i="1"/>
  <c r="AG1937" i="1"/>
  <c r="AH1937" i="1"/>
  <c r="AI1937" i="1"/>
  <c r="AK1937" i="1"/>
  <c r="K1938" i="1"/>
  <c r="AG1938" i="1"/>
  <c r="AH1938" i="1"/>
  <c r="AI1938" i="1"/>
  <c r="AK1938" i="1"/>
  <c r="K1939" i="1"/>
  <c r="AG1939" i="1"/>
  <c r="AH1939" i="1"/>
  <c r="AI1939" i="1"/>
  <c r="AK1939" i="1"/>
  <c r="AG1940" i="1"/>
  <c r="AH1940" i="1"/>
  <c r="K1941" i="1"/>
  <c r="AG1941" i="1"/>
  <c r="AH1941" i="1"/>
  <c r="AK1941" i="1"/>
  <c r="AG1942" i="1"/>
  <c r="AH1942" i="1"/>
  <c r="AK1942" i="1"/>
  <c r="AG1943" i="1"/>
  <c r="AH1943" i="1"/>
  <c r="AK1943" i="1"/>
  <c r="K1944" i="1"/>
  <c r="AG1944" i="1"/>
  <c r="AH1944" i="1"/>
  <c r="AK1944" i="1"/>
  <c r="K1945" i="1"/>
  <c r="K1946" i="1"/>
  <c r="AG1947" i="1"/>
  <c r="AH1947" i="1"/>
  <c r="AI1947" i="1"/>
  <c r="E1948" i="1"/>
  <c r="K1948" i="1"/>
  <c r="L1948" i="1"/>
  <c r="M1948" i="1"/>
  <c r="N1948" i="1"/>
  <c r="K1949" i="1"/>
  <c r="AG1949" i="1"/>
  <c r="AH1949" i="1"/>
  <c r="K1950" i="1"/>
  <c r="AG1950" i="1"/>
  <c r="AH1950" i="1"/>
  <c r="K1951" i="1"/>
  <c r="AG1951" i="1"/>
  <c r="AH1951" i="1"/>
  <c r="K1952" i="1"/>
  <c r="AG1952" i="1"/>
  <c r="AH1952" i="1"/>
  <c r="K1953" i="1"/>
  <c r="AG1953" i="1"/>
  <c r="AH1953" i="1"/>
  <c r="AI1953" i="1"/>
  <c r="AK1953" i="1"/>
  <c r="K1954" i="1"/>
  <c r="AG1955" i="1"/>
  <c r="AH1955" i="1"/>
  <c r="K1956" i="1"/>
  <c r="AG1956" i="1"/>
  <c r="AH1956" i="1"/>
  <c r="K1957" i="1"/>
  <c r="AG1957" i="1"/>
  <c r="AH1957" i="1"/>
  <c r="K1958" i="1"/>
  <c r="L1958" i="1"/>
  <c r="AG1958" i="1"/>
  <c r="AH1958" i="1"/>
  <c r="AG1959" i="1"/>
  <c r="AH1959" i="1"/>
  <c r="AI1959" i="1"/>
  <c r="AK1959" i="1"/>
  <c r="AG1960" i="1"/>
  <c r="AH1960" i="1"/>
  <c r="AK1960" i="1"/>
  <c r="K1961" i="1"/>
  <c r="AG1961" i="1"/>
  <c r="AH1961" i="1"/>
  <c r="K1962" i="1"/>
  <c r="AG1962" i="1"/>
  <c r="AH1962" i="1"/>
  <c r="K1963" i="1"/>
  <c r="AG1963" i="1"/>
  <c r="AH1963" i="1"/>
  <c r="K1964" i="1"/>
  <c r="AG1964" i="1"/>
  <c r="AH1964" i="1"/>
  <c r="K1968" i="1"/>
  <c r="K1969" i="1"/>
  <c r="AG1972" i="1"/>
  <c r="AH1972" i="1"/>
  <c r="AI1972" i="1"/>
  <c r="AK1972" i="1"/>
  <c r="AG1973" i="1"/>
  <c r="AH1973" i="1"/>
  <c r="AK1973" i="1"/>
  <c r="K1974" i="1"/>
  <c r="AG1974" i="1"/>
  <c r="AH1974" i="1"/>
  <c r="K1975" i="1"/>
  <c r="K1976" i="1"/>
  <c r="L1976" i="1"/>
  <c r="M1976" i="1"/>
  <c r="N1976" i="1"/>
  <c r="O1976" i="1"/>
  <c r="P1976" i="1"/>
  <c r="Q1976" i="1"/>
  <c r="R1976" i="1"/>
  <c r="K1977" i="1"/>
  <c r="K1978" i="1"/>
  <c r="L1978" i="1"/>
  <c r="AG1979" i="1"/>
  <c r="AH1979" i="1"/>
  <c r="K1980" i="1"/>
  <c r="L1980" i="1"/>
  <c r="M1980" i="1"/>
  <c r="AG1980" i="1"/>
  <c r="AH1980" i="1"/>
  <c r="AI1980" i="1"/>
  <c r="AK1980" i="1"/>
  <c r="K1981" i="1"/>
  <c r="AG1981" i="1"/>
  <c r="AH1981" i="1"/>
  <c r="AK1981" i="1"/>
  <c r="K1982" i="1"/>
  <c r="L1982" i="1"/>
  <c r="M1982" i="1"/>
  <c r="K1983" i="1"/>
  <c r="AG1983" i="1"/>
  <c r="AH1983" i="1"/>
  <c r="AI1983" i="1"/>
  <c r="AK1983" i="1"/>
  <c r="K1984" i="1"/>
  <c r="L1984" i="1"/>
  <c r="M1984" i="1"/>
  <c r="N1984" i="1"/>
  <c r="O1984" i="1"/>
  <c r="P1984" i="1"/>
  <c r="Q1984" i="1"/>
  <c r="AG1984" i="1"/>
  <c r="AH1984" i="1"/>
  <c r="AK1984" i="1"/>
  <c r="K1985" i="1"/>
  <c r="K1986" i="1"/>
  <c r="K1987" i="1"/>
  <c r="AG1987" i="1"/>
  <c r="AH1987" i="1"/>
  <c r="K1988" i="1"/>
  <c r="AG1988" i="1"/>
  <c r="AH1988" i="1"/>
  <c r="K1989" i="1"/>
  <c r="AG1989" i="1"/>
  <c r="AH1989" i="1"/>
  <c r="K1990" i="1"/>
  <c r="AG1990" i="1"/>
  <c r="AH1990" i="1"/>
  <c r="K1991" i="1"/>
  <c r="AG1991" i="1"/>
  <c r="AH1991" i="1"/>
  <c r="K1992" i="1"/>
  <c r="K1993" i="1"/>
  <c r="AG1993" i="1"/>
  <c r="AH1993" i="1"/>
  <c r="K1994" i="1"/>
  <c r="K1995" i="1"/>
  <c r="K1996" i="1"/>
  <c r="K1997" i="1"/>
  <c r="K1999" i="1"/>
  <c r="K2001" i="1"/>
  <c r="AF2001" i="1"/>
  <c r="K2002" i="1"/>
  <c r="AG2002" i="1"/>
  <c r="AH2002" i="1"/>
  <c r="K2003" i="1"/>
  <c r="AG2003" i="1"/>
  <c r="AH2003" i="1"/>
  <c r="AI2003" i="1"/>
  <c r="K2004" i="1"/>
  <c r="L2004" i="1"/>
  <c r="M2004" i="1"/>
  <c r="AG2004" i="1"/>
  <c r="AH2004" i="1"/>
  <c r="K2005" i="1"/>
  <c r="AG2005" i="1"/>
  <c r="AH2005" i="1"/>
  <c r="K2006" i="1"/>
  <c r="K2009" i="1"/>
  <c r="K2010" i="1"/>
  <c r="K2011" i="1"/>
  <c r="K2012" i="1"/>
  <c r="L2012" i="1"/>
  <c r="AG2012" i="1"/>
  <c r="AH2012" i="1"/>
  <c r="AK2012" i="1"/>
  <c r="K2013" i="1"/>
  <c r="AG2013" i="1"/>
  <c r="AH2013" i="1"/>
  <c r="AK2013" i="1"/>
  <c r="AG2015" i="1"/>
  <c r="AH2015" i="1"/>
  <c r="AK2015" i="1"/>
  <c r="K2016" i="1"/>
  <c r="AG2016" i="1"/>
  <c r="AH2016" i="1"/>
  <c r="K2017" i="1"/>
  <c r="AG2017" i="1"/>
  <c r="AH2017" i="1"/>
  <c r="K2018" i="1"/>
  <c r="AG2018" i="1"/>
  <c r="AH2018" i="1"/>
  <c r="K2020" i="1"/>
  <c r="L2020" i="1"/>
  <c r="M2020" i="1"/>
  <c r="N2020" i="1"/>
  <c r="O2020" i="1"/>
  <c r="P2020" i="1"/>
  <c r="K2021" i="1"/>
  <c r="K2022" i="1"/>
  <c r="K2023" i="1"/>
  <c r="K2024" i="1"/>
  <c r="L2024" i="1"/>
  <c r="AG2024" i="1"/>
  <c r="AH2024" i="1"/>
  <c r="K2025" i="1"/>
  <c r="K2026" i="1"/>
  <c r="AG2026" i="1"/>
  <c r="AH2026" i="1"/>
  <c r="K2027" i="1"/>
  <c r="AG2027" i="1"/>
  <c r="AH2027" i="1"/>
  <c r="AI2027" i="1"/>
  <c r="AK2027" i="1"/>
  <c r="K2028" i="1"/>
  <c r="L2028" i="1"/>
  <c r="M2028" i="1"/>
  <c r="K2029" i="1"/>
  <c r="K2030" i="1"/>
  <c r="AG2030" i="1"/>
  <c r="AH2030" i="1"/>
  <c r="K2031" i="1"/>
  <c r="AG2031" i="1"/>
  <c r="AH2031" i="1"/>
  <c r="AK2031" i="1"/>
  <c r="K2032" i="1"/>
  <c r="AG2032" i="1"/>
  <c r="AH2032" i="1"/>
  <c r="AI2032" i="1"/>
  <c r="AK2032" i="1"/>
  <c r="AG2033" i="1"/>
  <c r="AH2033" i="1"/>
  <c r="AK2033" i="1"/>
  <c r="K2034" i="1"/>
  <c r="AG2034" i="1"/>
  <c r="AH2034" i="1"/>
  <c r="AK2034" i="1"/>
  <c r="K2035" i="1"/>
  <c r="AG2035" i="1"/>
  <c r="AH2035" i="1"/>
  <c r="AK2035" i="1"/>
  <c r="K2036" i="1"/>
  <c r="AG2036" i="1"/>
  <c r="AH2036" i="1"/>
  <c r="AK2036" i="1"/>
  <c r="K2037" i="1"/>
  <c r="AG2037" i="1"/>
  <c r="AH2037" i="1"/>
  <c r="AK2037" i="1"/>
  <c r="K2038" i="1"/>
  <c r="AG2038" i="1"/>
  <c r="AH2038" i="1"/>
  <c r="AK2038" i="1"/>
  <c r="K2039" i="1"/>
  <c r="AG2039" i="1"/>
  <c r="AH2039" i="1"/>
  <c r="AK2039" i="1"/>
  <c r="K2040" i="1"/>
  <c r="AG2040" i="1"/>
  <c r="AH2040" i="1"/>
  <c r="AK2040" i="1"/>
  <c r="K2041" i="1"/>
  <c r="AG2041" i="1"/>
  <c r="AH2041" i="1"/>
  <c r="AI2041" i="1"/>
  <c r="AK2041" i="1"/>
  <c r="K2042" i="1"/>
  <c r="AG2042" i="1"/>
  <c r="AH2042" i="1"/>
  <c r="AI2042" i="1"/>
  <c r="AK2042" i="1"/>
  <c r="K2043" i="1"/>
  <c r="AG2043" i="1"/>
  <c r="AH2043" i="1"/>
  <c r="AK2043" i="1"/>
  <c r="AG2044" i="1"/>
  <c r="AH2044" i="1"/>
  <c r="AK2044" i="1"/>
  <c r="K2045" i="1"/>
  <c r="AG2045" i="1"/>
  <c r="AH2045" i="1"/>
  <c r="AI2045" i="1"/>
  <c r="AK2045" i="1"/>
  <c r="K2046" i="1"/>
  <c r="K2047" i="1"/>
  <c r="AG2047" i="1"/>
  <c r="AH2047" i="1"/>
  <c r="K2048" i="1"/>
  <c r="K2049" i="1"/>
  <c r="K2051" i="1"/>
  <c r="K2054" i="1"/>
  <c r="K2055" i="1"/>
  <c r="AG2056" i="1"/>
  <c r="AH2056" i="1"/>
  <c r="AG2057" i="1"/>
  <c r="AH2057" i="1"/>
  <c r="K2058" i="1"/>
  <c r="AG2058" i="1"/>
  <c r="AH2058" i="1"/>
  <c r="K2059" i="1"/>
  <c r="AG2059" i="1"/>
  <c r="AH2059" i="1"/>
  <c r="K2060" i="1"/>
  <c r="AG2060" i="1"/>
  <c r="AH2060" i="1"/>
  <c r="AG2061" i="1"/>
  <c r="AH2061" i="1"/>
  <c r="AK2061" i="1"/>
  <c r="K2062" i="1"/>
  <c r="AG2063" i="1"/>
  <c r="AH2063" i="1"/>
  <c r="AI2063" i="1"/>
  <c r="K2065" i="1"/>
  <c r="AG2065" i="1"/>
  <c r="AH2065" i="1"/>
  <c r="AI2065" i="1"/>
  <c r="AK2065" i="1"/>
  <c r="K2066" i="1"/>
  <c r="AF2066" i="1"/>
  <c r="AG2066" i="1"/>
  <c r="AH2066" i="1"/>
  <c r="K2067" i="1"/>
  <c r="AG2067" i="1"/>
  <c r="AH2067" i="1"/>
  <c r="K2068" i="1"/>
  <c r="AG2068" i="1"/>
  <c r="AH2068" i="1"/>
  <c r="K2069" i="1"/>
  <c r="L2069" i="1"/>
  <c r="K2070" i="1"/>
  <c r="L2070" i="1"/>
  <c r="K2071" i="1"/>
  <c r="L2071" i="1"/>
  <c r="K2072" i="1"/>
  <c r="L2072" i="1"/>
  <c r="M2072" i="1"/>
  <c r="AD2073" i="1"/>
  <c r="K2074" i="1"/>
  <c r="K2076" i="1"/>
  <c r="L2076" i="1"/>
  <c r="M2076" i="1"/>
  <c r="K2077" i="1"/>
  <c r="L2077" i="1"/>
  <c r="M2077" i="1"/>
  <c r="AF2077" i="1"/>
  <c r="K2078" i="1"/>
  <c r="K2079" i="1"/>
  <c r="K2080" i="1"/>
  <c r="L2080" i="1"/>
  <c r="K2081" i="1"/>
  <c r="L2081" i="1"/>
  <c r="M2081" i="1"/>
  <c r="N2081" i="1"/>
  <c r="O2081" i="1"/>
  <c r="P2081" i="1"/>
  <c r="Q2081" i="1"/>
  <c r="R2081" i="1"/>
  <c r="S2081" i="1"/>
  <c r="K2082" i="1"/>
  <c r="L2082" i="1"/>
  <c r="K2083" i="1"/>
  <c r="L2083" i="1"/>
  <c r="M2083" i="1"/>
  <c r="K2084" i="1"/>
  <c r="L2084" i="1"/>
  <c r="K2085" i="1"/>
  <c r="L2085" i="1"/>
  <c r="M2085" i="1"/>
  <c r="K2086" i="1"/>
  <c r="AF2086" i="1"/>
  <c r="K2087" i="1"/>
  <c r="L2087" i="1"/>
  <c r="M2087" i="1"/>
  <c r="N2087" i="1"/>
  <c r="O2087" i="1"/>
  <c r="P2087" i="1"/>
  <c r="K2088" i="1"/>
  <c r="AG2089" i="1"/>
  <c r="AH2089" i="1"/>
  <c r="AK2089" i="1"/>
  <c r="K2090" i="1"/>
  <c r="K2091" i="1"/>
  <c r="K2092" i="1"/>
  <c r="K2093" i="1"/>
  <c r="K2094" i="1"/>
  <c r="AG2094" i="1"/>
  <c r="AH2094" i="1"/>
  <c r="AK2094" i="1"/>
  <c r="AG2095" i="1"/>
  <c r="AH2095" i="1"/>
  <c r="AK2095" i="1"/>
  <c r="E2097" i="1"/>
  <c r="K2097" i="1"/>
  <c r="AG2098" i="1"/>
  <c r="AH2098" i="1"/>
  <c r="AK2098" i="1"/>
  <c r="K2099" i="1"/>
  <c r="AG2099" i="1"/>
  <c r="AH2099" i="1"/>
  <c r="K2100" i="1"/>
  <c r="K2101" i="1"/>
  <c r="K2102" i="1"/>
  <c r="K2105" i="1"/>
  <c r="K2107" i="1"/>
  <c r="L2107" i="1"/>
  <c r="M2107" i="1"/>
  <c r="N2107" i="1"/>
  <c r="O2107" i="1"/>
  <c r="K2108" i="1"/>
  <c r="AG2108" i="1"/>
  <c r="AH2108" i="1"/>
  <c r="K2109" i="1"/>
  <c r="AG2109" i="1"/>
  <c r="AH2109" i="1"/>
  <c r="K2110" i="1"/>
  <c r="AG2110" i="1"/>
  <c r="AH2110" i="1"/>
  <c r="K2111" i="1"/>
  <c r="AG2111" i="1"/>
  <c r="AH2111" i="1"/>
  <c r="K2112" i="1"/>
  <c r="AF2112" i="1"/>
  <c r="AG2112" i="1"/>
  <c r="AH2112" i="1"/>
  <c r="K2113" i="1"/>
  <c r="AG2113" i="1"/>
  <c r="AH2113" i="1"/>
  <c r="K2114" i="1"/>
  <c r="K2115" i="1"/>
  <c r="K2116" i="1"/>
  <c r="AG2117" i="1"/>
  <c r="AH2117" i="1"/>
  <c r="K2119" i="1"/>
  <c r="K2122" i="1"/>
  <c r="K2123" i="1"/>
  <c r="K2124" i="1"/>
  <c r="K2125" i="1"/>
  <c r="AG2126" i="1"/>
  <c r="AH2126" i="1"/>
  <c r="AK2126" i="1"/>
  <c r="K2127" i="1"/>
  <c r="AG2127" i="1"/>
  <c r="AH2127" i="1"/>
  <c r="AK2127" i="1"/>
  <c r="K2128" i="1"/>
  <c r="AG2128" i="1"/>
  <c r="AH2128" i="1"/>
  <c r="AK2128" i="1"/>
  <c r="AG2129" i="1"/>
  <c r="AH2129" i="1"/>
  <c r="AI2129" i="1"/>
  <c r="AK2129" i="1"/>
  <c r="AG2130" i="1"/>
  <c r="AH2130" i="1"/>
  <c r="AI2130" i="1"/>
  <c r="AK2130" i="1"/>
  <c r="AG2131" i="1"/>
  <c r="AH2131" i="1"/>
  <c r="AK2131" i="1"/>
  <c r="AG2132" i="1"/>
  <c r="AH2132" i="1"/>
  <c r="AK2132" i="1"/>
  <c r="AG2133" i="1"/>
  <c r="AH2133" i="1"/>
  <c r="AI2133" i="1"/>
  <c r="AK2133" i="1"/>
  <c r="AG2134" i="1"/>
  <c r="AH2134" i="1"/>
  <c r="AK2134" i="1"/>
  <c r="K2135" i="1"/>
  <c r="AG2135" i="1"/>
  <c r="AH2135" i="1"/>
  <c r="AK2135" i="1"/>
  <c r="K2136" i="1"/>
  <c r="AG2136" i="1"/>
  <c r="AH2136" i="1"/>
  <c r="AK2136" i="1"/>
  <c r="K2137" i="1"/>
  <c r="L2137" i="1"/>
  <c r="AG2137" i="1"/>
  <c r="AH2137" i="1"/>
  <c r="AK2137" i="1"/>
  <c r="K2138" i="1"/>
  <c r="AG2138" i="1"/>
  <c r="AH2138" i="1"/>
  <c r="AI2138" i="1"/>
  <c r="AK2138" i="1"/>
  <c r="AG2139" i="1"/>
  <c r="AH2139" i="1"/>
  <c r="AK2139" i="1"/>
  <c r="AG2140" i="1"/>
  <c r="AH2140" i="1"/>
  <c r="AK2140" i="1"/>
  <c r="AG2141" i="1"/>
  <c r="AH2141" i="1"/>
  <c r="AK2141" i="1"/>
  <c r="AG2142" i="1"/>
  <c r="AH2142" i="1"/>
  <c r="AK2142" i="1"/>
  <c r="AG2143" i="1"/>
  <c r="AH2143" i="1"/>
  <c r="AK2143" i="1"/>
  <c r="AG2144" i="1"/>
  <c r="AH2144" i="1"/>
  <c r="AI2144" i="1"/>
  <c r="AK2144" i="1"/>
  <c r="K2145" i="1"/>
  <c r="L2145" i="1"/>
  <c r="AG2145" i="1"/>
  <c r="AH2145" i="1"/>
  <c r="AI2145" i="1"/>
  <c r="AK2145" i="1"/>
  <c r="AG2146" i="1"/>
  <c r="AH2146" i="1"/>
  <c r="AK2146" i="1"/>
  <c r="AG2147" i="1"/>
  <c r="AH2147" i="1"/>
  <c r="AI2147" i="1"/>
  <c r="AK2147" i="1"/>
  <c r="AG2148" i="1"/>
  <c r="AH2148" i="1"/>
  <c r="AG2149" i="1"/>
  <c r="AH2149" i="1"/>
  <c r="AK2149" i="1"/>
  <c r="K2150" i="1"/>
  <c r="AG2150" i="1"/>
  <c r="AH2150" i="1"/>
  <c r="AK2150" i="1"/>
  <c r="AG2151" i="1"/>
  <c r="AH2151" i="1"/>
  <c r="AI2151" i="1"/>
  <c r="AK2151" i="1"/>
  <c r="AG2152" i="1"/>
  <c r="AH2152" i="1"/>
  <c r="AK2152" i="1"/>
  <c r="AG2153" i="1"/>
  <c r="AH2153" i="1"/>
  <c r="AG2154" i="1"/>
  <c r="AH2154" i="1"/>
  <c r="AG2155" i="1"/>
  <c r="AH2155" i="1"/>
  <c r="AK2155" i="1"/>
  <c r="AG2156" i="1"/>
  <c r="AH2156" i="1"/>
  <c r="AI2156" i="1"/>
  <c r="AK2156" i="1"/>
  <c r="AG2157" i="1"/>
  <c r="AH2157" i="1"/>
  <c r="AK2157" i="1"/>
  <c r="AG2158" i="1"/>
  <c r="AH2158" i="1"/>
  <c r="AK2158" i="1"/>
  <c r="AG2159" i="1"/>
  <c r="AH2159" i="1"/>
  <c r="AK2159" i="1"/>
  <c r="AG2160" i="1"/>
  <c r="AH2160" i="1"/>
  <c r="AK2160" i="1"/>
  <c r="AG2161" i="1"/>
  <c r="AH2161" i="1"/>
  <c r="AK2161" i="1"/>
  <c r="AG2162" i="1"/>
  <c r="AH2162" i="1"/>
  <c r="AK2162" i="1"/>
  <c r="K2163" i="1"/>
  <c r="L2163" i="1"/>
  <c r="M2163" i="1"/>
  <c r="AG2163" i="1"/>
  <c r="AH2163" i="1"/>
  <c r="AK2163" i="1"/>
  <c r="AG2164" i="1"/>
  <c r="AH2164" i="1"/>
  <c r="AK2164" i="1"/>
  <c r="AG2165" i="1"/>
  <c r="AH2165" i="1"/>
  <c r="AK2165" i="1"/>
  <c r="AG2166" i="1"/>
  <c r="AH2166" i="1"/>
  <c r="AK2166" i="1"/>
  <c r="AG2167" i="1"/>
  <c r="AH2167" i="1"/>
  <c r="AK2167" i="1"/>
  <c r="AG2168" i="1"/>
  <c r="AH2168" i="1"/>
  <c r="AK2168" i="1"/>
  <c r="AG2169" i="1"/>
  <c r="AH2169" i="1"/>
  <c r="AK2169" i="1"/>
  <c r="AG2170" i="1"/>
  <c r="AH2170" i="1"/>
  <c r="AK2170" i="1"/>
  <c r="AG2171" i="1"/>
  <c r="AH2171" i="1"/>
  <c r="AK2171" i="1"/>
  <c r="AG2172" i="1"/>
  <c r="AH2172" i="1"/>
  <c r="AK2172" i="1"/>
  <c r="AG2173" i="1"/>
  <c r="AH2173" i="1"/>
  <c r="AK2173" i="1"/>
  <c r="AG2174" i="1"/>
  <c r="AH2174" i="1"/>
  <c r="AK2174" i="1"/>
  <c r="AG2175" i="1"/>
  <c r="AH2175" i="1"/>
  <c r="AK2175" i="1"/>
  <c r="AG2176" i="1"/>
  <c r="AH2176" i="1"/>
  <c r="AK2176" i="1"/>
  <c r="AG2177" i="1"/>
  <c r="AH2177" i="1"/>
  <c r="AK2177" i="1"/>
  <c r="AG2178" i="1"/>
  <c r="AH2178" i="1"/>
  <c r="AK2178" i="1"/>
  <c r="AG2179" i="1"/>
  <c r="AH2179" i="1"/>
  <c r="AK2179" i="1"/>
  <c r="AG2180" i="1"/>
  <c r="AH2180" i="1"/>
  <c r="AK2180" i="1"/>
  <c r="AG2181" i="1"/>
  <c r="AH2181" i="1"/>
  <c r="AK2181" i="1"/>
  <c r="AG2182" i="1"/>
  <c r="AH2182" i="1"/>
  <c r="AK2182" i="1"/>
  <c r="AG2183" i="1"/>
  <c r="AH2183" i="1"/>
  <c r="AK2183" i="1"/>
  <c r="AG2184" i="1"/>
  <c r="AH2184" i="1"/>
  <c r="AK2184" i="1"/>
  <c r="AG2185" i="1"/>
  <c r="AH2185" i="1"/>
  <c r="AK2185" i="1"/>
  <c r="AG2186" i="1"/>
  <c r="AH2186" i="1"/>
  <c r="AK2186" i="1"/>
  <c r="AG2187" i="1"/>
  <c r="AH2187" i="1"/>
  <c r="AI2187" i="1"/>
  <c r="AK2187" i="1"/>
  <c r="AG2188" i="1"/>
  <c r="AH2188" i="1"/>
  <c r="AK2188" i="1"/>
  <c r="AG2189" i="1"/>
  <c r="AH2189" i="1"/>
  <c r="K2190" i="1"/>
  <c r="L2190" i="1"/>
  <c r="M2190" i="1"/>
  <c r="N2190" i="1"/>
  <c r="AG2191" i="1"/>
  <c r="AH2191" i="1"/>
  <c r="AK2191" i="1"/>
  <c r="K2192" i="1"/>
  <c r="AG2192" i="1"/>
  <c r="AH2192" i="1"/>
  <c r="AK2192" i="1"/>
  <c r="K2193" i="1"/>
  <c r="AG2194" i="1"/>
  <c r="AH2194" i="1"/>
  <c r="AK2194" i="1"/>
  <c r="AG2195" i="1"/>
  <c r="AH2195" i="1"/>
  <c r="AK2195" i="1"/>
  <c r="AG2196" i="1"/>
  <c r="AH2196" i="1"/>
  <c r="AK2196" i="1"/>
  <c r="AG2197" i="1"/>
  <c r="AH2197" i="1"/>
  <c r="AK2197" i="1"/>
  <c r="K2198" i="1"/>
  <c r="AG2198" i="1"/>
  <c r="AH2198" i="1"/>
  <c r="AK2198" i="1"/>
  <c r="K2199" i="1"/>
  <c r="AG2199" i="1"/>
  <c r="AH2199" i="1"/>
  <c r="AK2199" i="1"/>
  <c r="AG2200" i="1"/>
  <c r="AH2200" i="1"/>
  <c r="AK2200" i="1"/>
  <c r="AG2201" i="1"/>
  <c r="AH2201" i="1"/>
  <c r="AK2201" i="1"/>
  <c r="AG2202" i="1"/>
  <c r="AH2202" i="1"/>
  <c r="AK2202" i="1"/>
  <c r="K2203" i="1"/>
  <c r="AG2203" i="1"/>
  <c r="AH2203" i="1"/>
  <c r="AI2203" i="1"/>
  <c r="AK2203" i="1"/>
  <c r="AG2204" i="1"/>
  <c r="AH2204" i="1"/>
  <c r="AK2204" i="1"/>
  <c r="AG2205" i="1"/>
  <c r="AH2205" i="1"/>
  <c r="AK2205" i="1"/>
  <c r="AG2206" i="1"/>
  <c r="AH2206" i="1"/>
  <c r="AK2206" i="1"/>
  <c r="AG2207" i="1"/>
  <c r="AH2207" i="1"/>
  <c r="AK2207" i="1"/>
  <c r="AG2208" i="1"/>
  <c r="AH2208" i="1"/>
  <c r="AK2208" i="1"/>
  <c r="AG2209" i="1"/>
  <c r="AH2209" i="1"/>
  <c r="AK2209" i="1"/>
  <c r="AG2210" i="1"/>
  <c r="AH2210" i="1"/>
  <c r="AK2210" i="1"/>
  <c r="K2211" i="1"/>
  <c r="AG2211" i="1"/>
  <c r="AH2211" i="1"/>
  <c r="AI2211" i="1"/>
  <c r="AK2211" i="1"/>
  <c r="AG2212" i="1"/>
  <c r="AH2212" i="1"/>
  <c r="AI2212" i="1"/>
  <c r="AK2212" i="1"/>
  <c r="AG2213" i="1"/>
  <c r="AH2213" i="1"/>
  <c r="AI2213" i="1"/>
  <c r="AK2213" i="1"/>
  <c r="K2214" i="1"/>
  <c r="AG2214" i="1"/>
  <c r="AH2214" i="1"/>
  <c r="AI2214" i="1"/>
  <c r="AK2214" i="1"/>
  <c r="K2215" i="1"/>
  <c r="AG2215" i="1"/>
  <c r="AH2215" i="1"/>
  <c r="AK2215" i="1"/>
  <c r="K2216" i="1"/>
  <c r="AG2216" i="1"/>
  <c r="AH2216" i="1"/>
  <c r="AI2216" i="1"/>
  <c r="AK2216" i="1"/>
  <c r="K2217" i="1"/>
  <c r="AG2217" i="1"/>
  <c r="AH2217" i="1"/>
  <c r="AK2217" i="1"/>
  <c r="AG2218" i="1"/>
  <c r="AH2218" i="1"/>
  <c r="AK2218" i="1"/>
  <c r="AG2219" i="1"/>
  <c r="AH2219" i="1"/>
  <c r="AK2219" i="1"/>
  <c r="AG2220" i="1"/>
  <c r="AH2220" i="1"/>
  <c r="AK2220" i="1"/>
  <c r="AG2221" i="1"/>
  <c r="AH2221" i="1"/>
  <c r="AK2221" i="1"/>
  <c r="AG2222" i="1"/>
  <c r="AH2222" i="1"/>
  <c r="AK2222" i="1"/>
  <c r="K2223" i="1"/>
  <c r="AG2223" i="1"/>
  <c r="AH2223" i="1"/>
  <c r="AI2223" i="1"/>
  <c r="AK2223" i="1"/>
  <c r="K2224" i="1"/>
  <c r="L2224" i="1"/>
  <c r="AG2224" i="1"/>
  <c r="AH2224" i="1"/>
  <c r="AI2224" i="1"/>
  <c r="AK2224" i="1"/>
  <c r="AG2225" i="1"/>
  <c r="AH2225" i="1"/>
  <c r="AK2225" i="1"/>
  <c r="K2226" i="1"/>
  <c r="AG2226" i="1"/>
  <c r="AH2226" i="1"/>
  <c r="AK2226" i="1"/>
  <c r="AG2227" i="1"/>
  <c r="AH2227" i="1"/>
  <c r="AK2227" i="1"/>
  <c r="AG2228" i="1"/>
  <c r="AH2228" i="1"/>
  <c r="AK2228" i="1"/>
  <c r="AG2229" i="1"/>
  <c r="AH2229" i="1"/>
  <c r="AK2229" i="1"/>
  <c r="AG2230" i="1"/>
  <c r="AH2230" i="1"/>
  <c r="AK2230" i="1"/>
  <c r="AG2231" i="1"/>
  <c r="AH2231" i="1"/>
  <c r="AK2231" i="1"/>
  <c r="AG2232" i="1"/>
  <c r="AH2232" i="1"/>
  <c r="AK2232" i="1"/>
  <c r="AG2233" i="1"/>
  <c r="AH2233" i="1"/>
  <c r="AI2233" i="1"/>
  <c r="AK2233" i="1"/>
  <c r="K2234" i="1"/>
  <c r="L2234" i="1"/>
  <c r="M2234" i="1"/>
  <c r="N2234" i="1"/>
  <c r="O2234" i="1"/>
  <c r="P2234" i="1"/>
  <c r="Q2234" i="1"/>
  <c r="R2234" i="1"/>
  <c r="S2234" i="1"/>
  <c r="T2234" i="1"/>
  <c r="U2234" i="1"/>
  <c r="V2234" i="1"/>
  <c r="W2234" i="1"/>
  <c r="X2234" i="1"/>
  <c r="Y2234" i="1"/>
  <c r="K2235" i="1"/>
  <c r="K2236" i="1"/>
  <c r="K2237" i="1"/>
  <c r="K2238" i="1"/>
  <c r="K2239" i="1"/>
  <c r="K2240" i="1"/>
  <c r="E2241" i="1"/>
  <c r="F2241" i="1"/>
  <c r="K2241" i="1"/>
  <c r="L2241" i="1"/>
  <c r="M2241" i="1"/>
  <c r="N2241" i="1"/>
  <c r="O2241" i="1"/>
  <c r="P2241" i="1"/>
  <c r="Q2241" i="1"/>
  <c r="R2241" i="1"/>
  <c r="S2241" i="1"/>
  <c r="T2241" i="1"/>
  <c r="U2241" i="1"/>
  <c r="V2241" i="1"/>
  <c r="W2241" i="1"/>
  <c r="X2241" i="1"/>
  <c r="K2242" i="1"/>
  <c r="AG2242" i="1"/>
  <c r="AH2242" i="1"/>
  <c r="AK2242" i="1"/>
  <c r="K2243" i="1"/>
  <c r="AG2243" i="1"/>
  <c r="AH2243" i="1"/>
  <c r="AK2243" i="1"/>
  <c r="K2244" i="1"/>
  <c r="AG2244" i="1"/>
  <c r="AH2244" i="1"/>
  <c r="AK2244" i="1"/>
  <c r="K2245" i="1"/>
  <c r="AG2245" i="1"/>
  <c r="AH2245" i="1"/>
  <c r="AI2245" i="1"/>
  <c r="AK2245" i="1"/>
  <c r="K2246" i="1"/>
  <c r="AG2246" i="1"/>
  <c r="AH2246" i="1"/>
  <c r="AK2246" i="1"/>
  <c r="K2247" i="1"/>
  <c r="AG2247" i="1"/>
  <c r="AH2247" i="1"/>
  <c r="AI2247" i="1"/>
  <c r="AK2247" i="1"/>
  <c r="AG2248" i="1"/>
  <c r="AH2248" i="1"/>
  <c r="AG2249" i="1"/>
  <c r="AH2249" i="1"/>
  <c r="AK2249" i="1"/>
  <c r="K2250" i="1"/>
  <c r="AG2250" i="1"/>
  <c r="AH2250" i="1"/>
  <c r="AK2250" i="1"/>
  <c r="AG2251" i="1"/>
  <c r="AH2251" i="1"/>
  <c r="AK2251" i="1"/>
  <c r="AG2252" i="1"/>
  <c r="AH2252" i="1"/>
  <c r="AK2252" i="1"/>
  <c r="AG2253" i="1"/>
  <c r="AH2253" i="1"/>
  <c r="AK2253" i="1"/>
  <c r="K2254" i="1"/>
  <c r="AG2254" i="1"/>
  <c r="AH2254" i="1"/>
  <c r="AK2254" i="1"/>
  <c r="K2255" i="1"/>
  <c r="AG2255" i="1"/>
  <c r="AH2255" i="1"/>
  <c r="AI2255" i="1"/>
  <c r="AK2255" i="1"/>
  <c r="AG2256" i="1"/>
  <c r="AH2256" i="1"/>
  <c r="AK2256" i="1"/>
  <c r="K2257" i="1"/>
  <c r="AG2257" i="1"/>
  <c r="AH2257" i="1"/>
  <c r="AK2257" i="1"/>
  <c r="AG2258" i="1"/>
  <c r="AH2258" i="1"/>
  <c r="AK2258" i="1"/>
  <c r="K2259" i="1"/>
  <c r="AG2259" i="1"/>
  <c r="AH2259" i="1"/>
  <c r="AI2259" i="1"/>
  <c r="AK2259" i="1"/>
  <c r="K2260" i="1"/>
  <c r="AG2260" i="1"/>
  <c r="AH2260" i="1"/>
  <c r="AK2260" i="1"/>
  <c r="AG2261" i="1"/>
  <c r="AH2261" i="1"/>
  <c r="AK2261" i="1"/>
  <c r="AG2262" i="1"/>
  <c r="AH2262" i="1"/>
  <c r="AI2262" i="1"/>
  <c r="AK2262" i="1"/>
  <c r="AG2263" i="1"/>
  <c r="AH2263" i="1"/>
  <c r="AK2263" i="1"/>
  <c r="AG2264" i="1"/>
  <c r="AH2264" i="1"/>
  <c r="AK2264" i="1"/>
  <c r="AG2265" i="1"/>
  <c r="AH2265" i="1"/>
  <c r="AK2265" i="1"/>
  <c r="AG2266" i="1"/>
  <c r="AH2266" i="1"/>
  <c r="AK2266" i="1"/>
  <c r="AG2267" i="1"/>
  <c r="AH2267" i="1"/>
  <c r="AK2267" i="1"/>
  <c r="AG2268" i="1"/>
  <c r="AH2268" i="1"/>
  <c r="AK2268" i="1"/>
  <c r="AG2269" i="1"/>
  <c r="AH2269" i="1"/>
  <c r="AI2269" i="1"/>
  <c r="AK2269" i="1"/>
  <c r="AG2270" i="1"/>
  <c r="AH2270" i="1"/>
  <c r="AK2270" i="1"/>
  <c r="AG2271" i="1"/>
  <c r="AH2271" i="1"/>
  <c r="AK2271" i="1"/>
  <c r="K2272" i="1"/>
  <c r="AG2273" i="1"/>
  <c r="AH2273" i="1"/>
  <c r="AK2273" i="1"/>
  <c r="AG2275" i="1"/>
  <c r="AH2275" i="1"/>
  <c r="AK2275" i="1"/>
  <c r="AG2276" i="1"/>
  <c r="AH2276" i="1"/>
  <c r="AK2276" i="1"/>
  <c r="AG2277" i="1"/>
  <c r="AH2277" i="1"/>
  <c r="AK2277" i="1"/>
  <c r="K2278" i="1"/>
  <c r="AG2278" i="1"/>
  <c r="AH2278" i="1"/>
  <c r="AI2278" i="1"/>
  <c r="AK2278" i="1"/>
  <c r="AG2279" i="1"/>
  <c r="AH2279" i="1"/>
  <c r="AK2279" i="1"/>
  <c r="AG2280" i="1"/>
  <c r="AH2280" i="1"/>
  <c r="AI2280" i="1"/>
  <c r="AK2280" i="1"/>
  <c r="K2281" i="1"/>
  <c r="AG2281" i="1"/>
  <c r="AH2281" i="1"/>
  <c r="AK2281" i="1"/>
  <c r="K2282" i="1"/>
  <c r="AG2282" i="1"/>
  <c r="AH2282" i="1"/>
  <c r="AI2282" i="1"/>
  <c r="AK2282" i="1"/>
  <c r="K2283" i="1"/>
  <c r="AG2283" i="1"/>
  <c r="AH2283" i="1"/>
  <c r="AK2283" i="1"/>
  <c r="K2284" i="1"/>
  <c r="AG2284" i="1"/>
  <c r="AH2284" i="1"/>
  <c r="AI2284" i="1"/>
  <c r="AK2284" i="1"/>
  <c r="K2285" i="1"/>
  <c r="AG2285" i="1"/>
  <c r="AH2285" i="1"/>
  <c r="AK2285" i="1"/>
  <c r="K2286" i="1"/>
  <c r="AG2286" i="1"/>
  <c r="AH2286" i="1"/>
  <c r="AK2286" i="1"/>
  <c r="K2287" i="1"/>
  <c r="AG2287" i="1"/>
  <c r="AH2287" i="1"/>
  <c r="AI2287" i="1"/>
  <c r="AK2287" i="1"/>
  <c r="AG2288" i="1"/>
  <c r="AH2288" i="1"/>
  <c r="AK2288" i="1"/>
  <c r="AG2289" i="1"/>
  <c r="AH2289" i="1"/>
  <c r="AI2289" i="1"/>
  <c r="AK2289" i="1"/>
  <c r="AG2290" i="1"/>
  <c r="AH2290" i="1"/>
  <c r="AK2290" i="1"/>
  <c r="AG2292" i="1"/>
  <c r="AH2292" i="1"/>
  <c r="AK2292" i="1"/>
  <c r="AG2293" i="1"/>
  <c r="AH2293" i="1"/>
  <c r="AI2293" i="1"/>
  <c r="AK2293" i="1"/>
  <c r="AG2294" i="1"/>
  <c r="AH2294" i="1"/>
  <c r="AK2294" i="1"/>
  <c r="AG2295" i="1"/>
  <c r="AH2295" i="1"/>
  <c r="AK2295" i="1"/>
  <c r="AG2296" i="1"/>
  <c r="AH2296" i="1"/>
  <c r="AK2296" i="1"/>
  <c r="AG2297" i="1"/>
  <c r="AH2297" i="1"/>
  <c r="AK2297" i="1"/>
  <c r="AG2298" i="1"/>
  <c r="AK2298" i="1"/>
  <c r="AG2299" i="1"/>
  <c r="AH2299" i="1"/>
  <c r="AK2299" i="1"/>
  <c r="AG2300" i="1"/>
  <c r="AH2300" i="1"/>
  <c r="AK2300" i="1"/>
  <c r="K2301" i="1"/>
  <c r="AG2301" i="1"/>
  <c r="AH2301" i="1"/>
  <c r="AI2301" i="1"/>
  <c r="AK2301" i="1"/>
  <c r="AG2302" i="1"/>
  <c r="AH2302" i="1"/>
  <c r="AI2302" i="1"/>
  <c r="AK2302" i="1"/>
  <c r="AG2303" i="1"/>
  <c r="AH2303" i="1"/>
  <c r="AK2303" i="1"/>
  <c r="AG2304" i="1"/>
  <c r="AH2304" i="1"/>
  <c r="AK2304" i="1"/>
  <c r="AG2305" i="1"/>
  <c r="AH2305" i="1"/>
  <c r="AK2305" i="1"/>
  <c r="K2307" i="1"/>
  <c r="AG2307" i="1"/>
  <c r="AH2307" i="1"/>
  <c r="AK2307" i="1"/>
  <c r="AG2308" i="1"/>
  <c r="AH2308" i="1"/>
  <c r="AI2308" i="1"/>
  <c r="AK2308" i="1"/>
  <c r="AG2309" i="1"/>
  <c r="AH2309" i="1"/>
  <c r="AK2309" i="1"/>
  <c r="AG2310" i="1"/>
  <c r="AH2310" i="1"/>
  <c r="AI2310" i="1"/>
  <c r="AK2310" i="1"/>
  <c r="AG2311" i="1"/>
  <c r="AH2311" i="1"/>
  <c r="AK2311" i="1"/>
  <c r="AG2312" i="1"/>
  <c r="AH2312" i="1"/>
  <c r="AK2312" i="1"/>
  <c r="AG2313" i="1"/>
  <c r="AH2313" i="1"/>
  <c r="AK2313" i="1"/>
  <c r="K2314" i="1"/>
  <c r="AG2314" i="1"/>
  <c r="AH2314" i="1"/>
  <c r="AI2314" i="1"/>
  <c r="AK2314" i="1"/>
  <c r="AG2315" i="1"/>
  <c r="AH2315" i="1"/>
  <c r="AK2315" i="1"/>
  <c r="AG2316" i="1"/>
  <c r="AH2316" i="1"/>
  <c r="AK2316" i="1"/>
  <c r="E2317" i="1"/>
  <c r="F2317" i="1"/>
  <c r="G2317" i="1"/>
  <c r="H2317" i="1"/>
  <c r="K2317" i="1"/>
  <c r="L2317" i="1"/>
  <c r="M2317" i="1"/>
  <c r="N2317" i="1"/>
  <c r="O2317" i="1"/>
  <c r="AG2318" i="1"/>
  <c r="AH2318" i="1"/>
  <c r="AI2318" i="1"/>
  <c r="AK2318" i="1"/>
  <c r="AG2319" i="1"/>
  <c r="AH2319" i="1"/>
  <c r="K2320" i="1"/>
  <c r="L2320" i="1"/>
  <c r="M2320" i="1"/>
  <c r="N2320" i="1"/>
  <c r="AG2321" i="1"/>
  <c r="AH2321" i="1"/>
  <c r="AK2321" i="1"/>
  <c r="AG2322" i="1"/>
  <c r="AH2322" i="1"/>
  <c r="AK2322" i="1"/>
  <c r="AG2323" i="1"/>
  <c r="AH2323" i="1"/>
  <c r="AK2323" i="1"/>
  <c r="AG2324" i="1"/>
  <c r="AH2324" i="1"/>
  <c r="AK2324" i="1"/>
  <c r="AG2325" i="1"/>
  <c r="AH2325" i="1"/>
  <c r="AK2325" i="1"/>
  <c r="AG2326" i="1"/>
  <c r="AH2326" i="1"/>
  <c r="AG2327" i="1"/>
  <c r="AH2327" i="1"/>
  <c r="AK2327" i="1"/>
  <c r="AG2329" i="1"/>
  <c r="AH2329" i="1"/>
  <c r="AI2329" i="1"/>
  <c r="AK2329" i="1"/>
  <c r="AG2330" i="1"/>
  <c r="AH2330" i="1"/>
  <c r="AK2330" i="1"/>
  <c r="AG2331" i="1"/>
  <c r="AH2331" i="1"/>
  <c r="AK2331" i="1"/>
  <c r="AG2332" i="1"/>
  <c r="AH2332" i="1"/>
  <c r="AK2332" i="1"/>
  <c r="AG2333" i="1"/>
  <c r="AH2333" i="1"/>
  <c r="AK2333" i="1"/>
  <c r="AG2334" i="1"/>
  <c r="AH2334" i="1"/>
  <c r="AI2334" i="1"/>
  <c r="AK2334" i="1"/>
  <c r="AG2335" i="1"/>
  <c r="AH2335" i="1"/>
  <c r="AK2335" i="1"/>
  <c r="AG2336" i="1"/>
  <c r="AH2336" i="1"/>
  <c r="AK2336" i="1"/>
  <c r="AG2337" i="1"/>
  <c r="AH2337" i="1"/>
  <c r="AK2337" i="1"/>
  <c r="AG2338" i="1"/>
  <c r="AH2338" i="1"/>
  <c r="AK2338" i="1"/>
  <c r="AG2339" i="1"/>
  <c r="AH2339" i="1"/>
  <c r="AK2339" i="1"/>
  <c r="AG2340" i="1"/>
  <c r="AH2340" i="1"/>
  <c r="AK2340" i="1"/>
  <c r="AG2341" i="1"/>
  <c r="AH2341" i="1"/>
  <c r="AK2341" i="1"/>
  <c r="AG2342" i="1"/>
  <c r="AH2342" i="1"/>
  <c r="AK2342" i="1"/>
  <c r="K2343" i="1"/>
  <c r="L2343" i="1"/>
  <c r="K2344" i="1"/>
  <c r="AG2344" i="1"/>
  <c r="AH2344" i="1"/>
  <c r="AK2344" i="1"/>
  <c r="AG2345" i="1"/>
  <c r="AH2345" i="1"/>
  <c r="AK2345" i="1"/>
  <c r="K2346" i="1"/>
  <c r="AG2346" i="1"/>
  <c r="AH2346" i="1"/>
  <c r="AK2346" i="1"/>
  <c r="K2347" i="1"/>
  <c r="AG2347" i="1"/>
  <c r="AH2347" i="1"/>
  <c r="AI2347" i="1"/>
  <c r="AK2347" i="1"/>
  <c r="AG2348" i="1"/>
  <c r="AH2348" i="1"/>
  <c r="AK2348" i="1"/>
  <c r="K2349" i="1"/>
  <c r="AG2350" i="1"/>
  <c r="AK2350" i="1"/>
  <c r="AG2351" i="1"/>
  <c r="AH2351" i="1"/>
  <c r="AK2351" i="1"/>
  <c r="K2352" i="1"/>
  <c r="AG2352" i="1"/>
  <c r="AH2352" i="1"/>
  <c r="AK2352" i="1"/>
  <c r="AG2353" i="1"/>
  <c r="AH2353" i="1"/>
  <c r="AK2353" i="1"/>
  <c r="AG2354" i="1"/>
  <c r="AH2354" i="1"/>
  <c r="AK2354" i="1"/>
  <c r="AG2355" i="1"/>
  <c r="AH2355" i="1"/>
  <c r="AK2355" i="1"/>
  <c r="AG2356" i="1"/>
  <c r="AH2356" i="1"/>
  <c r="AI2356" i="1"/>
  <c r="AK2356" i="1"/>
  <c r="AG2357" i="1"/>
  <c r="AH2357" i="1"/>
  <c r="AK2357" i="1"/>
  <c r="K2358" i="1"/>
  <c r="AG2358" i="1"/>
  <c r="AH2358" i="1"/>
  <c r="AI2358" i="1"/>
  <c r="AK2358" i="1"/>
  <c r="AG2359" i="1"/>
  <c r="AH2359" i="1"/>
  <c r="AI2359" i="1"/>
  <c r="AK2359" i="1"/>
  <c r="AG2360" i="1"/>
  <c r="AH2360" i="1"/>
  <c r="AK2360" i="1"/>
  <c r="K2361" i="1"/>
  <c r="AG2361" i="1"/>
  <c r="AH2361" i="1"/>
  <c r="AK2361" i="1"/>
  <c r="AG2362" i="1"/>
  <c r="AH2362" i="1"/>
  <c r="AK2362" i="1"/>
  <c r="AG2363" i="1"/>
  <c r="AH2363" i="1"/>
  <c r="AK2363" i="1"/>
  <c r="AG2364" i="1"/>
  <c r="AH2364" i="1"/>
  <c r="AK2364" i="1"/>
  <c r="AG2365" i="1"/>
  <c r="AH2365" i="1"/>
  <c r="AK2365" i="1"/>
  <c r="AG2366" i="1"/>
  <c r="AH2366" i="1"/>
  <c r="AG2367" i="1"/>
  <c r="AH2367" i="1"/>
  <c r="AK2367" i="1"/>
  <c r="AG2368" i="1"/>
  <c r="AH2368" i="1"/>
  <c r="AK2368" i="1"/>
  <c r="AG2369" i="1"/>
  <c r="AH2369" i="1"/>
  <c r="AK2369" i="1"/>
  <c r="AG2370" i="1"/>
  <c r="AH2370" i="1"/>
  <c r="AK2370" i="1"/>
  <c r="AG2371" i="1"/>
  <c r="AH2371" i="1"/>
  <c r="AK2371" i="1"/>
  <c r="AG2372" i="1"/>
  <c r="AH2372" i="1"/>
  <c r="AK2372" i="1"/>
  <c r="K2373" i="1"/>
  <c r="AG2373" i="1"/>
  <c r="AH2373" i="1"/>
  <c r="AK2373" i="1"/>
  <c r="AG2374" i="1"/>
  <c r="AH2374" i="1"/>
  <c r="AK2374" i="1"/>
  <c r="K2375" i="1"/>
  <c r="L2375" i="1"/>
  <c r="M2375" i="1"/>
  <c r="N2375" i="1"/>
  <c r="O2375" i="1"/>
  <c r="P2375" i="1"/>
  <c r="Q2375" i="1"/>
  <c r="AG2375" i="1"/>
  <c r="AH2375" i="1"/>
  <c r="AI2375" i="1"/>
  <c r="AK2375" i="1"/>
  <c r="K2376" i="1"/>
  <c r="AG2376" i="1"/>
  <c r="AH2376" i="1"/>
  <c r="AK2376" i="1"/>
  <c r="AG2377" i="1"/>
  <c r="AH2377" i="1"/>
  <c r="AK2377" i="1"/>
  <c r="AG2378" i="1"/>
  <c r="AH2378" i="1"/>
  <c r="AI2378" i="1"/>
  <c r="AK2378" i="1"/>
  <c r="AG2379" i="1"/>
  <c r="AH2379" i="1"/>
  <c r="AK2379" i="1"/>
  <c r="K2380" i="1"/>
  <c r="AG2380" i="1"/>
  <c r="AH2380" i="1"/>
  <c r="AK2380" i="1"/>
  <c r="AG2381" i="1"/>
  <c r="AH2381" i="1"/>
  <c r="AI2381" i="1"/>
  <c r="AK2381" i="1"/>
  <c r="K2382" i="1"/>
  <c r="AG2382" i="1"/>
  <c r="AH2382" i="1"/>
  <c r="AK2382" i="1"/>
  <c r="AG2383" i="1"/>
  <c r="AH2383" i="1"/>
  <c r="AK2383" i="1"/>
  <c r="AG2384" i="1"/>
  <c r="AH2384" i="1"/>
  <c r="AI2384" i="1"/>
  <c r="AK2384" i="1"/>
  <c r="K2385" i="1"/>
  <c r="AG2385" i="1"/>
  <c r="AH2385" i="1"/>
  <c r="AK2385" i="1"/>
  <c r="AG2386" i="1"/>
  <c r="AH2386" i="1"/>
  <c r="AK2386" i="1"/>
  <c r="K2387" i="1"/>
  <c r="L2387" i="1"/>
  <c r="M2387" i="1"/>
  <c r="N2387" i="1"/>
  <c r="O2387" i="1"/>
  <c r="P2387" i="1"/>
  <c r="Q2387" i="1"/>
  <c r="R2387" i="1"/>
  <c r="S2387" i="1"/>
  <c r="T2387" i="1"/>
  <c r="U2387" i="1"/>
  <c r="V2387" i="1"/>
  <c r="W2387" i="1"/>
  <c r="X2387" i="1"/>
  <c r="AG2387" i="1"/>
  <c r="AH2387" i="1"/>
  <c r="AK2387" i="1"/>
  <c r="K2388" i="1"/>
  <c r="AG2388" i="1"/>
  <c r="AH2388" i="1"/>
  <c r="AI2388" i="1"/>
  <c r="AK2388" i="1"/>
  <c r="AG2389" i="1"/>
  <c r="AH2389" i="1"/>
  <c r="AK2389" i="1"/>
  <c r="AG2390" i="1"/>
  <c r="AH2390" i="1"/>
  <c r="AK2390" i="1"/>
  <c r="K2391" i="1"/>
  <c r="AG2391" i="1"/>
  <c r="AH2391" i="1"/>
  <c r="AK2391" i="1"/>
  <c r="AG2392" i="1"/>
  <c r="AH2392" i="1"/>
  <c r="AK2392" i="1"/>
  <c r="AG2393" i="1"/>
  <c r="AH2393" i="1"/>
  <c r="AK2393" i="1"/>
  <c r="AG2394" i="1"/>
  <c r="AH2394" i="1"/>
  <c r="AK2394" i="1"/>
  <c r="K2395" i="1"/>
  <c r="AG2395" i="1"/>
  <c r="AH2395" i="1"/>
  <c r="AK2395" i="1"/>
  <c r="AG2396" i="1"/>
  <c r="AH2396" i="1"/>
  <c r="AK2396" i="1"/>
  <c r="AG2397" i="1"/>
  <c r="AH2397" i="1"/>
  <c r="AK2397" i="1"/>
  <c r="AG2398" i="1"/>
  <c r="AH2398" i="1"/>
  <c r="AK2398" i="1"/>
  <c r="AG2399" i="1"/>
  <c r="AH2399" i="1"/>
  <c r="AK2399" i="1"/>
  <c r="AG2400" i="1"/>
  <c r="AH2400" i="1"/>
  <c r="AK2400" i="1"/>
  <c r="AG2401" i="1"/>
  <c r="AH2401" i="1"/>
  <c r="AK2401" i="1"/>
  <c r="AG2402" i="1"/>
  <c r="AH2402" i="1"/>
  <c r="AK2402" i="1"/>
  <c r="AG2403" i="1"/>
  <c r="AH2403" i="1"/>
  <c r="AK2403" i="1"/>
  <c r="AG2404" i="1"/>
  <c r="AH2404" i="1"/>
  <c r="AK2404" i="1"/>
  <c r="AG2405" i="1"/>
  <c r="AK2405" i="1"/>
  <c r="AG2406" i="1"/>
  <c r="AH2406" i="1"/>
  <c r="AK2406" i="1"/>
  <c r="AG2407" i="1"/>
  <c r="AH2407" i="1"/>
  <c r="AI2407" i="1"/>
  <c r="AK2407" i="1"/>
  <c r="AG2408" i="1"/>
  <c r="AH2408" i="1"/>
  <c r="AK2408" i="1"/>
  <c r="AG2409" i="1"/>
  <c r="AH2409" i="1"/>
  <c r="AK2409" i="1"/>
  <c r="AG2410" i="1"/>
  <c r="AH2410" i="1"/>
  <c r="AK2410" i="1"/>
  <c r="K2411" i="1"/>
  <c r="AG2411" i="1"/>
  <c r="AH2411" i="1"/>
  <c r="AK2411" i="1"/>
  <c r="AG2412" i="1"/>
  <c r="AH2412" i="1"/>
  <c r="AI2412" i="1"/>
  <c r="AK2412" i="1"/>
  <c r="K2413" i="1"/>
  <c r="AG2413" i="1"/>
  <c r="AH2413" i="1"/>
  <c r="AK2413" i="1"/>
  <c r="K2414" i="1"/>
  <c r="AG2414" i="1"/>
  <c r="AH2414" i="1"/>
  <c r="AK2414" i="1"/>
  <c r="AG2415" i="1"/>
  <c r="AH2415" i="1"/>
  <c r="AK2415" i="1"/>
  <c r="K2416" i="1"/>
  <c r="AG2416" i="1"/>
  <c r="AH2416" i="1"/>
  <c r="AK2416" i="1"/>
  <c r="AG2417" i="1"/>
  <c r="AH2417" i="1"/>
  <c r="AK2417" i="1"/>
  <c r="AG2418" i="1"/>
  <c r="AH2418" i="1"/>
  <c r="AK2418" i="1"/>
  <c r="K2419" i="1"/>
  <c r="AG2419" i="1"/>
  <c r="AH2419" i="1"/>
  <c r="AK2419" i="1"/>
  <c r="AG2420" i="1"/>
  <c r="AH2420" i="1"/>
  <c r="AK2420" i="1"/>
  <c r="K2421" i="1"/>
  <c r="AG2421" i="1"/>
  <c r="AH2421" i="1"/>
  <c r="AI2421" i="1"/>
  <c r="AK2421" i="1"/>
  <c r="AG2422" i="1"/>
  <c r="AH2422" i="1"/>
  <c r="AI2422" i="1"/>
  <c r="AK2422" i="1"/>
  <c r="K2423" i="1"/>
  <c r="AG2423" i="1"/>
  <c r="AH2423" i="1"/>
  <c r="AI2423" i="1"/>
  <c r="AK2423" i="1"/>
  <c r="K2424" i="1"/>
  <c r="AG2424" i="1"/>
  <c r="AH2424" i="1"/>
  <c r="AI2424" i="1"/>
  <c r="AK2424" i="1"/>
  <c r="AG2425" i="1"/>
  <c r="AH2425" i="1"/>
  <c r="AK2425" i="1"/>
  <c r="K2426" i="1"/>
  <c r="AG2426" i="1"/>
  <c r="AH2426" i="1"/>
  <c r="AI2426" i="1"/>
  <c r="AK2426" i="1"/>
  <c r="AG2427" i="1"/>
  <c r="AH2427" i="1"/>
  <c r="AK2427" i="1"/>
  <c r="AG2428" i="1"/>
  <c r="AH2428" i="1"/>
  <c r="AK2428" i="1"/>
  <c r="AG2429" i="1"/>
  <c r="AH2429" i="1"/>
  <c r="AK2429" i="1"/>
  <c r="AG2430" i="1"/>
  <c r="AH2430" i="1"/>
  <c r="AK2430" i="1"/>
  <c r="AG2431" i="1"/>
  <c r="AH2431" i="1"/>
  <c r="AK2431" i="1"/>
  <c r="AG2432" i="1"/>
  <c r="AH2432" i="1"/>
  <c r="AK2432" i="1"/>
  <c r="AG2433" i="1"/>
  <c r="AH2433" i="1"/>
  <c r="AK2433" i="1"/>
  <c r="AG2434" i="1"/>
  <c r="AH2434" i="1"/>
  <c r="AK2434" i="1"/>
  <c r="K2435" i="1"/>
  <c r="AG2435" i="1"/>
  <c r="AH2435" i="1"/>
  <c r="AK2435" i="1"/>
  <c r="AG2436" i="1"/>
  <c r="AH2436" i="1"/>
  <c r="AI2436" i="1"/>
  <c r="AK2436" i="1"/>
  <c r="AG2437" i="1"/>
  <c r="AH2437" i="1"/>
  <c r="AI2437" i="1"/>
  <c r="AK2437" i="1"/>
  <c r="AG2438" i="1"/>
  <c r="AH2438" i="1"/>
  <c r="AK2438" i="1"/>
  <c r="AG2439" i="1"/>
  <c r="AH2439" i="1"/>
  <c r="AK2439" i="1"/>
  <c r="AG2440" i="1"/>
  <c r="AH2440" i="1"/>
  <c r="AK2440" i="1"/>
  <c r="AG2441" i="1"/>
  <c r="AH2441" i="1"/>
  <c r="AK2441" i="1"/>
  <c r="K2442" i="1"/>
  <c r="AG2442" i="1"/>
  <c r="AH2442" i="1"/>
  <c r="AK2442" i="1"/>
  <c r="AG2443" i="1"/>
  <c r="AH2443" i="1"/>
  <c r="AK2443" i="1"/>
  <c r="AG2444" i="1"/>
  <c r="AH2444" i="1"/>
  <c r="AI2444" i="1"/>
  <c r="AK2444" i="1"/>
  <c r="AG2445" i="1"/>
  <c r="AH2445" i="1"/>
  <c r="AK2445" i="1"/>
  <c r="AG2446" i="1"/>
  <c r="AH2446" i="1"/>
  <c r="AI2446" i="1"/>
  <c r="AK2446" i="1"/>
  <c r="AG2447" i="1"/>
  <c r="AH2447" i="1"/>
  <c r="AI2447" i="1"/>
  <c r="AK2447" i="1"/>
  <c r="AG2448" i="1"/>
  <c r="AH2448" i="1"/>
  <c r="AK2448" i="1"/>
  <c r="AG2449" i="1"/>
  <c r="AH2449" i="1"/>
  <c r="AK2449" i="1"/>
  <c r="AG2450" i="1"/>
  <c r="AH2450" i="1"/>
  <c r="AI2450" i="1"/>
  <c r="AK2450" i="1"/>
  <c r="AG2451" i="1"/>
  <c r="AH2451" i="1"/>
  <c r="AK2451" i="1"/>
  <c r="AG2452" i="1"/>
  <c r="AH2452" i="1"/>
  <c r="AK2452" i="1"/>
  <c r="AG2453" i="1"/>
  <c r="AH2453" i="1"/>
  <c r="AK2453" i="1"/>
  <c r="AG2455" i="1"/>
  <c r="AH2455" i="1"/>
  <c r="AK2455" i="1"/>
  <c r="AG2456" i="1"/>
  <c r="AH2456" i="1"/>
  <c r="AK2456" i="1"/>
  <c r="AG2457" i="1"/>
  <c r="AH2457" i="1"/>
  <c r="K2458" i="1"/>
  <c r="AG2458" i="1"/>
  <c r="AH2458" i="1"/>
  <c r="AK2458" i="1"/>
  <c r="AG2459" i="1"/>
  <c r="AH2459" i="1"/>
  <c r="AK2459" i="1"/>
  <c r="AG2460" i="1"/>
  <c r="AH2460" i="1"/>
  <c r="AK2460" i="1"/>
  <c r="K2461" i="1"/>
  <c r="AG2461" i="1"/>
  <c r="AH2461" i="1"/>
  <c r="AK2461" i="1"/>
  <c r="AG2462" i="1"/>
  <c r="AH2462" i="1"/>
  <c r="AK2462" i="1"/>
  <c r="K2463" i="1"/>
  <c r="AG2463" i="1"/>
  <c r="AH2463" i="1"/>
  <c r="AI2463" i="1"/>
  <c r="AK2463" i="1"/>
  <c r="K2464" i="1"/>
  <c r="AG2464" i="1"/>
  <c r="AH2464" i="1"/>
  <c r="AI2464" i="1"/>
  <c r="AK2464" i="1"/>
  <c r="K2465" i="1"/>
  <c r="AG2465" i="1"/>
  <c r="AH2465" i="1"/>
  <c r="AK2465" i="1"/>
  <c r="AG2466" i="1"/>
  <c r="AH2466" i="1"/>
  <c r="AK2466" i="1"/>
  <c r="K2467" i="1"/>
  <c r="AG2467" i="1"/>
  <c r="AH2467" i="1"/>
  <c r="AK2467" i="1"/>
  <c r="K2468" i="1"/>
  <c r="AG2468" i="1"/>
  <c r="AH2468" i="1"/>
  <c r="AK2468" i="1"/>
  <c r="AG2469" i="1"/>
  <c r="AH2469" i="1"/>
  <c r="AK2469" i="1"/>
  <c r="AG2470" i="1"/>
  <c r="AH2470" i="1"/>
  <c r="AK2470" i="1"/>
  <c r="K2471" i="1"/>
  <c r="AG2471" i="1"/>
  <c r="AH2471" i="1"/>
  <c r="AK2471" i="1"/>
  <c r="AG2472" i="1"/>
  <c r="AH2472" i="1"/>
  <c r="AI2472" i="1"/>
  <c r="AK2472" i="1"/>
  <c r="K2473" i="1"/>
  <c r="AG2473" i="1"/>
  <c r="AH2473" i="1"/>
  <c r="AI2473" i="1"/>
  <c r="AK2473" i="1"/>
  <c r="AG2474" i="1"/>
  <c r="AH2474" i="1"/>
  <c r="AI2474" i="1"/>
  <c r="AK2474" i="1"/>
  <c r="K2475" i="1"/>
  <c r="AG2475" i="1"/>
  <c r="AH2475" i="1"/>
  <c r="AI2475" i="1"/>
  <c r="AK2475" i="1"/>
  <c r="AG2476" i="1"/>
  <c r="AH2476" i="1"/>
  <c r="AK2476" i="1"/>
  <c r="AG2477" i="1"/>
  <c r="AH2477" i="1"/>
  <c r="AK2477" i="1"/>
  <c r="AG2479" i="1"/>
  <c r="AH2479" i="1"/>
  <c r="AK2479" i="1"/>
  <c r="AG2480" i="1"/>
  <c r="AH2480" i="1"/>
  <c r="AK2480" i="1"/>
  <c r="AG2481" i="1"/>
  <c r="AH2481" i="1"/>
  <c r="AK2481" i="1"/>
  <c r="AG2482" i="1"/>
  <c r="AH2482" i="1"/>
  <c r="AK2482" i="1"/>
  <c r="AG2483" i="1"/>
  <c r="AH2483" i="1"/>
  <c r="AK2483" i="1"/>
  <c r="K2484" i="1"/>
  <c r="AG2484" i="1"/>
  <c r="AH2484" i="1"/>
  <c r="AK2484" i="1"/>
  <c r="K2485" i="1"/>
  <c r="AG2485" i="1"/>
  <c r="AH2485" i="1"/>
  <c r="AK2485" i="1"/>
  <c r="K2486" i="1"/>
  <c r="AG2486" i="1"/>
  <c r="AH2486" i="1"/>
  <c r="AI2486" i="1"/>
  <c r="AK2486" i="1"/>
  <c r="AG2487" i="1"/>
  <c r="AH2487" i="1"/>
  <c r="AI2487" i="1"/>
  <c r="AK2487" i="1"/>
  <c r="AG2488" i="1"/>
  <c r="AH2488" i="1"/>
  <c r="AI2488" i="1"/>
  <c r="AK2488" i="1"/>
  <c r="AG2489" i="1"/>
  <c r="AH2489" i="1"/>
  <c r="AI2489" i="1"/>
  <c r="AK2489" i="1"/>
  <c r="AG2490" i="1"/>
  <c r="AH2490" i="1"/>
  <c r="AK2490" i="1"/>
  <c r="AG2491" i="1"/>
  <c r="AH2491" i="1"/>
  <c r="AK2491" i="1"/>
  <c r="AG2492" i="1"/>
  <c r="AH2492" i="1"/>
  <c r="AK2492" i="1"/>
  <c r="AG2493" i="1"/>
  <c r="AH2493" i="1"/>
  <c r="AK2493" i="1"/>
  <c r="AG2494" i="1"/>
  <c r="AH2494" i="1"/>
  <c r="AK2494" i="1"/>
  <c r="AG2495" i="1"/>
  <c r="AH2495" i="1"/>
  <c r="AI2495" i="1"/>
  <c r="AK2495" i="1"/>
  <c r="AG2496" i="1"/>
  <c r="AH2496" i="1"/>
  <c r="AI2496" i="1"/>
  <c r="AK2496" i="1"/>
  <c r="AG2497" i="1"/>
  <c r="AH2497" i="1"/>
  <c r="AK2497" i="1"/>
  <c r="AG2498" i="1"/>
  <c r="AH2498" i="1"/>
  <c r="AK2498" i="1"/>
  <c r="K2499" i="1"/>
  <c r="L2499" i="1"/>
  <c r="AG2499" i="1"/>
  <c r="AH2499" i="1"/>
  <c r="AK2499" i="1"/>
  <c r="AG2500" i="1"/>
  <c r="AH2500" i="1"/>
  <c r="AK2500" i="1"/>
  <c r="K2501" i="1"/>
  <c r="AG2501" i="1"/>
  <c r="AH2501" i="1"/>
  <c r="AK2501" i="1"/>
  <c r="K2502" i="1"/>
  <c r="AG2502" i="1"/>
  <c r="AH2502" i="1"/>
  <c r="AI2502" i="1"/>
  <c r="AK2502" i="1"/>
  <c r="AG2503" i="1"/>
  <c r="AK2503" i="1"/>
  <c r="AG2504" i="1"/>
  <c r="AH2504" i="1"/>
  <c r="AI2504" i="1"/>
  <c r="AK2504" i="1"/>
  <c r="AG2505" i="1"/>
  <c r="AH2505" i="1"/>
  <c r="AK2505" i="1"/>
  <c r="AG2506" i="1"/>
  <c r="AH2506" i="1"/>
  <c r="AK2506" i="1"/>
  <c r="AG2507" i="1"/>
  <c r="AH2507" i="1"/>
  <c r="AK2507" i="1"/>
  <c r="AG2508" i="1"/>
  <c r="AH2508" i="1"/>
  <c r="AK2508" i="1"/>
  <c r="AG2509" i="1"/>
  <c r="AH2509" i="1"/>
  <c r="AI2509" i="1"/>
  <c r="AK2509" i="1"/>
  <c r="AG2510" i="1"/>
  <c r="AH2510" i="1"/>
  <c r="AK2510" i="1"/>
  <c r="AG2511" i="1"/>
  <c r="AH2511" i="1"/>
  <c r="AK2511" i="1"/>
  <c r="AG2512" i="1"/>
  <c r="AH2512" i="1"/>
  <c r="AK2512" i="1"/>
  <c r="AG2513" i="1"/>
  <c r="AH2513" i="1"/>
  <c r="AK2513" i="1"/>
  <c r="AG2514" i="1"/>
  <c r="AH2514" i="1"/>
  <c r="AK2514" i="1"/>
  <c r="AG2515" i="1"/>
  <c r="AH2515" i="1"/>
  <c r="AK2515" i="1"/>
  <c r="AG2516" i="1"/>
  <c r="AH2516" i="1"/>
  <c r="AK2516" i="1"/>
  <c r="AG2517" i="1"/>
  <c r="AH2517" i="1"/>
  <c r="AK2517" i="1"/>
  <c r="AG2518" i="1"/>
  <c r="AH2518" i="1"/>
  <c r="AK2518" i="1"/>
  <c r="AG2519" i="1"/>
  <c r="AH2519" i="1"/>
  <c r="AK2519" i="1"/>
  <c r="AG2520" i="1"/>
  <c r="AH2520" i="1"/>
  <c r="AK2520" i="1"/>
  <c r="AG2521" i="1"/>
  <c r="AH2521" i="1"/>
  <c r="AK2521" i="1"/>
  <c r="AG2522" i="1"/>
  <c r="AH2522" i="1"/>
  <c r="AK2522" i="1"/>
  <c r="AG2523" i="1"/>
  <c r="AH2523" i="1"/>
  <c r="AK2523" i="1"/>
  <c r="AG2524" i="1"/>
  <c r="AH2524" i="1"/>
  <c r="AK2524" i="1"/>
  <c r="AG2525" i="1"/>
  <c r="AH2525" i="1"/>
  <c r="AK2525" i="1"/>
  <c r="AG2526" i="1"/>
  <c r="AH2526" i="1"/>
  <c r="AK2526" i="1"/>
  <c r="AG2527" i="1"/>
  <c r="AH2527" i="1"/>
  <c r="AK2527" i="1"/>
  <c r="AG2528" i="1"/>
  <c r="AH2528" i="1"/>
  <c r="AK2528" i="1"/>
  <c r="AG2529" i="1"/>
  <c r="AH2529" i="1"/>
  <c r="AI2529" i="1"/>
  <c r="AK2529" i="1"/>
  <c r="AG2530" i="1"/>
  <c r="AH2530" i="1"/>
  <c r="AK2530" i="1"/>
  <c r="AG2531" i="1"/>
  <c r="AH2531" i="1"/>
  <c r="AK2531" i="1"/>
  <c r="AG2532" i="1"/>
  <c r="AH2532" i="1"/>
  <c r="AK2532" i="1"/>
  <c r="AG2533" i="1"/>
  <c r="AH2533" i="1"/>
  <c r="AI2533" i="1"/>
  <c r="AK2533" i="1"/>
  <c r="AG2534" i="1"/>
  <c r="AH2534" i="1"/>
  <c r="AK2534" i="1"/>
  <c r="AG2535" i="1"/>
  <c r="AH2535" i="1"/>
  <c r="AI2535" i="1"/>
  <c r="AK2535" i="1"/>
  <c r="AG2536" i="1"/>
  <c r="AH2536" i="1"/>
  <c r="AK2536" i="1"/>
  <c r="AG2537" i="1"/>
  <c r="AH2537" i="1"/>
  <c r="AK2537" i="1"/>
  <c r="AG2538" i="1"/>
  <c r="AH2538" i="1"/>
  <c r="AK2538" i="1"/>
  <c r="AG2539" i="1"/>
  <c r="AH2539" i="1"/>
  <c r="AK2539" i="1"/>
  <c r="AG2540" i="1"/>
  <c r="AH2540" i="1"/>
  <c r="AK2540" i="1"/>
  <c r="AG2541" i="1"/>
  <c r="AH2541" i="1"/>
  <c r="AK2541" i="1"/>
  <c r="AG2542" i="1"/>
  <c r="AH2542" i="1"/>
  <c r="AK2542" i="1"/>
  <c r="AG2543" i="1"/>
  <c r="AH2543" i="1"/>
  <c r="AK2543" i="1"/>
  <c r="AG2544" i="1"/>
  <c r="AH2544" i="1"/>
  <c r="AK2544" i="1"/>
  <c r="AG2545" i="1"/>
  <c r="AH2545" i="1"/>
  <c r="AK2545" i="1"/>
  <c r="AG2546" i="1"/>
  <c r="AH2546" i="1"/>
  <c r="AK2546" i="1"/>
  <c r="AG2547" i="1"/>
  <c r="AH2547" i="1"/>
  <c r="AK2547" i="1"/>
  <c r="AG2548" i="1"/>
  <c r="AH2548" i="1"/>
  <c r="AK2548" i="1"/>
  <c r="AG2549" i="1"/>
  <c r="AH2549" i="1"/>
  <c r="AI2549" i="1"/>
  <c r="AK2549" i="1"/>
  <c r="AG2550" i="1"/>
  <c r="AH2550" i="1"/>
  <c r="AK2550" i="1"/>
  <c r="AG2551" i="1"/>
  <c r="AH2551" i="1"/>
  <c r="AK2551" i="1"/>
  <c r="K2552" i="1"/>
  <c r="AG2552" i="1"/>
  <c r="AH2552" i="1"/>
  <c r="AI2552" i="1"/>
  <c r="AK2552" i="1"/>
  <c r="AG2553" i="1"/>
  <c r="AH2553" i="1"/>
  <c r="AK2553" i="1"/>
  <c r="AG2554" i="1"/>
  <c r="AH2554" i="1"/>
  <c r="AK2554" i="1"/>
  <c r="AG2555" i="1"/>
  <c r="AH2555" i="1"/>
  <c r="AK2555" i="1"/>
  <c r="AG2556" i="1"/>
  <c r="AH2556" i="1"/>
  <c r="AK2556" i="1"/>
  <c r="AG2557" i="1"/>
  <c r="AH2557" i="1"/>
  <c r="AI2557" i="1"/>
  <c r="AK2557" i="1"/>
  <c r="AG2558" i="1"/>
  <c r="AH2558" i="1"/>
  <c r="AK2558" i="1"/>
  <c r="K2559" i="1"/>
  <c r="AG2559" i="1"/>
  <c r="AH2559" i="1"/>
  <c r="AK2559" i="1"/>
  <c r="AG2560" i="1"/>
  <c r="AH2560" i="1"/>
  <c r="AI2560" i="1"/>
  <c r="AK2560" i="1"/>
  <c r="AG2561" i="1"/>
  <c r="AH2561" i="1"/>
  <c r="AK2561" i="1"/>
  <c r="K2562" i="1"/>
  <c r="AG2562" i="1"/>
  <c r="AH2562" i="1"/>
  <c r="AK2562" i="1"/>
  <c r="AG2563" i="1"/>
  <c r="AH2563" i="1"/>
  <c r="AK2563" i="1"/>
  <c r="K2564" i="1"/>
  <c r="AG2564" i="1"/>
  <c r="AH2564" i="1"/>
  <c r="AI2564" i="1"/>
  <c r="AK2564" i="1"/>
  <c r="K2565" i="1"/>
  <c r="AG2565" i="1"/>
  <c r="AH2565" i="1"/>
  <c r="AI2565" i="1"/>
  <c r="AK2565" i="1"/>
  <c r="K2566" i="1"/>
  <c r="AG2566" i="1"/>
  <c r="AH2566" i="1"/>
  <c r="AI2566" i="1"/>
  <c r="AK2566" i="1"/>
  <c r="K2567" i="1"/>
  <c r="AG2567" i="1"/>
  <c r="AH2567" i="1"/>
  <c r="AI2567" i="1"/>
  <c r="AK2567" i="1"/>
  <c r="AG2568" i="1"/>
  <c r="AH2568" i="1"/>
  <c r="AK2568" i="1"/>
  <c r="AG2569" i="1"/>
  <c r="AH2569" i="1"/>
  <c r="AK2569" i="1"/>
  <c r="AG2570" i="1"/>
  <c r="AH2570" i="1"/>
  <c r="AK2570" i="1"/>
  <c r="E2571" i="1"/>
  <c r="F2571" i="1"/>
  <c r="G2571" i="1"/>
  <c r="H2571" i="1"/>
  <c r="K2571" i="1"/>
  <c r="L2571" i="1"/>
  <c r="M2571" i="1"/>
  <c r="AG2572" i="1"/>
  <c r="AH2572" i="1"/>
  <c r="K2573" i="1"/>
  <c r="K2574" i="1"/>
  <c r="K2575" i="1"/>
  <c r="K2576" i="1"/>
  <c r="K2577" i="1"/>
  <c r="K2578" i="1"/>
  <c r="K2580" i="1"/>
  <c r="AG2580" i="1"/>
  <c r="AH2580" i="1"/>
  <c r="K2581" i="1"/>
  <c r="K2582" i="1"/>
  <c r="L2582" i="1"/>
  <c r="M2582" i="1"/>
  <c r="N2582" i="1"/>
  <c r="O2582" i="1"/>
  <c r="P2582" i="1"/>
  <c r="Q2582" i="1"/>
  <c r="R2582" i="1"/>
  <c r="S2582" i="1"/>
  <c r="T2582" i="1"/>
  <c r="U2582" i="1"/>
  <c r="V2582" i="1"/>
  <c r="W2582" i="1"/>
  <c r="X2582" i="1"/>
  <c r="Y2582" i="1"/>
  <c r="Z2582" i="1"/>
  <c r="AG2583" i="1"/>
  <c r="AH2583" i="1"/>
  <c r="AK2583" i="1"/>
  <c r="AG2584" i="1"/>
  <c r="AH2584" i="1"/>
  <c r="AK2584" i="1"/>
  <c r="K2585" i="1"/>
  <c r="K2586" i="1"/>
  <c r="E2587" i="1"/>
  <c r="K2587" i="1"/>
  <c r="K2588" i="1"/>
  <c r="K2589" i="1"/>
  <c r="K2590" i="1"/>
  <c r="L2590" i="1"/>
  <c r="M2590" i="1"/>
  <c r="AF2590" i="1"/>
  <c r="AG2590" i="1"/>
  <c r="AH2590" i="1"/>
  <c r="K2594" i="1"/>
  <c r="AF2594" i="1"/>
  <c r="AG2594" i="1"/>
  <c r="AH2594" i="1"/>
  <c r="K2595" i="1"/>
  <c r="K2597" i="1"/>
  <c r="K2599" i="1"/>
  <c r="AD2599" i="1"/>
  <c r="K2600" i="1"/>
  <c r="K2601" i="1"/>
  <c r="L2601" i="1"/>
  <c r="M2601" i="1"/>
  <c r="N2601" i="1"/>
  <c r="O2601" i="1"/>
  <c r="P2601" i="1"/>
  <c r="K2602" i="1"/>
  <c r="L2602" i="1"/>
  <c r="M2602" i="1"/>
  <c r="K2603" i="1"/>
  <c r="L2603" i="1"/>
  <c r="K2604" i="1"/>
  <c r="L2604" i="1"/>
  <c r="AG2605" i="1"/>
  <c r="AH2605" i="1"/>
  <c r="AI2605" i="1"/>
  <c r="AK2605" i="1"/>
  <c r="AG2606" i="1"/>
  <c r="AH2606" i="1"/>
  <c r="AI2606" i="1"/>
  <c r="AK2606" i="1"/>
  <c r="K2607" i="1"/>
  <c r="L2607" i="1"/>
  <c r="K2608" i="1"/>
  <c r="L2608" i="1"/>
  <c r="K2609" i="1"/>
  <c r="L2609" i="1"/>
  <c r="M2609" i="1"/>
  <c r="N2609" i="1"/>
  <c r="O2609" i="1"/>
  <c r="K2610" i="1"/>
  <c r="K2611" i="1"/>
  <c r="K2612" i="1"/>
  <c r="K2613" i="1"/>
  <c r="AG2613" i="1"/>
  <c r="AH2613" i="1"/>
  <c r="K2614" i="1"/>
  <c r="AG2615" i="1"/>
  <c r="AH2615" i="1"/>
  <c r="AI2616" i="1"/>
  <c r="K2618" i="1"/>
  <c r="AG2618" i="1"/>
  <c r="AH2618" i="1"/>
  <c r="K2619" i="1"/>
  <c r="AG2619" i="1"/>
  <c r="AH2619" i="1"/>
  <c r="K2620" i="1"/>
  <c r="AF2621" i="1"/>
  <c r="K2622" i="1"/>
  <c r="L2622" i="1"/>
  <c r="M2622" i="1"/>
  <c r="N2622" i="1"/>
  <c r="K2624" i="1"/>
  <c r="AG2624" i="1"/>
  <c r="AH2624" i="1"/>
  <c r="K2625" i="1"/>
  <c r="AG2626" i="1"/>
  <c r="AH2626" i="1"/>
  <c r="AK2626" i="1"/>
  <c r="AG2627" i="1"/>
  <c r="AH2627" i="1"/>
  <c r="AK2627" i="1"/>
  <c r="K2628" i="1"/>
  <c r="AG2628" i="1"/>
  <c r="AH2628" i="1"/>
  <c r="AI2628" i="1"/>
  <c r="AK2628" i="1"/>
  <c r="K2629" i="1"/>
  <c r="L2629" i="1"/>
  <c r="M2629" i="1"/>
  <c r="AG2629" i="1"/>
  <c r="AH2629" i="1"/>
  <c r="AI2629" i="1"/>
  <c r="AK2629" i="1"/>
  <c r="K2630" i="1"/>
  <c r="L2630" i="1"/>
  <c r="M2630" i="1"/>
  <c r="N2630" i="1"/>
  <c r="O2630" i="1"/>
  <c r="P2630" i="1"/>
  <c r="Q2630" i="1"/>
  <c r="R2630" i="1"/>
  <c r="S2630" i="1"/>
  <c r="K2631" i="1"/>
  <c r="K2632" i="1"/>
  <c r="AG2632" i="1"/>
  <c r="AH2632" i="1"/>
  <c r="K2633" i="1"/>
  <c r="AG2633" i="1"/>
  <c r="AH2633" i="1"/>
  <c r="AG2634" i="1"/>
  <c r="AH2634" i="1"/>
  <c r="AK2634" i="1"/>
  <c r="AG2635" i="1"/>
  <c r="AH2635" i="1"/>
  <c r="AK2635" i="1"/>
  <c r="K2636" i="1"/>
  <c r="K2637" i="1"/>
  <c r="E2638" i="1"/>
  <c r="K2638" i="1"/>
  <c r="L2638" i="1"/>
  <c r="M2638" i="1"/>
  <c r="AG2639" i="1"/>
  <c r="AH2639" i="1"/>
  <c r="AK2639" i="1"/>
  <c r="AG2640" i="1"/>
  <c r="AH2640" i="1"/>
  <c r="AK2640" i="1"/>
  <c r="AG2641" i="1"/>
  <c r="AH2641" i="1"/>
  <c r="AK2641" i="1"/>
  <c r="AG2642" i="1"/>
  <c r="AH2642" i="1"/>
  <c r="AK2642" i="1"/>
  <c r="AG2643" i="1"/>
  <c r="AH2643" i="1"/>
  <c r="AK2643" i="1"/>
  <c r="AG2644" i="1"/>
  <c r="AH2644" i="1"/>
  <c r="AI2644" i="1"/>
  <c r="AK2644" i="1"/>
  <c r="K2645" i="1"/>
  <c r="AG2645" i="1"/>
  <c r="AH2645" i="1"/>
  <c r="K2646" i="1"/>
  <c r="K2647" i="1"/>
  <c r="AG2648" i="1"/>
  <c r="AH2648" i="1"/>
  <c r="AK2648" i="1"/>
  <c r="AG2649" i="1"/>
  <c r="AI2649" i="1"/>
  <c r="K2650" i="1"/>
  <c r="AG2650" i="1"/>
  <c r="AH2650" i="1"/>
  <c r="AI2650" i="1"/>
  <c r="AK2650" i="1"/>
  <c r="K2651" i="1"/>
  <c r="K2652" i="1"/>
  <c r="AG2652" i="1"/>
  <c r="AH2652" i="1"/>
  <c r="AK2652" i="1"/>
  <c r="K2653" i="1"/>
  <c r="AG2653" i="1"/>
  <c r="AH2653" i="1"/>
  <c r="K2654" i="1"/>
  <c r="AG2654" i="1"/>
  <c r="AH2654" i="1"/>
  <c r="AI2654" i="1"/>
  <c r="AK2654" i="1"/>
  <c r="AG2655" i="1"/>
  <c r="AH2655" i="1"/>
  <c r="AK2655" i="1"/>
  <c r="K2656" i="1"/>
  <c r="AG2656" i="1"/>
  <c r="AH2656" i="1"/>
  <c r="AI2656" i="1"/>
  <c r="AK2656" i="1"/>
  <c r="K2657" i="1"/>
  <c r="AG2657" i="1"/>
  <c r="AH2657" i="1"/>
  <c r="AI2657" i="1"/>
  <c r="AK2657" i="1"/>
  <c r="K2658" i="1"/>
  <c r="AG2658" i="1"/>
  <c r="AH2658" i="1"/>
  <c r="AI2658" i="1"/>
  <c r="AK2658" i="1"/>
  <c r="K2659" i="1"/>
  <c r="AG2659" i="1"/>
  <c r="AH2659" i="1"/>
  <c r="AI2659" i="1"/>
  <c r="AK2659" i="1"/>
  <c r="K2660" i="1"/>
  <c r="AG2660" i="1"/>
  <c r="AH2660" i="1"/>
  <c r="AI2660" i="1"/>
  <c r="AK2660" i="1"/>
  <c r="K2661" i="1"/>
  <c r="AG2661" i="1"/>
  <c r="AH2661" i="1"/>
  <c r="AK2661" i="1"/>
  <c r="AG2662" i="1"/>
  <c r="AH2662" i="1"/>
  <c r="AK2662" i="1"/>
  <c r="AG2663" i="1"/>
  <c r="AH2663" i="1"/>
  <c r="AK2663" i="1"/>
  <c r="K2664" i="1"/>
  <c r="K2665" i="1"/>
  <c r="K2666" i="1"/>
  <c r="L2666" i="1"/>
  <c r="M2666" i="1"/>
  <c r="K2667" i="1"/>
  <c r="K2668" i="1"/>
  <c r="K2669" i="1"/>
  <c r="AF2669" i="1"/>
  <c r="K2670" i="1"/>
  <c r="K2671" i="1"/>
  <c r="L2671" i="1"/>
  <c r="K2672" i="1"/>
  <c r="L2672" i="1"/>
  <c r="AF2673" i="1"/>
  <c r="K2675" i="1"/>
  <c r="AG2675" i="1"/>
  <c r="AH2675" i="1"/>
  <c r="AG2676" i="1"/>
  <c r="AH2676" i="1"/>
  <c r="AK2676" i="1"/>
  <c r="AG2677" i="1"/>
  <c r="AH2677" i="1"/>
  <c r="AI2677" i="1"/>
  <c r="AK2677" i="1"/>
  <c r="AG2678" i="1"/>
  <c r="AH2678" i="1"/>
  <c r="AK2678" i="1"/>
  <c r="AG2679" i="1"/>
  <c r="AH2679" i="1"/>
  <c r="AI2679" i="1"/>
  <c r="AK2679" i="1"/>
  <c r="AG2680" i="1"/>
  <c r="AH2680" i="1"/>
  <c r="AK2680" i="1"/>
  <c r="K2681" i="1"/>
  <c r="AG2681" i="1"/>
  <c r="AH2681" i="1"/>
  <c r="AI2681" i="1"/>
  <c r="AK2681" i="1"/>
  <c r="AG2682" i="1"/>
  <c r="AH2682" i="1"/>
  <c r="AK2682" i="1"/>
  <c r="AG2683" i="1"/>
  <c r="AH2683" i="1"/>
  <c r="AK2683" i="1"/>
  <c r="AG2684" i="1"/>
  <c r="AH2684" i="1"/>
  <c r="AK2684" i="1"/>
  <c r="AG2685" i="1"/>
  <c r="AH2685" i="1"/>
  <c r="AK2685" i="1"/>
  <c r="AG2686" i="1"/>
  <c r="AH2686" i="1"/>
  <c r="AK2686" i="1"/>
  <c r="K2687" i="1"/>
  <c r="AG2687" i="1"/>
  <c r="AH2687" i="1"/>
  <c r="AK2687" i="1"/>
  <c r="K2688" i="1"/>
  <c r="AG2688" i="1"/>
  <c r="AH2688" i="1"/>
  <c r="AK2688" i="1"/>
  <c r="AG2689" i="1"/>
  <c r="AH2689" i="1"/>
  <c r="AK2689" i="1"/>
  <c r="AG2690" i="1"/>
  <c r="AH2690" i="1"/>
  <c r="AK2690" i="1"/>
  <c r="K2691" i="1"/>
  <c r="AG2691" i="1"/>
  <c r="AH2691" i="1"/>
  <c r="AK2691" i="1"/>
  <c r="AG2692" i="1"/>
  <c r="AH2692" i="1"/>
  <c r="AI2692" i="1"/>
  <c r="AK2692" i="1"/>
  <c r="AG2693" i="1"/>
  <c r="AH2693" i="1"/>
  <c r="AK2693" i="1"/>
  <c r="K2694" i="1"/>
  <c r="L2694" i="1"/>
  <c r="M2694" i="1"/>
  <c r="AG2694" i="1"/>
  <c r="AH2694" i="1"/>
  <c r="AK2694" i="1"/>
  <c r="AG2695" i="1"/>
  <c r="AH2695" i="1"/>
  <c r="AK2695" i="1"/>
  <c r="K2696" i="1"/>
  <c r="AG2696" i="1"/>
  <c r="AH2696" i="1"/>
  <c r="AI2696" i="1"/>
  <c r="AK2696" i="1"/>
  <c r="AG2697" i="1"/>
  <c r="AH2697" i="1"/>
  <c r="AK2697" i="1"/>
  <c r="AG2698" i="1"/>
  <c r="AH2698" i="1"/>
  <c r="AK2698" i="1"/>
  <c r="K2700" i="1"/>
  <c r="K2701" i="1"/>
  <c r="AG2701" i="1"/>
  <c r="AH2701" i="1"/>
  <c r="AK2701" i="1"/>
  <c r="AG2702" i="1"/>
  <c r="AH2702" i="1"/>
  <c r="AK2702" i="1"/>
  <c r="AG2703" i="1"/>
  <c r="AH2703" i="1"/>
  <c r="AI2703" i="1"/>
  <c r="AK2703" i="1"/>
  <c r="AG2704" i="1"/>
  <c r="AH2704" i="1"/>
  <c r="AK2704" i="1"/>
  <c r="AG2705" i="1"/>
  <c r="AH2705" i="1"/>
  <c r="AK2705" i="1"/>
  <c r="AG2706" i="1"/>
  <c r="AH2706" i="1"/>
  <c r="AK2706" i="1"/>
  <c r="AG2707" i="1"/>
  <c r="AH2707" i="1"/>
  <c r="AK2707" i="1"/>
  <c r="AG2708" i="1"/>
  <c r="AH2708" i="1"/>
  <c r="AK2708" i="1"/>
  <c r="AG2709" i="1"/>
  <c r="AH2709" i="1"/>
  <c r="AK2709" i="1"/>
  <c r="AG2710" i="1"/>
  <c r="AH2710" i="1"/>
  <c r="AI2710" i="1"/>
  <c r="AK2710" i="1"/>
  <c r="AG2711" i="1"/>
  <c r="AH2711" i="1"/>
  <c r="AK2711" i="1"/>
  <c r="AG2712" i="1"/>
  <c r="AH2712" i="1"/>
  <c r="AK2712" i="1"/>
  <c r="AG2713" i="1"/>
  <c r="AH2713" i="1"/>
  <c r="AK2713" i="1"/>
  <c r="AG2714" i="1"/>
  <c r="AH2714" i="1"/>
  <c r="AK2714" i="1"/>
  <c r="AG2715" i="1"/>
  <c r="AH2715" i="1"/>
  <c r="AK2715" i="1"/>
  <c r="K2716" i="1"/>
  <c r="AG2716" i="1"/>
  <c r="AH2716" i="1"/>
  <c r="AK2716" i="1"/>
  <c r="AG2717" i="1"/>
  <c r="AH2717" i="1"/>
  <c r="AK2717" i="1"/>
  <c r="K2718" i="1"/>
  <c r="AG2718" i="1"/>
  <c r="AH2718" i="1"/>
  <c r="AK2718" i="1"/>
  <c r="K2719" i="1"/>
  <c r="AG2719" i="1"/>
  <c r="AH2719" i="1"/>
  <c r="AI2719" i="1"/>
  <c r="AK2719" i="1"/>
  <c r="K2720" i="1"/>
  <c r="AG2720" i="1"/>
  <c r="AH2720" i="1"/>
  <c r="AK2720" i="1"/>
  <c r="K2721" i="1"/>
  <c r="AG2721" i="1"/>
  <c r="AH2721" i="1"/>
  <c r="AI2721" i="1"/>
  <c r="AK2721" i="1"/>
  <c r="K2722" i="1"/>
  <c r="L2722" i="1"/>
  <c r="M2722" i="1"/>
  <c r="AD2722" i="1"/>
  <c r="AG2723" i="1"/>
  <c r="AH2723" i="1"/>
  <c r="AK2723" i="1"/>
  <c r="AG2724" i="1"/>
  <c r="AH2724" i="1"/>
  <c r="AK2724" i="1"/>
  <c r="K2725" i="1"/>
  <c r="AF2725" i="1"/>
  <c r="AG2725" i="1"/>
  <c r="AH2725" i="1"/>
  <c r="K2726" i="1"/>
  <c r="AG2726" i="1"/>
  <c r="AH2726" i="1"/>
  <c r="K2727" i="1"/>
  <c r="K2728" i="1"/>
  <c r="AG2728" i="1"/>
  <c r="AH2728" i="1"/>
  <c r="K2729" i="1"/>
  <c r="AG2729" i="1"/>
  <c r="AH2729" i="1"/>
  <c r="K2730" i="1"/>
  <c r="K2731" i="1"/>
  <c r="K2733" i="1"/>
  <c r="AG2733" i="1"/>
  <c r="AH2733" i="1"/>
  <c r="AI2733" i="1"/>
  <c r="AK2733" i="1"/>
  <c r="AG2734" i="1"/>
  <c r="AH2734" i="1"/>
  <c r="AI2734" i="1"/>
  <c r="AK2734" i="1"/>
  <c r="AG2735" i="1"/>
  <c r="AH2735" i="1"/>
  <c r="AI2735" i="1"/>
  <c r="AK2735" i="1"/>
  <c r="AG2736" i="1"/>
  <c r="AH2736" i="1"/>
  <c r="AI2736" i="1"/>
  <c r="AK2736" i="1"/>
  <c r="AG2737" i="1"/>
  <c r="AH2737" i="1"/>
  <c r="AK2737" i="1"/>
  <c r="K2738" i="1"/>
  <c r="AG2739" i="1"/>
  <c r="AH2739" i="1"/>
  <c r="AK2739" i="1"/>
  <c r="AG2740" i="1"/>
  <c r="AH2740" i="1"/>
  <c r="AI2740" i="1"/>
  <c r="AK2740" i="1"/>
  <c r="AG2741" i="1"/>
  <c r="AH2741" i="1"/>
  <c r="AK2741" i="1"/>
  <c r="AG2742" i="1"/>
  <c r="AH2742" i="1"/>
  <c r="AK2742" i="1"/>
  <c r="AG2743" i="1"/>
  <c r="AH2743" i="1"/>
  <c r="AK2743" i="1"/>
  <c r="K2744" i="1"/>
  <c r="AG2745" i="1"/>
  <c r="AH2745" i="1"/>
  <c r="AG2746" i="1"/>
  <c r="AH2746" i="1"/>
  <c r="AK2746" i="1"/>
  <c r="AG2747" i="1"/>
  <c r="AH2747" i="1"/>
  <c r="AI2747" i="1"/>
  <c r="AK2747" i="1"/>
  <c r="K2748" i="1"/>
  <c r="AG2748" i="1"/>
  <c r="AH2748" i="1"/>
  <c r="AK2748" i="1"/>
  <c r="K2749" i="1"/>
  <c r="AG2749" i="1"/>
  <c r="AH2749" i="1"/>
  <c r="AK2749" i="1"/>
  <c r="K2750" i="1"/>
  <c r="AG2750" i="1"/>
  <c r="AH2750" i="1"/>
  <c r="AK2750" i="1"/>
  <c r="AG2751" i="1"/>
  <c r="AH2751" i="1"/>
  <c r="AK2751" i="1"/>
  <c r="AG2752" i="1"/>
  <c r="AH2752" i="1"/>
  <c r="AK2752" i="1"/>
  <c r="AG2753" i="1"/>
  <c r="AH2753" i="1"/>
  <c r="AK2753" i="1"/>
  <c r="AG2754" i="1"/>
  <c r="AH2754" i="1"/>
  <c r="AK2754" i="1"/>
  <c r="K2755" i="1"/>
  <c r="L2755" i="1"/>
  <c r="M2755" i="1"/>
  <c r="N2755" i="1"/>
  <c r="O2755" i="1"/>
  <c r="P2755" i="1"/>
  <c r="Q2755" i="1"/>
  <c r="AG2755" i="1"/>
  <c r="AH2755" i="1"/>
  <c r="AK2755" i="1"/>
  <c r="K2756" i="1"/>
  <c r="L2756" i="1"/>
  <c r="M2756" i="1"/>
  <c r="N2756" i="1"/>
  <c r="O2756" i="1"/>
  <c r="P2756" i="1"/>
  <c r="Q2756" i="1"/>
  <c r="R2756" i="1"/>
  <c r="AG2756" i="1"/>
  <c r="AH2756" i="1"/>
  <c r="AK2756" i="1"/>
  <c r="K2757" i="1"/>
  <c r="L2757" i="1"/>
  <c r="M2757" i="1"/>
  <c r="AG2757" i="1"/>
  <c r="AH2757" i="1"/>
  <c r="AI2757" i="1"/>
  <c r="AK2757" i="1"/>
  <c r="K2758" i="1"/>
  <c r="AG2758" i="1"/>
  <c r="AH2758" i="1"/>
  <c r="AK2758" i="1"/>
  <c r="K2759" i="1"/>
  <c r="AG2759" i="1"/>
  <c r="AH2759" i="1"/>
  <c r="AK2759" i="1"/>
  <c r="K2760" i="1"/>
  <c r="AG2760" i="1"/>
  <c r="AH2760" i="1"/>
  <c r="AI2760" i="1"/>
  <c r="AK2760" i="1"/>
  <c r="AG2761" i="1"/>
  <c r="AH2761" i="1"/>
  <c r="AI2761" i="1"/>
  <c r="AK2761" i="1"/>
  <c r="AG2762" i="1"/>
  <c r="AH2762" i="1"/>
  <c r="AK2762" i="1"/>
  <c r="AG2764" i="1"/>
  <c r="AH2764" i="1"/>
  <c r="AK2764" i="1"/>
  <c r="AG2765" i="1"/>
  <c r="AH2765" i="1"/>
  <c r="AK2765" i="1"/>
  <c r="K2766" i="1"/>
  <c r="AG2766" i="1"/>
  <c r="AH2766" i="1"/>
  <c r="AK2766" i="1"/>
  <c r="AG2767" i="1"/>
  <c r="AH2767" i="1"/>
  <c r="AK2767" i="1"/>
  <c r="AG2768" i="1"/>
  <c r="AH2768" i="1"/>
  <c r="AK2768" i="1"/>
  <c r="AG2769" i="1"/>
  <c r="AH2769" i="1"/>
  <c r="AK2769" i="1"/>
  <c r="AG2770" i="1"/>
  <c r="AH2770" i="1"/>
  <c r="AI2770" i="1"/>
  <c r="AK2770" i="1"/>
  <c r="AG2771" i="1"/>
  <c r="AH2771" i="1"/>
  <c r="AK2771" i="1"/>
  <c r="AG2772" i="1"/>
  <c r="AH2772" i="1"/>
  <c r="AK2772" i="1"/>
  <c r="AG2773" i="1"/>
  <c r="AH2773" i="1"/>
  <c r="AK2773" i="1"/>
  <c r="AG2774" i="1"/>
  <c r="AH2774" i="1"/>
  <c r="AK2774" i="1"/>
  <c r="AG2775" i="1"/>
  <c r="AH2775" i="1"/>
  <c r="AK2775" i="1"/>
  <c r="AG2776" i="1"/>
  <c r="AH2776" i="1"/>
  <c r="AK2776" i="1"/>
  <c r="AG2777" i="1"/>
  <c r="AH2777" i="1"/>
  <c r="AK2777" i="1"/>
  <c r="K2778" i="1"/>
  <c r="AG2778" i="1"/>
  <c r="AH2778" i="1"/>
  <c r="AK2778" i="1"/>
  <c r="AG2779" i="1"/>
  <c r="AH2779" i="1"/>
  <c r="AK2779" i="1"/>
  <c r="AG2780" i="1"/>
  <c r="AH2780" i="1"/>
  <c r="AK2780" i="1"/>
  <c r="AG2781" i="1"/>
  <c r="AH2781" i="1"/>
  <c r="AK2781" i="1"/>
  <c r="AG2782" i="1"/>
  <c r="AH2782" i="1"/>
  <c r="AK2782" i="1"/>
  <c r="AG2783" i="1"/>
  <c r="AH2783" i="1"/>
  <c r="AK2783" i="1"/>
  <c r="AG2784" i="1"/>
  <c r="AH2784" i="1"/>
  <c r="AK2784" i="1"/>
  <c r="AG2785" i="1"/>
  <c r="AH2785" i="1"/>
  <c r="AK2785" i="1"/>
  <c r="K2786" i="1"/>
  <c r="K2787" i="1"/>
  <c r="AG2787" i="1"/>
  <c r="AH2787" i="1"/>
  <c r="AK2787" i="1"/>
  <c r="K2788" i="1"/>
  <c r="AG2788" i="1"/>
  <c r="AH2788" i="1"/>
  <c r="AK2788" i="1"/>
  <c r="K2789" i="1"/>
  <c r="L2789" i="1"/>
  <c r="M2789" i="1"/>
  <c r="N2789" i="1"/>
  <c r="K2790" i="1"/>
  <c r="AG2790" i="1"/>
  <c r="AH2790" i="1"/>
  <c r="AK2790" i="1"/>
  <c r="AG2791" i="1"/>
  <c r="AH2791" i="1"/>
  <c r="AK2791" i="1"/>
  <c r="K2792" i="1"/>
  <c r="AG2792" i="1"/>
  <c r="AH2792" i="1"/>
  <c r="AK2792" i="1"/>
  <c r="AG2793" i="1"/>
  <c r="AH2793" i="1"/>
  <c r="AK2793" i="1"/>
  <c r="AG2794" i="1"/>
  <c r="AH2794" i="1"/>
  <c r="AK2794" i="1"/>
  <c r="AF2795" i="1"/>
  <c r="K2796" i="1"/>
  <c r="AG2796" i="1"/>
  <c r="AH2796" i="1"/>
  <c r="AI2796" i="1"/>
  <c r="AK2796" i="1"/>
  <c r="K2797" i="1"/>
  <c r="AG2797" i="1"/>
  <c r="AH2797" i="1"/>
  <c r="AI2797" i="1"/>
  <c r="AK2797" i="1"/>
  <c r="K2798" i="1"/>
  <c r="AG2798" i="1"/>
  <c r="AH2798" i="1"/>
  <c r="AK2798" i="1"/>
  <c r="AG2799" i="1"/>
  <c r="AH2799" i="1"/>
  <c r="AK2799" i="1"/>
  <c r="K2800" i="1"/>
  <c r="AG2800" i="1"/>
  <c r="AH2800" i="1"/>
  <c r="AK2800" i="1"/>
  <c r="K2801" i="1"/>
  <c r="AG2801" i="1"/>
  <c r="AH2801" i="1"/>
  <c r="AK2801" i="1"/>
  <c r="K2802" i="1"/>
  <c r="AG2802" i="1"/>
  <c r="AH2802" i="1"/>
  <c r="AK2802" i="1"/>
  <c r="AG2803" i="1"/>
  <c r="AH2803" i="1"/>
  <c r="AG2804" i="1"/>
  <c r="AH2804" i="1"/>
  <c r="AK2804" i="1"/>
  <c r="K2805" i="1"/>
  <c r="K2806" i="1"/>
  <c r="L2806" i="1"/>
  <c r="M2806" i="1"/>
  <c r="N2806" i="1"/>
  <c r="O2806" i="1"/>
  <c r="P2806" i="1"/>
  <c r="Q2806" i="1"/>
  <c r="R2806" i="1"/>
  <c r="S2806" i="1"/>
  <c r="AG2806" i="1"/>
  <c r="AH2806" i="1"/>
  <c r="AI2806" i="1"/>
  <c r="AK2806" i="1"/>
  <c r="K2807" i="1"/>
  <c r="L2807" i="1"/>
  <c r="M2807" i="1"/>
  <c r="N2807" i="1"/>
  <c r="K2808" i="1"/>
  <c r="K2809" i="1"/>
  <c r="L2809" i="1"/>
  <c r="M2809" i="1"/>
  <c r="N2809" i="1"/>
  <c r="AG2809" i="1"/>
  <c r="AH2809" i="1"/>
  <c r="AK2809" i="1"/>
  <c r="K2810" i="1"/>
  <c r="K2811" i="1"/>
  <c r="K2812" i="1"/>
  <c r="AG2812" i="1"/>
  <c r="AH2812" i="1"/>
  <c r="K2813" i="1"/>
  <c r="K2814" i="1"/>
  <c r="AG2814" i="1"/>
  <c r="AH2814" i="1"/>
  <c r="K2815" i="1"/>
  <c r="K2816" i="1"/>
  <c r="K2817" i="1"/>
  <c r="K2818" i="1"/>
  <c r="E2819" i="1"/>
  <c r="K2820" i="1"/>
  <c r="AF2820" i="1"/>
  <c r="K2821" i="1"/>
  <c r="K2822" i="1"/>
  <c r="K2823" i="1"/>
  <c r="AG2823" i="1"/>
  <c r="AH2823" i="1"/>
  <c r="AG2824" i="1"/>
  <c r="AH2824" i="1"/>
  <c r="K2825" i="1"/>
  <c r="K2826" i="1"/>
  <c r="AG2826" i="1"/>
  <c r="AH2826" i="1"/>
  <c r="K2827" i="1"/>
  <c r="AG2827" i="1"/>
  <c r="AH2827" i="1"/>
  <c r="K2828" i="1"/>
  <c r="AG2828" i="1"/>
  <c r="AH2828" i="1"/>
  <c r="K2830" i="1"/>
  <c r="AG2830" i="1"/>
  <c r="AH2830" i="1"/>
  <c r="K2831" i="1"/>
  <c r="AG2831" i="1"/>
  <c r="AH2831" i="1"/>
  <c r="K2832" i="1"/>
  <c r="AG2832" i="1"/>
  <c r="AH2832" i="1"/>
  <c r="K2833" i="1"/>
  <c r="L2833" i="1"/>
  <c r="AG2833" i="1"/>
  <c r="AH2833" i="1"/>
  <c r="K2834" i="1"/>
  <c r="AG2834" i="1"/>
  <c r="AH2834" i="1"/>
  <c r="K2836" i="1"/>
  <c r="AF2836" i="1"/>
  <c r="AG2836" i="1"/>
  <c r="AH2836" i="1"/>
  <c r="K2838" i="1"/>
  <c r="L2838" i="1"/>
  <c r="AG2838" i="1"/>
  <c r="AH2838" i="1"/>
  <c r="AG2839" i="1"/>
  <c r="AH2839" i="1"/>
  <c r="AK2839" i="1"/>
  <c r="AG2840" i="1"/>
  <c r="AH2840" i="1"/>
  <c r="AK2840" i="1"/>
  <c r="K2841" i="1"/>
  <c r="AG2841" i="1"/>
  <c r="AH2841" i="1"/>
  <c r="K2842" i="1"/>
  <c r="AG2842" i="1"/>
  <c r="AH2842" i="1"/>
  <c r="AG2843" i="1"/>
  <c r="AH2843" i="1"/>
  <c r="K2844" i="1"/>
  <c r="K2845" i="1"/>
  <c r="AG2846" i="1"/>
  <c r="AH2846" i="1"/>
  <c r="AK2846" i="1"/>
  <c r="AG2847" i="1"/>
  <c r="AH2847" i="1"/>
  <c r="AK2847" i="1"/>
  <c r="AG2848" i="1"/>
  <c r="AH2848" i="1"/>
  <c r="AK2848" i="1"/>
  <c r="AG2849" i="1"/>
  <c r="AH2849" i="1"/>
  <c r="AK2849" i="1"/>
  <c r="AG2850" i="1"/>
  <c r="AH2850" i="1"/>
  <c r="AK2850" i="1"/>
  <c r="AG2851" i="1"/>
  <c r="AH2851" i="1"/>
  <c r="AK2851" i="1"/>
  <c r="AG2852" i="1"/>
  <c r="AH2852" i="1"/>
  <c r="AK2852" i="1"/>
  <c r="AG2853" i="1"/>
  <c r="AH2853" i="1"/>
  <c r="AK2853" i="1"/>
  <c r="AG2854" i="1"/>
  <c r="AH2854" i="1"/>
  <c r="AK2854" i="1"/>
  <c r="AG2855" i="1"/>
  <c r="AH2855" i="1"/>
  <c r="AK2855" i="1"/>
  <c r="AG2856" i="1"/>
  <c r="AH2856" i="1"/>
  <c r="AK2856" i="1"/>
  <c r="AG2857" i="1"/>
  <c r="AH2857" i="1"/>
  <c r="AK2857" i="1"/>
  <c r="AG2858" i="1"/>
  <c r="AH2858" i="1"/>
  <c r="AK2858" i="1"/>
  <c r="AG2859" i="1"/>
  <c r="AH2859" i="1"/>
  <c r="AK2859" i="1"/>
  <c r="K2860" i="1"/>
  <c r="L2860" i="1"/>
  <c r="AD2861" i="1"/>
  <c r="K2862" i="1"/>
  <c r="L2862" i="1"/>
  <c r="M2862" i="1"/>
  <c r="AG2862" i="1"/>
  <c r="AH2862" i="1"/>
  <c r="AI2862" i="1"/>
  <c r="AK2862" i="1"/>
  <c r="K2863" i="1"/>
  <c r="K2864" i="1"/>
  <c r="K2865" i="1"/>
  <c r="K2867" i="1"/>
  <c r="AF2867" i="1"/>
  <c r="E2868" i="1"/>
  <c r="F2868" i="1"/>
  <c r="K2868" i="1"/>
  <c r="L2868" i="1"/>
  <c r="AF2868" i="1"/>
  <c r="AG2868" i="1"/>
  <c r="AH2868" i="1"/>
  <c r="E2869" i="1"/>
  <c r="K2869" i="1"/>
  <c r="AG2869" i="1"/>
  <c r="AH2869" i="1"/>
  <c r="K2870" i="1"/>
  <c r="K2871" i="1"/>
  <c r="L2871" i="1"/>
  <c r="M2871" i="1"/>
  <c r="N2871" i="1"/>
  <c r="AG2871" i="1"/>
  <c r="AH2871" i="1"/>
  <c r="K2872" i="1"/>
  <c r="AG2872" i="1"/>
  <c r="AH2872" i="1"/>
  <c r="K2874" i="1"/>
  <c r="AG2874" i="1"/>
  <c r="AH2874" i="1"/>
  <c r="AI2874" i="1"/>
  <c r="K2875" i="1"/>
  <c r="AG2875" i="1"/>
  <c r="AH2875" i="1"/>
  <c r="K2876" i="1"/>
  <c r="AG2876" i="1"/>
  <c r="AH2876" i="1"/>
  <c r="K2877" i="1"/>
  <c r="K2878" i="1"/>
  <c r="K2879" i="1"/>
  <c r="AG2879" i="1"/>
  <c r="AH2879" i="1"/>
  <c r="K2880" i="1"/>
  <c r="K2881" i="1"/>
  <c r="K2882" i="1"/>
  <c r="K2883" i="1"/>
  <c r="L2883" i="1"/>
  <c r="M2883" i="1"/>
  <c r="AF2883" i="1"/>
  <c r="K2884" i="1"/>
  <c r="AG2885" i="1"/>
  <c r="AH2885" i="1"/>
  <c r="K2886" i="1"/>
  <c r="K2889" i="1"/>
  <c r="L2889" i="1"/>
  <c r="K2890" i="1"/>
  <c r="K2891" i="1"/>
  <c r="K2894" i="1"/>
  <c r="AG2894" i="1"/>
  <c r="AH2894" i="1"/>
  <c r="K2895" i="1"/>
  <c r="K2896" i="1"/>
  <c r="AG2896" i="1"/>
  <c r="AH2896" i="1"/>
  <c r="AI2896" i="1"/>
  <c r="AK2896" i="1"/>
  <c r="AG2897" i="1"/>
  <c r="AH2897" i="1"/>
  <c r="AG2898" i="1"/>
  <c r="AH2898" i="1"/>
  <c r="AK2898" i="1"/>
  <c r="AG2899" i="1"/>
  <c r="AH2899" i="1"/>
  <c r="AI2899" i="1"/>
  <c r="AK2899" i="1"/>
  <c r="K2900" i="1"/>
  <c r="AG2900" i="1"/>
  <c r="AH2900" i="1"/>
  <c r="AK2900" i="1"/>
  <c r="AG2901" i="1"/>
  <c r="AH2901" i="1"/>
  <c r="AK2901" i="1"/>
  <c r="AG2902" i="1"/>
  <c r="AH2902" i="1"/>
  <c r="AK2902" i="1"/>
  <c r="AG2903" i="1"/>
  <c r="AH2903" i="1"/>
  <c r="AK2903" i="1"/>
  <c r="AG2904" i="1"/>
  <c r="AH2904" i="1"/>
  <c r="AI2904" i="1"/>
  <c r="AK2904" i="1"/>
  <c r="K2905" i="1"/>
  <c r="AG2905" i="1"/>
  <c r="AH2905" i="1"/>
  <c r="AI2905" i="1"/>
  <c r="AK2905" i="1"/>
  <c r="AG2906" i="1"/>
  <c r="AH2906" i="1"/>
  <c r="AK2906" i="1"/>
  <c r="AG2907" i="1"/>
  <c r="AH2907" i="1"/>
  <c r="AI2907" i="1"/>
  <c r="AK2907" i="1"/>
  <c r="AG2908" i="1"/>
  <c r="AH2908" i="1"/>
  <c r="AK2908" i="1"/>
  <c r="AG2909" i="1"/>
  <c r="AH2909" i="1"/>
  <c r="AK2909" i="1"/>
  <c r="K2910" i="1"/>
  <c r="AG2910" i="1"/>
  <c r="AH2910" i="1"/>
  <c r="AI2910" i="1"/>
  <c r="AK2910" i="1"/>
  <c r="K2911" i="1"/>
  <c r="AG2911" i="1"/>
  <c r="AH2911" i="1"/>
  <c r="AI2911" i="1"/>
  <c r="AK2911" i="1"/>
  <c r="AG2912" i="1"/>
  <c r="AH2912" i="1"/>
  <c r="AK2912" i="1"/>
  <c r="AG2913" i="1"/>
  <c r="AH2913" i="1"/>
  <c r="AI2913" i="1"/>
  <c r="AK2913" i="1"/>
  <c r="AG2914" i="1"/>
  <c r="AH2914" i="1"/>
  <c r="AI2914" i="1"/>
  <c r="AK2914" i="1"/>
  <c r="AG2915" i="1"/>
  <c r="AH2915" i="1"/>
  <c r="AK2915" i="1"/>
  <c r="AG2916" i="1"/>
  <c r="AH2916" i="1"/>
  <c r="AK2916" i="1"/>
  <c r="AG2917" i="1"/>
  <c r="AH2917" i="1"/>
  <c r="AK2917" i="1"/>
  <c r="AG2918" i="1"/>
  <c r="AH2918" i="1"/>
  <c r="AK2918" i="1"/>
  <c r="AG2919" i="1"/>
  <c r="AH2919" i="1"/>
  <c r="AK2919" i="1"/>
  <c r="AG2920" i="1"/>
  <c r="AH2920" i="1"/>
  <c r="AK2920" i="1"/>
  <c r="AG2921" i="1"/>
  <c r="AH2921" i="1"/>
  <c r="AK2921" i="1"/>
  <c r="AG2922" i="1"/>
  <c r="AH2922" i="1"/>
  <c r="AK2922" i="1"/>
  <c r="AG2923" i="1"/>
  <c r="AH2923" i="1"/>
  <c r="AI2923" i="1"/>
  <c r="AK2923" i="1"/>
  <c r="AG2924" i="1"/>
  <c r="AH2924" i="1"/>
  <c r="AK2924" i="1"/>
  <c r="AG2925" i="1"/>
  <c r="AH2925" i="1"/>
  <c r="AK2925" i="1"/>
  <c r="AG2926" i="1"/>
  <c r="AH2926" i="1"/>
  <c r="AK2926" i="1"/>
  <c r="AG2927" i="1"/>
  <c r="AH2927" i="1"/>
  <c r="AK2927" i="1"/>
  <c r="AG2928" i="1"/>
  <c r="AK2928" i="1"/>
  <c r="AG2929" i="1"/>
  <c r="AH2929" i="1"/>
  <c r="AK2929" i="1"/>
  <c r="AG2930" i="1"/>
  <c r="AH2930" i="1"/>
  <c r="AK2930" i="1"/>
  <c r="K2931" i="1"/>
  <c r="AG2931" i="1"/>
  <c r="AH2931" i="1"/>
  <c r="K2932" i="1"/>
  <c r="AG2932" i="1"/>
  <c r="AH2932" i="1"/>
  <c r="K2933" i="1"/>
  <c r="L2933" i="1"/>
  <c r="AF2933" i="1"/>
  <c r="AG2933" i="1"/>
  <c r="AH2933" i="1"/>
  <c r="K2934" i="1"/>
  <c r="AG2934" i="1"/>
  <c r="AH2934" i="1"/>
  <c r="K2935" i="1"/>
  <c r="AG2935" i="1"/>
  <c r="AH2935" i="1"/>
  <c r="K2936" i="1"/>
  <c r="L2936" i="1"/>
  <c r="AG2936" i="1"/>
  <c r="AH2936" i="1"/>
  <c r="K2937" i="1"/>
  <c r="K2938" i="1"/>
  <c r="AG2938" i="1"/>
  <c r="AH2938" i="1"/>
  <c r="K2939" i="1"/>
  <c r="AG2939" i="1"/>
  <c r="AH2939" i="1"/>
  <c r="K2940" i="1"/>
  <c r="AG2940" i="1"/>
  <c r="AH2940" i="1"/>
  <c r="K2941" i="1"/>
  <c r="AF2941" i="1"/>
  <c r="AG2941" i="1"/>
  <c r="AH2941" i="1"/>
  <c r="K2942" i="1"/>
  <c r="AF2942" i="1"/>
  <c r="K2943" i="1"/>
  <c r="K2944" i="1"/>
  <c r="L2944" i="1"/>
  <c r="M2944" i="1"/>
  <c r="N2944" i="1"/>
  <c r="O2944" i="1"/>
  <c r="K2945" i="1"/>
  <c r="K2946" i="1"/>
  <c r="AG2946" i="1"/>
  <c r="AH2946" i="1"/>
  <c r="AI2946" i="1"/>
  <c r="AK2946" i="1"/>
  <c r="AG2947" i="1"/>
  <c r="AH2947" i="1"/>
  <c r="AK2947" i="1"/>
  <c r="AG2948" i="1"/>
  <c r="AH2948" i="1"/>
  <c r="K2949" i="1"/>
  <c r="K2950" i="1"/>
  <c r="AG2950" i="1"/>
  <c r="AH2950" i="1"/>
  <c r="AK2950" i="1"/>
  <c r="K2951" i="1"/>
  <c r="K2952" i="1"/>
  <c r="AG2952" i="1"/>
  <c r="AH2952" i="1"/>
  <c r="K2953" i="1"/>
  <c r="AG2953" i="1"/>
  <c r="AH2953" i="1"/>
  <c r="K2954" i="1"/>
  <c r="AG2954" i="1"/>
  <c r="AH2954" i="1"/>
  <c r="K2955" i="1"/>
  <c r="L2955" i="1"/>
  <c r="M2955" i="1"/>
  <c r="N2955" i="1"/>
  <c r="O2955" i="1"/>
  <c r="P2955" i="1"/>
  <c r="Q2955" i="1"/>
  <c r="R2955" i="1"/>
  <c r="S2955" i="1"/>
  <c r="T2955" i="1"/>
  <c r="U2955" i="1"/>
  <c r="V2955" i="1"/>
  <c r="W2955" i="1"/>
  <c r="X2955" i="1"/>
  <c r="K2956" i="1"/>
  <c r="L2956" i="1"/>
  <c r="M2956" i="1"/>
  <c r="N2956" i="1"/>
  <c r="O2956" i="1"/>
  <c r="P2956" i="1"/>
  <c r="Q2956" i="1"/>
  <c r="R2956" i="1"/>
  <c r="S2956" i="1"/>
  <c r="K2957" i="1"/>
  <c r="L2957" i="1"/>
  <c r="K2958" i="1"/>
  <c r="L2958" i="1"/>
  <c r="M2958" i="1"/>
  <c r="N2958" i="1"/>
  <c r="O2958" i="1"/>
  <c r="P2958" i="1"/>
  <c r="Q2958" i="1"/>
  <c r="R2958" i="1"/>
  <c r="S2958" i="1"/>
  <c r="T2958" i="1"/>
  <c r="U2958" i="1"/>
  <c r="V2958" i="1"/>
  <c r="W2958" i="1"/>
  <c r="X2958" i="1"/>
  <c r="Y2958" i="1"/>
  <c r="Z2958" i="1"/>
  <c r="AF2958" i="1"/>
  <c r="K2959" i="1"/>
  <c r="L2959" i="1"/>
  <c r="M2959" i="1"/>
  <c r="N2959" i="1"/>
  <c r="O2959" i="1"/>
  <c r="P2959" i="1"/>
  <c r="Q2959" i="1"/>
  <c r="R2959" i="1"/>
  <c r="E2960" i="1"/>
  <c r="K2961" i="1"/>
  <c r="AG2961" i="1"/>
  <c r="AH2961" i="1"/>
  <c r="AK2961" i="1"/>
  <c r="K2962" i="1"/>
  <c r="AG2962" i="1"/>
  <c r="AH2962" i="1"/>
  <c r="AI2962" i="1"/>
  <c r="AK2962" i="1"/>
  <c r="K2963" i="1"/>
  <c r="AG2963" i="1"/>
  <c r="AH2963" i="1"/>
  <c r="AK2963" i="1"/>
  <c r="AG2964" i="1"/>
  <c r="AH2964" i="1"/>
  <c r="AK2964" i="1"/>
  <c r="K2965" i="1"/>
  <c r="AG2965" i="1"/>
  <c r="AH2965" i="1"/>
  <c r="AI2965" i="1"/>
  <c r="AK2965" i="1"/>
  <c r="K2966" i="1"/>
  <c r="AG2966" i="1"/>
  <c r="AH2966" i="1"/>
  <c r="K2967" i="1"/>
  <c r="AG2967" i="1"/>
  <c r="AH2967" i="1"/>
  <c r="AI2967" i="1"/>
  <c r="AK2967" i="1"/>
  <c r="K2968" i="1"/>
  <c r="AG2968" i="1"/>
  <c r="AH2968" i="1"/>
  <c r="AK2968" i="1"/>
  <c r="AG2969" i="1"/>
  <c r="AH2969" i="1"/>
  <c r="K2970" i="1"/>
  <c r="AG2970" i="1"/>
  <c r="AH2970" i="1"/>
  <c r="AK2970" i="1"/>
  <c r="AG2971" i="1"/>
  <c r="AH2971" i="1"/>
  <c r="AK2971" i="1"/>
  <c r="AG2972" i="1"/>
  <c r="AH2972" i="1"/>
  <c r="AK2972" i="1"/>
  <c r="K2973" i="1"/>
  <c r="AG2973" i="1"/>
  <c r="AH2973" i="1"/>
  <c r="AK2973" i="1"/>
  <c r="AG2974" i="1"/>
  <c r="AH2974" i="1"/>
  <c r="AK2974" i="1"/>
  <c r="K2975" i="1"/>
  <c r="AG2975" i="1"/>
  <c r="AH2975" i="1"/>
  <c r="AK2975" i="1"/>
  <c r="K2976" i="1"/>
  <c r="AG2976" i="1"/>
  <c r="AH2976" i="1"/>
  <c r="AK2976" i="1"/>
  <c r="AG2977" i="1"/>
  <c r="AH2977" i="1"/>
  <c r="AK2977" i="1"/>
  <c r="K2978" i="1"/>
  <c r="AG2978" i="1"/>
  <c r="AH2978" i="1"/>
  <c r="AK2978" i="1"/>
  <c r="K2979" i="1"/>
  <c r="AG2979" i="1"/>
  <c r="AH2979" i="1"/>
  <c r="AK2979" i="1"/>
  <c r="K2980" i="1"/>
  <c r="AG2980" i="1"/>
  <c r="AH2980" i="1"/>
  <c r="AK2980" i="1"/>
  <c r="K2981" i="1"/>
  <c r="AG2981" i="1"/>
  <c r="AH2981" i="1"/>
  <c r="AK2981" i="1"/>
  <c r="K2982" i="1"/>
  <c r="AG2982" i="1"/>
  <c r="AH2982" i="1"/>
  <c r="AI2982" i="1"/>
  <c r="AK2982" i="1"/>
  <c r="K2983" i="1"/>
  <c r="L2983" i="1"/>
  <c r="M2983" i="1"/>
  <c r="N2983" i="1"/>
  <c r="O2983" i="1"/>
  <c r="P2983" i="1"/>
  <c r="Q2983" i="1"/>
  <c r="R2983" i="1"/>
  <c r="S2983" i="1"/>
  <c r="AG2983" i="1"/>
  <c r="AH2983" i="1"/>
  <c r="AI2983" i="1"/>
  <c r="AK2983" i="1"/>
  <c r="K2984" i="1"/>
  <c r="K2985" i="1"/>
  <c r="K2986" i="1"/>
  <c r="K2987" i="1"/>
  <c r="K2988" i="1"/>
  <c r="AG2988" i="1"/>
  <c r="AH2988" i="1"/>
  <c r="AK2988" i="1"/>
  <c r="K2989" i="1"/>
  <c r="AG2989" i="1"/>
  <c r="AH2989" i="1"/>
  <c r="AI2989" i="1"/>
  <c r="AK2989" i="1"/>
  <c r="AG2990" i="1"/>
  <c r="AH2990" i="1"/>
  <c r="K2991" i="1"/>
  <c r="AG2991" i="1"/>
  <c r="AH2991" i="1"/>
  <c r="AK2991" i="1"/>
  <c r="K2992" i="1"/>
  <c r="AG2992" i="1"/>
  <c r="AH2992" i="1"/>
  <c r="AK2992" i="1"/>
  <c r="AG2993" i="1"/>
  <c r="AH2993" i="1"/>
  <c r="AG2994" i="1"/>
  <c r="AH2994" i="1"/>
  <c r="AK2994" i="1"/>
  <c r="K2995" i="1"/>
  <c r="AG2995" i="1"/>
  <c r="AH2995" i="1"/>
  <c r="AI2995" i="1"/>
  <c r="AK2995" i="1"/>
  <c r="K2996" i="1"/>
  <c r="AG2996" i="1"/>
  <c r="AH2996" i="1"/>
  <c r="AK2996" i="1"/>
  <c r="AG2997" i="1"/>
  <c r="AH2997" i="1"/>
  <c r="AG2998" i="1"/>
  <c r="AH2998" i="1"/>
  <c r="AK2998" i="1"/>
  <c r="K2999" i="1"/>
  <c r="AG2999" i="1"/>
  <c r="AH2999" i="1"/>
  <c r="AI2999" i="1"/>
  <c r="AK2999" i="1"/>
  <c r="AG3000" i="1"/>
  <c r="AH3000" i="1"/>
  <c r="AK3000" i="1"/>
  <c r="K3001" i="1"/>
  <c r="AG3001" i="1"/>
  <c r="AH3001" i="1"/>
  <c r="AK3001" i="1"/>
  <c r="K3002" i="1"/>
  <c r="AG3002" i="1"/>
  <c r="AH3002" i="1"/>
  <c r="AK3002" i="1"/>
  <c r="AG3003" i="1"/>
  <c r="AH3003" i="1"/>
  <c r="AI3003" i="1"/>
  <c r="AK3003" i="1"/>
  <c r="K3004" i="1"/>
  <c r="AG3004" i="1"/>
  <c r="AH3004" i="1"/>
  <c r="AI3004" i="1"/>
  <c r="AK3004" i="1"/>
  <c r="K3005" i="1"/>
  <c r="AG3005" i="1"/>
  <c r="AH3005" i="1"/>
  <c r="AI3005" i="1"/>
  <c r="AK3005" i="1"/>
  <c r="K3006" i="1"/>
  <c r="AG3006" i="1"/>
  <c r="AH3006" i="1"/>
  <c r="AK3006" i="1"/>
  <c r="AG3007" i="1"/>
  <c r="AH3007" i="1"/>
  <c r="AK3007" i="1"/>
  <c r="AG3008" i="1"/>
  <c r="AH3008" i="1"/>
  <c r="AK3008" i="1"/>
  <c r="AG3009" i="1"/>
  <c r="AH3009" i="1"/>
  <c r="AK3009" i="1"/>
  <c r="AG3010" i="1"/>
  <c r="AH3010" i="1"/>
  <c r="AK3010" i="1"/>
  <c r="AG3011" i="1"/>
  <c r="AH3011" i="1"/>
  <c r="AK3011" i="1"/>
  <c r="AG3012" i="1"/>
  <c r="AH3012" i="1"/>
  <c r="K3013" i="1"/>
  <c r="AG3013" i="1"/>
  <c r="AH3013" i="1"/>
  <c r="AI3013" i="1"/>
  <c r="AK3013" i="1"/>
  <c r="AG3014" i="1"/>
  <c r="AH3014" i="1"/>
  <c r="AK3014" i="1"/>
  <c r="AG3015" i="1"/>
  <c r="AH3015" i="1"/>
  <c r="AK3015" i="1"/>
  <c r="AG3016" i="1"/>
  <c r="AH3016" i="1"/>
  <c r="AK3016" i="1"/>
  <c r="AG3017" i="1"/>
  <c r="AH3017" i="1"/>
  <c r="AK3017" i="1"/>
  <c r="K3018" i="1"/>
  <c r="L3018" i="1"/>
  <c r="M3018" i="1"/>
  <c r="N3018" i="1"/>
  <c r="O3018" i="1"/>
  <c r="AG3018" i="1"/>
  <c r="AH3018" i="1"/>
  <c r="AK3018" i="1"/>
  <c r="AG3019" i="1"/>
  <c r="AH3019" i="1"/>
  <c r="AI3019" i="1"/>
  <c r="AK3019" i="1"/>
  <c r="K3020" i="1"/>
  <c r="AG3020" i="1"/>
  <c r="AH3020" i="1"/>
  <c r="AK3020" i="1"/>
  <c r="K3021" i="1"/>
  <c r="AG3021" i="1"/>
  <c r="AH3021" i="1"/>
  <c r="AK3021" i="1"/>
  <c r="AG3022" i="1"/>
  <c r="AH3022" i="1"/>
  <c r="AK3022" i="1"/>
  <c r="K3023" i="1"/>
  <c r="AG3023" i="1"/>
  <c r="AH3023" i="1"/>
  <c r="AI3023" i="1"/>
  <c r="AK3023" i="1"/>
  <c r="K3024" i="1"/>
  <c r="AG3024" i="1"/>
  <c r="AH3024" i="1"/>
  <c r="AK3024" i="1"/>
  <c r="K3025" i="1"/>
  <c r="AG3025" i="1"/>
  <c r="AH3025" i="1"/>
  <c r="AK3025" i="1"/>
  <c r="K3026" i="1"/>
  <c r="AG3026" i="1"/>
  <c r="AH3026" i="1"/>
  <c r="AK3026" i="1"/>
  <c r="K3027" i="1"/>
  <c r="AG3027" i="1"/>
  <c r="AH3027" i="1"/>
  <c r="AK3027" i="1"/>
  <c r="K3028" i="1"/>
  <c r="AG3028" i="1"/>
  <c r="AH3028" i="1"/>
  <c r="AK3028" i="1"/>
  <c r="K3029" i="1"/>
  <c r="AG3029" i="1"/>
  <c r="AH3029" i="1"/>
  <c r="AI3029" i="1"/>
  <c r="AK3029" i="1"/>
  <c r="K3030" i="1"/>
  <c r="AG3030" i="1"/>
  <c r="AH3030" i="1"/>
  <c r="AI3030" i="1"/>
  <c r="AK3030" i="1"/>
  <c r="K3031" i="1"/>
  <c r="AG3031" i="1"/>
  <c r="AH3031" i="1"/>
  <c r="AI3031" i="1"/>
  <c r="AK3031" i="1"/>
  <c r="K3032" i="1"/>
  <c r="AG3032" i="1"/>
  <c r="AH3032" i="1"/>
  <c r="AK3032" i="1"/>
  <c r="K3033" i="1"/>
  <c r="AG3033" i="1"/>
  <c r="AH3033" i="1"/>
  <c r="AK3033" i="1"/>
  <c r="K3034" i="1"/>
  <c r="AG3034" i="1"/>
  <c r="AH3034" i="1"/>
  <c r="AI3034" i="1"/>
  <c r="AK3034" i="1"/>
  <c r="K3035" i="1"/>
  <c r="AG3035" i="1"/>
  <c r="AH3035" i="1"/>
  <c r="AI3035" i="1"/>
  <c r="AK3035" i="1"/>
  <c r="AG3036" i="1"/>
  <c r="AH3036" i="1"/>
  <c r="AK3036" i="1"/>
  <c r="K3037" i="1"/>
  <c r="AG3037" i="1"/>
  <c r="AH3037" i="1"/>
  <c r="AK3037" i="1"/>
  <c r="K3038" i="1"/>
  <c r="AG3038" i="1"/>
  <c r="AH3038" i="1"/>
  <c r="AK3038" i="1"/>
  <c r="E3039" i="1"/>
  <c r="F3039" i="1"/>
  <c r="K3039" i="1"/>
  <c r="L3039" i="1"/>
  <c r="M3039" i="1"/>
  <c r="N3039" i="1"/>
  <c r="O3039" i="1"/>
  <c r="AG3039" i="1"/>
  <c r="AH3039" i="1"/>
  <c r="K3040" i="1"/>
  <c r="AG3041" i="1"/>
  <c r="AH3041" i="1"/>
  <c r="AG3042" i="1"/>
  <c r="AH3042" i="1"/>
  <c r="AK3042" i="1"/>
  <c r="AG3043" i="1"/>
  <c r="AH3043" i="1"/>
  <c r="AK3043" i="1"/>
  <c r="K3044" i="1"/>
  <c r="AG3044" i="1"/>
  <c r="AH3044" i="1"/>
  <c r="AG3045" i="1"/>
  <c r="AH3045" i="1"/>
  <c r="AK3045" i="1"/>
  <c r="K3046" i="1"/>
  <c r="K3047" i="1"/>
  <c r="K3048" i="1"/>
  <c r="K3049" i="1"/>
  <c r="L3049" i="1"/>
  <c r="M3049" i="1"/>
  <c r="AG3049" i="1"/>
  <c r="AH3049" i="1"/>
  <c r="AI3049" i="1"/>
  <c r="AK3049" i="1"/>
  <c r="K3050" i="1"/>
  <c r="L3050" i="1"/>
  <c r="M3050" i="1"/>
  <c r="AG3050" i="1"/>
  <c r="AH3050" i="1"/>
  <c r="AK3050" i="1"/>
  <c r="K3051" i="1"/>
  <c r="AG3051" i="1"/>
  <c r="AH3051" i="1"/>
  <c r="K3052" i="1"/>
  <c r="AG3052" i="1"/>
  <c r="AH3052" i="1"/>
  <c r="K3053" i="1"/>
  <c r="AG3053" i="1"/>
  <c r="AH3053" i="1"/>
  <c r="K3054" i="1"/>
  <c r="K3055" i="1"/>
  <c r="AG3055" i="1"/>
  <c r="AH3055" i="1"/>
  <c r="AK3055" i="1"/>
  <c r="AG3056" i="1"/>
  <c r="AH3056" i="1"/>
  <c r="K3057" i="1"/>
  <c r="L3057" i="1"/>
  <c r="M3057" i="1"/>
  <c r="AG3057" i="1"/>
  <c r="AH3057" i="1"/>
  <c r="AK3057" i="1"/>
  <c r="K3059" i="1"/>
  <c r="AG3059" i="1"/>
  <c r="AH3059" i="1"/>
  <c r="AK3059" i="1"/>
  <c r="K3060" i="1"/>
  <c r="AG3060" i="1"/>
  <c r="AH3060" i="1"/>
  <c r="AK3060" i="1"/>
  <c r="K3061" i="1"/>
  <c r="AG3061" i="1"/>
  <c r="AH3061" i="1"/>
  <c r="AK3061" i="1"/>
  <c r="K3062" i="1"/>
  <c r="AG3062" i="1"/>
  <c r="AH3062" i="1"/>
  <c r="AK3062" i="1"/>
  <c r="K3063" i="1"/>
  <c r="AG3063" i="1"/>
  <c r="AH3063" i="1"/>
  <c r="AI3063" i="1"/>
  <c r="AK3063" i="1"/>
  <c r="AG3064" i="1"/>
  <c r="AH3064" i="1"/>
  <c r="AK3064" i="1"/>
  <c r="AG3065" i="1"/>
  <c r="AH3065" i="1"/>
  <c r="K3066" i="1"/>
  <c r="AG3066" i="1"/>
  <c r="AH3066" i="1"/>
  <c r="AI3066" i="1"/>
  <c r="AK3066" i="1"/>
  <c r="AG3067" i="1"/>
  <c r="AH3067" i="1"/>
  <c r="K3068" i="1"/>
  <c r="AG3068" i="1"/>
  <c r="AH3068" i="1"/>
  <c r="AI3068" i="1"/>
  <c r="AK3068" i="1"/>
  <c r="K3069" i="1"/>
  <c r="AG3069" i="1"/>
  <c r="AH3069" i="1"/>
  <c r="AI3069" i="1"/>
  <c r="AK3069" i="1"/>
  <c r="K3070" i="1"/>
  <c r="AG3070" i="1"/>
  <c r="AH3070" i="1"/>
  <c r="AG3071" i="1"/>
  <c r="AH3071" i="1"/>
  <c r="AK3071" i="1"/>
  <c r="AG3072" i="1"/>
  <c r="AH3072" i="1"/>
  <c r="AI3072" i="1"/>
  <c r="AK3072" i="1"/>
  <c r="AG3073" i="1"/>
  <c r="AH3073" i="1"/>
  <c r="AK3073" i="1"/>
  <c r="AG3074" i="1"/>
  <c r="AH3074" i="1"/>
  <c r="AK3074" i="1"/>
  <c r="K3075" i="1"/>
  <c r="L3075" i="1"/>
  <c r="M3075" i="1"/>
  <c r="N3075" i="1"/>
  <c r="O3075" i="1"/>
  <c r="K3076" i="1"/>
  <c r="K3077" i="1"/>
  <c r="K3078" i="1"/>
  <c r="L3078" i="1"/>
  <c r="M3078" i="1"/>
  <c r="N3078" i="1"/>
  <c r="O3078" i="1"/>
  <c r="P3078" i="1"/>
  <c r="Q3078" i="1"/>
  <c r="R3078" i="1"/>
  <c r="S3078" i="1"/>
  <c r="K3079" i="1"/>
  <c r="K3080" i="1"/>
  <c r="K3081" i="1"/>
  <c r="K3082" i="1"/>
  <c r="L3082" i="1"/>
  <c r="M3082" i="1"/>
  <c r="N3082" i="1"/>
  <c r="O3082" i="1"/>
  <c r="P3082" i="1"/>
  <c r="Q3082" i="1"/>
  <c r="R3082" i="1"/>
  <c r="S3082" i="1"/>
  <c r="T3082" i="1"/>
  <c r="U3082" i="1"/>
  <c r="V3082" i="1"/>
  <c r="W3082" i="1"/>
  <c r="X3082" i="1"/>
  <c r="Y3082" i="1"/>
  <c r="Z3082" i="1"/>
  <c r="E3083" i="1"/>
  <c r="K3083" i="1"/>
  <c r="L3083" i="1"/>
  <c r="M3083" i="1"/>
  <c r="N3083" i="1"/>
  <c r="O3083" i="1"/>
  <c r="P3083" i="1"/>
  <c r="Q3083" i="1"/>
  <c r="R3083" i="1"/>
  <c r="K3084" i="1"/>
  <c r="L3084" i="1"/>
  <c r="M3084" i="1"/>
  <c r="N3084" i="1"/>
  <c r="O3084" i="1"/>
  <c r="P3084" i="1"/>
  <c r="Q3084" i="1"/>
  <c r="R3084" i="1"/>
  <c r="S3084" i="1"/>
  <c r="T3084" i="1"/>
  <c r="K3085" i="1"/>
  <c r="K3086" i="1"/>
  <c r="L3086" i="1"/>
  <c r="K3087" i="1"/>
  <c r="L3087" i="1"/>
  <c r="M3087" i="1"/>
  <c r="N3087" i="1"/>
  <c r="O3087" i="1"/>
  <c r="P3087" i="1"/>
  <c r="Q3087" i="1"/>
  <c r="R3087" i="1"/>
  <c r="S3087" i="1"/>
  <c r="T3087" i="1"/>
  <c r="U3087" i="1"/>
  <c r="V3087" i="1"/>
  <c r="W3087" i="1"/>
  <c r="X3087" i="1"/>
  <c r="K3088" i="1"/>
  <c r="L3088" i="1"/>
  <c r="M3088" i="1"/>
  <c r="K3089" i="1"/>
  <c r="L3089" i="1"/>
  <c r="K3090" i="1"/>
  <c r="L3090" i="1"/>
  <c r="K3091" i="1"/>
  <c r="L3091" i="1"/>
  <c r="K3093" i="1"/>
  <c r="L3093" i="1"/>
  <c r="K3094" i="1"/>
  <c r="L3094" i="1"/>
  <c r="K3095" i="1"/>
  <c r="L3095" i="1"/>
  <c r="M3095" i="1"/>
  <c r="N3095" i="1"/>
  <c r="O3095" i="1"/>
  <c r="P3095" i="1"/>
  <c r="K3096" i="1"/>
  <c r="L3096" i="1"/>
  <c r="M3096" i="1"/>
  <c r="N3096" i="1"/>
  <c r="AG3096" i="1"/>
  <c r="AH3096" i="1"/>
  <c r="E3097" i="1"/>
  <c r="K3097" i="1"/>
  <c r="L3097" i="1"/>
  <c r="M3097" i="1"/>
  <c r="N3097" i="1"/>
  <c r="O3097" i="1"/>
  <c r="P3097" i="1"/>
  <c r="Q3097" i="1"/>
  <c r="R3097" i="1"/>
  <c r="S3097" i="1"/>
  <c r="AG3097" i="1"/>
  <c r="AH3097" i="1"/>
  <c r="E3098" i="1"/>
  <c r="K3098" i="1"/>
  <c r="L3098" i="1"/>
  <c r="M3098" i="1"/>
  <c r="N3098" i="1"/>
  <c r="O3098" i="1"/>
  <c r="P3098" i="1"/>
  <c r="E3099" i="1"/>
  <c r="F3099" i="1"/>
  <c r="K3099" i="1"/>
  <c r="L3099" i="1"/>
  <c r="M3099" i="1"/>
  <c r="N3099" i="1"/>
  <c r="O3099" i="1"/>
  <c r="P3099" i="1"/>
  <c r="Q3099" i="1"/>
  <c r="R3099" i="1"/>
  <c r="S3099" i="1"/>
  <c r="AG3099" i="1"/>
  <c r="AH3099" i="1"/>
  <c r="K3100" i="1"/>
  <c r="E3101" i="1"/>
  <c r="K3101" i="1"/>
  <c r="L3101" i="1"/>
  <c r="M3101" i="1"/>
  <c r="N3101" i="1"/>
  <c r="O3101" i="1"/>
  <c r="P3101" i="1"/>
  <c r="Q3101" i="1"/>
  <c r="R3101" i="1"/>
  <c r="S3101" i="1"/>
  <c r="T3101" i="1"/>
  <c r="E3102" i="1"/>
  <c r="K3102" i="1"/>
  <c r="L3102" i="1"/>
  <c r="M3102" i="1"/>
  <c r="N3102" i="1"/>
  <c r="O3102" i="1"/>
  <c r="P3102" i="1"/>
  <c r="Q3102" i="1"/>
  <c r="R3102" i="1"/>
  <c r="S3102" i="1"/>
  <c r="T3102" i="1"/>
  <c r="U3102" i="1"/>
  <c r="K3103" i="1"/>
  <c r="E3104" i="1"/>
  <c r="F3104" i="1"/>
  <c r="K3104" i="1"/>
  <c r="L3104" i="1"/>
  <c r="M3104" i="1"/>
  <c r="N3104" i="1"/>
  <c r="O3104" i="1"/>
  <c r="P3104" i="1"/>
  <c r="Q3104" i="1"/>
  <c r="K3105" i="1"/>
  <c r="AG3105" i="1"/>
  <c r="AH3105" i="1"/>
  <c r="K3106" i="1"/>
  <c r="K3107" i="1"/>
  <c r="AG3107" i="1"/>
  <c r="AH3107" i="1"/>
  <c r="K3108" i="1"/>
  <c r="AG3108" i="1"/>
  <c r="AH3108" i="1"/>
  <c r="K3110" i="1"/>
  <c r="AF3110" i="1"/>
  <c r="E3111" i="1"/>
  <c r="K3111" i="1"/>
  <c r="K3112" i="1"/>
  <c r="K3114" i="1"/>
  <c r="K3115" i="1"/>
  <c r="L3115" i="1"/>
  <c r="M3115" i="1"/>
  <c r="K3116" i="1"/>
  <c r="K3117" i="1"/>
  <c r="E3118" i="1"/>
  <c r="K3118" i="1"/>
  <c r="L3118" i="1"/>
  <c r="M3118" i="1"/>
  <c r="AD3120" i="1"/>
  <c r="AG3121" i="1"/>
  <c r="AH3121" i="1"/>
  <c r="AK3121" i="1"/>
  <c r="K3122" i="1"/>
  <c r="K3123" i="1"/>
  <c r="E3126" i="1"/>
  <c r="K3126" i="1"/>
  <c r="L3126" i="1"/>
  <c r="M3126" i="1"/>
  <c r="N3126" i="1"/>
  <c r="O3126" i="1"/>
  <c r="P3126" i="1"/>
  <c r="Q3126" i="1"/>
  <c r="K3129" i="1"/>
  <c r="AF3129" i="1"/>
  <c r="K3130" i="1"/>
  <c r="L3130" i="1"/>
  <c r="M3130" i="1"/>
  <c r="K3131" i="1"/>
  <c r="K3132" i="1"/>
  <c r="K3133" i="1"/>
  <c r="K3134" i="1"/>
  <c r="L3134" i="1"/>
  <c r="M3134" i="1"/>
  <c r="N3134" i="1"/>
  <c r="K3135" i="1"/>
  <c r="K3136" i="1"/>
  <c r="L3136" i="1"/>
  <c r="M3136" i="1"/>
  <c r="K3137" i="1"/>
  <c r="L3137" i="1"/>
  <c r="K3138" i="1"/>
  <c r="L3138" i="1"/>
  <c r="M3138" i="1"/>
  <c r="K3139" i="1"/>
  <c r="K3140" i="1"/>
  <c r="K3141" i="1"/>
  <c r="L3141" i="1"/>
  <c r="M3141" i="1"/>
  <c r="K3142" i="1"/>
  <c r="L3142" i="1"/>
  <c r="M3142" i="1"/>
  <c r="N3142" i="1"/>
  <c r="O3142" i="1"/>
  <c r="P3142" i="1"/>
  <c r="K3143" i="1"/>
  <c r="E3144" i="1"/>
  <c r="K3144" i="1"/>
  <c r="L3144" i="1"/>
  <c r="M3144" i="1"/>
  <c r="K3146" i="1"/>
  <c r="K3147" i="1"/>
  <c r="L3147" i="1"/>
  <c r="M3147" i="1"/>
  <c r="N3147" i="1"/>
  <c r="K3148" i="1"/>
  <c r="L3148" i="1"/>
  <c r="M3148" i="1"/>
  <c r="N3148" i="1"/>
  <c r="O3148" i="1"/>
  <c r="P3148" i="1"/>
  <c r="E3149" i="1"/>
  <c r="K3149" i="1"/>
  <c r="E3150" i="1"/>
  <c r="K3151" i="1"/>
  <c r="L3151" i="1"/>
  <c r="K3152" i="1"/>
  <c r="AG3153" i="1"/>
  <c r="AH3153" i="1"/>
  <c r="AK3153" i="1"/>
  <c r="AG3154" i="1"/>
  <c r="AH3154" i="1"/>
  <c r="AK3154" i="1"/>
  <c r="AG3155" i="1"/>
  <c r="AH3155" i="1"/>
  <c r="AK3155" i="1"/>
  <c r="AG3156" i="1"/>
  <c r="AH3156" i="1"/>
  <c r="AK3156" i="1"/>
  <c r="AG3157" i="1"/>
  <c r="AH3157" i="1"/>
  <c r="AK3157" i="1"/>
  <c r="AG3158" i="1"/>
  <c r="AH3158" i="1"/>
  <c r="AK3158" i="1"/>
  <c r="AG3159" i="1"/>
  <c r="AH3159" i="1"/>
  <c r="AK3159" i="1"/>
  <c r="K3160" i="1"/>
  <c r="AG3160" i="1"/>
  <c r="AH3160" i="1"/>
  <c r="K3161" i="1"/>
  <c r="K3162" i="1"/>
  <c r="AG3162" i="1"/>
  <c r="AH3162" i="1"/>
  <c r="AK3162" i="1"/>
  <c r="K3163" i="1"/>
  <c r="L3163" i="1"/>
  <c r="AG3164" i="1"/>
  <c r="AH3164" i="1"/>
  <c r="AK3164" i="1"/>
  <c r="AG3165" i="1"/>
  <c r="AH3165" i="1"/>
  <c r="AK3165" i="1"/>
  <c r="AG3166" i="1"/>
  <c r="AH3166" i="1"/>
  <c r="AK3166" i="1"/>
  <c r="AG3167" i="1"/>
  <c r="AH3167" i="1"/>
  <c r="AK3167" i="1"/>
  <c r="AG3168" i="1"/>
  <c r="AH3168" i="1"/>
  <c r="AI3168" i="1"/>
  <c r="AK3168" i="1"/>
  <c r="AG3169" i="1"/>
  <c r="AH3169" i="1"/>
  <c r="AK3169" i="1"/>
  <c r="K3170" i="1"/>
  <c r="AG3170" i="1"/>
  <c r="AH3170" i="1"/>
  <c r="AI3170" i="1"/>
  <c r="AK3170" i="1"/>
  <c r="AG3171" i="1"/>
  <c r="AH3171" i="1"/>
  <c r="AK3171" i="1"/>
  <c r="AG3172" i="1"/>
  <c r="AH3172" i="1"/>
  <c r="AK3172" i="1"/>
  <c r="AG3173" i="1"/>
  <c r="AH3173" i="1"/>
  <c r="AK3173" i="1"/>
  <c r="AG3174" i="1"/>
  <c r="AH3174" i="1"/>
  <c r="AK3174" i="1"/>
  <c r="K3175" i="1"/>
  <c r="AG3175" i="1"/>
  <c r="AH3175" i="1"/>
  <c r="AI3175" i="1"/>
  <c r="AK3175" i="1"/>
  <c r="K3176" i="1"/>
  <c r="L3176" i="1"/>
  <c r="AG3176" i="1"/>
  <c r="AH3176" i="1"/>
  <c r="AI3176" i="1"/>
  <c r="AK3176" i="1"/>
  <c r="AG3177" i="1"/>
  <c r="AH3177" i="1"/>
  <c r="AK3177" i="1"/>
  <c r="AG3178" i="1"/>
  <c r="AH3178" i="1"/>
  <c r="AK3178" i="1"/>
  <c r="AG3179" i="1"/>
  <c r="AH3179" i="1"/>
  <c r="AK3179" i="1"/>
  <c r="AG3180" i="1"/>
  <c r="AH3180" i="1"/>
  <c r="AK3180" i="1"/>
  <c r="AG3181" i="1"/>
  <c r="AH3181" i="1"/>
  <c r="AK3181" i="1"/>
  <c r="AG3182" i="1"/>
  <c r="AH3182" i="1"/>
  <c r="AK3182" i="1"/>
  <c r="K3183" i="1"/>
  <c r="L3183" i="1"/>
  <c r="AG3183" i="1"/>
  <c r="AH3183" i="1"/>
  <c r="AK3183" i="1"/>
  <c r="K3184" i="1"/>
  <c r="L3184" i="1"/>
  <c r="M3184" i="1"/>
  <c r="N3184" i="1"/>
  <c r="O3184" i="1"/>
  <c r="AG3184" i="1"/>
  <c r="AH3184" i="1"/>
  <c r="AI3184" i="1"/>
  <c r="AK3184" i="1"/>
  <c r="AG3185" i="1"/>
  <c r="AH3185" i="1"/>
  <c r="AK3185" i="1"/>
  <c r="K3186" i="1"/>
  <c r="AG3186" i="1"/>
  <c r="AH3186" i="1"/>
  <c r="AI3186" i="1"/>
  <c r="AK3186" i="1"/>
  <c r="K3187" i="1"/>
  <c r="AG3187" i="1"/>
  <c r="AH3187" i="1"/>
  <c r="AI3187" i="1"/>
  <c r="AK3187" i="1"/>
  <c r="K3188" i="1"/>
  <c r="AG3188" i="1"/>
  <c r="AH3188" i="1"/>
  <c r="AI3188" i="1"/>
  <c r="AK3188" i="1"/>
  <c r="K3189" i="1"/>
  <c r="AG3189" i="1"/>
  <c r="AH3189" i="1"/>
  <c r="AK3189" i="1"/>
  <c r="AG3190" i="1"/>
  <c r="AH3190" i="1"/>
  <c r="AK3190" i="1"/>
  <c r="AG3191" i="1"/>
  <c r="AH3191" i="1"/>
  <c r="AK3191" i="1"/>
  <c r="AG3192" i="1"/>
  <c r="AH3192" i="1"/>
  <c r="AK3192" i="1"/>
  <c r="K3193" i="1"/>
  <c r="AG3193" i="1"/>
  <c r="AH3193" i="1"/>
  <c r="AK3193" i="1"/>
  <c r="K3194" i="1"/>
  <c r="E3195" i="1"/>
  <c r="K3195" i="1"/>
  <c r="L3195" i="1"/>
  <c r="M3195" i="1"/>
  <c r="N3195" i="1"/>
  <c r="O3195" i="1"/>
  <c r="P3195" i="1"/>
  <c r="Q3195" i="1"/>
  <c r="R3195" i="1"/>
  <c r="S3195" i="1"/>
  <c r="T3195" i="1"/>
  <c r="U3195" i="1"/>
  <c r="AF3195" i="1"/>
  <c r="AG3195" i="1"/>
  <c r="AH3195" i="1"/>
  <c r="K3196" i="1"/>
  <c r="L3196" i="1"/>
  <c r="M3196" i="1"/>
  <c r="N3196" i="1"/>
  <c r="AG3196" i="1"/>
  <c r="AH3196" i="1"/>
  <c r="AG3197" i="1"/>
  <c r="AH3197" i="1"/>
  <c r="AK3197" i="1"/>
  <c r="K3198" i="1"/>
  <c r="AG3198" i="1"/>
  <c r="AH3198" i="1"/>
  <c r="AK3198" i="1"/>
  <c r="AG3199" i="1"/>
  <c r="AH3199" i="1"/>
  <c r="AK3199" i="1"/>
  <c r="AG3200" i="1"/>
  <c r="AH3200" i="1"/>
  <c r="AK3200" i="1"/>
  <c r="AG3201" i="1"/>
  <c r="AH3201" i="1"/>
  <c r="AK3201" i="1"/>
  <c r="AG3202" i="1"/>
  <c r="AH3202" i="1"/>
  <c r="AK3202" i="1"/>
  <c r="AG3203" i="1"/>
  <c r="AH3203" i="1"/>
  <c r="AK3203" i="1"/>
  <c r="K3204" i="1"/>
  <c r="L3204" i="1"/>
  <c r="M3204" i="1"/>
  <c r="AF3204" i="1"/>
  <c r="AG3204" i="1"/>
  <c r="AH3204" i="1"/>
  <c r="AG3205" i="1"/>
  <c r="AH3205" i="1"/>
  <c r="AK3205" i="1"/>
  <c r="AG3206" i="1"/>
  <c r="AH3206" i="1"/>
  <c r="AK3206" i="1"/>
  <c r="AG3207" i="1"/>
  <c r="AH3207" i="1"/>
  <c r="AK3207" i="1"/>
  <c r="K3208" i="1"/>
  <c r="AG3208" i="1"/>
  <c r="AH3208" i="1"/>
  <c r="AK3208" i="1"/>
  <c r="K3209" i="1"/>
  <c r="L3209" i="1"/>
  <c r="M3209" i="1"/>
  <c r="K3210" i="1"/>
  <c r="AG3210" i="1"/>
  <c r="AH3210" i="1"/>
  <c r="AI3210" i="1"/>
  <c r="AK3210" i="1"/>
  <c r="K3211" i="1"/>
  <c r="AG3211" i="1"/>
  <c r="AH3211" i="1"/>
  <c r="AK3211" i="1"/>
  <c r="AG3212" i="1"/>
  <c r="AH3212" i="1"/>
  <c r="AK3212" i="1"/>
  <c r="K3213" i="1"/>
  <c r="L3213" i="1"/>
  <c r="M3213" i="1"/>
  <c r="N3213" i="1"/>
  <c r="O3213" i="1"/>
  <c r="P3213" i="1"/>
  <c r="Q3213" i="1"/>
  <c r="R3213" i="1"/>
  <c r="S3213" i="1"/>
  <c r="T3213" i="1"/>
  <c r="U3213" i="1"/>
  <c r="AF3213" i="1"/>
  <c r="AG3213" i="1"/>
  <c r="AH3213" i="1"/>
  <c r="K3214" i="1"/>
  <c r="AG3214" i="1"/>
  <c r="AH3214" i="1"/>
  <c r="AK3214" i="1"/>
  <c r="K3215" i="1"/>
  <c r="AG3215" i="1"/>
  <c r="AH3215" i="1"/>
  <c r="AI3215" i="1"/>
  <c r="AK3215" i="1"/>
  <c r="K3216" i="1"/>
  <c r="AG3216" i="1"/>
  <c r="AH3216" i="1"/>
  <c r="AK3216" i="1"/>
  <c r="K3217" i="1"/>
  <c r="AG3217" i="1"/>
  <c r="AH3217" i="1"/>
  <c r="AK3217" i="1"/>
  <c r="K3218" i="1"/>
  <c r="AG3218" i="1"/>
  <c r="AH3218" i="1"/>
  <c r="AI3218" i="1"/>
  <c r="AK3218" i="1"/>
  <c r="AG3219" i="1"/>
  <c r="AH3219" i="1"/>
  <c r="AK3219" i="1"/>
  <c r="K3220" i="1"/>
  <c r="AG3220" i="1"/>
  <c r="AH3220" i="1"/>
  <c r="AK3220" i="1"/>
  <c r="AG3221" i="1"/>
  <c r="AH3221" i="1"/>
  <c r="AK3221" i="1"/>
  <c r="AG3222" i="1"/>
  <c r="AH3222" i="1"/>
  <c r="AK3222" i="1"/>
  <c r="K3223" i="1"/>
  <c r="AG3223" i="1"/>
  <c r="AH3223" i="1"/>
  <c r="AK3223" i="1"/>
  <c r="AG3224" i="1"/>
  <c r="AH3224" i="1"/>
  <c r="AK3224" i="1"/>
  <c r="AG3225" i="1"/>
  <c r="AH3225" i="1"/>
  <c r="AK3225" i="1"/>
  <c r="K3226" i="1"/>
  <c r="AG3226" i="1"/>
  <c r="AH3226" i="1"/>
  <c r="AK3226" i="1"/>
  <c r="AG3227" i="1"/>
  <c r="AH3227" i="1"/>
  <c r="AK3227" i="1"/>
  <c r="K3228" i="1"/>
  <c r="AG3228" i="1"/>
  <c r="AH3228" i="1"/>
  <c r="AK3228" i="1"/>
  <c r="AG3229" i="1"/>
  <c r="AH3229" i="1"/>
  <c r="AK3229" i="1"/>
  <c r="AG3230" i="1"/>
  <c r="AH3230" i="1"/>
  <c r="AK3230" i="1"/>
  <c r="AG3231" i="1"/>
  <c r="AH3231" i="1"/>
  <c r="AK3231" i="1"/>
  <c r="AG3232" i="1"/>
  <c r="AH3232" i="1"/>
  <c r="AK3232" i="1"/>
  <c r="AG3233" i="1"/>
  <c r="AH3233" i="1"/>
  <c r="AG3234" i="1"/>
  <c r="AH3234" i="1"/>
  <c r="AK3234" i="1"/>
  <c r="K3238" i="1"/>
  <c r="K3240" i="1"/>
  <c r="K3241" i="1"/>
  <c r="K3242" i="1"/>
  <c r="K3244" i="1"/>
  <c r="AG3245" i="1"/>
  <c r="AH3245" i="1"/>
  <c r="AK3245" i="1"/>
  <c r="K3247" i="1"/>
  <c r="AG3248" i="1"/>
  <c r="AH3248" i="1"/>
  <c r="AK3248" i="1"/>
  <c r="AG3249" i="1"/>
  <c r="AH3249" i="1"/>
  <c r="AK3249" i="1"/>
  <c r="AG3250" i="1"/>
  <c r="AH3250" i="1"/>
  <c r="AK3250" i="1"/>
  <c r="AG3251" i="1"/>
  <c r="AH3251" i="1"/>
  <c r="AK3251" i="1"/>
  <c r="AF3252" i="1"/>
  <c r="K3253" i="1"/>
  <c r="AF3254" i="1"/>
  <c r="AG3254" i="1"/>
  <c r="AH3254" i="1"/>
  <c r="K3255" i="1"/>
  <c r="AG3255" i="1"/>
  <c r="AH3255" i="1"/>
  <c r="AG3256" i="1"/>
  <c r="AH3256" i="1"/>
  <c r="AK3256" i="1"/>
  <c r="AG3257" i="1"/>
  <c r="AH3257" i="1"/>
  <c r="AK3257" i="1"/>
  <c r="AG3258" i="1"/>
  <c r="AH3258" i="1"/>
  <c r="AK3258" i="1"/>
  <c r="AG3259" i="1"/>
  <c r="AH3259" i="1"/>
  <c r="AK3259" i="1"/>
  <c r="K3260" i="1"/>
  <c r="AG3260" i="1"/>
  <c r="AH3260" i="1"/>
  <c r="AK3260" i="1"/>
  <c r="K3261" i="1"/>
  <c r="AG3261" i="1"/>
  <c r="AH3261" i="1"/>
  <c r="AI3261" i="1"/>
  <c r="AK3261" i="1"/>
  <c r="K3262" i="1"/>
  <c r="AG3262" i="1"/>
  <c r="AH3262" i="1"/>
  <c r="K3263" i="1"/>
  <c r="L3263" i="1"/>
  <c r="K3264" i="1"/>
  <c r="L3264" i="1"/>
  <c r="AG3264" i="1"/>
  <c r="AH3264" i="1"/>
  <c r="K3265" i="1"/>
  <c r="AG3265" i="1"/>
  <c r="AH3265" i="1"/>
  <c r="AI3265" i="1"/>
  <c r="K3266" i="1"/>
  <c r="AG3266" i="1"/>
  <c r="AH3266" i="1"/>
  <c r="K3267" i="1"/>
  <c r="AG3267" i="1"/>
  <c r="AH3267" i="1"/>
  <c r="AG3268" i="1"/>
  <c r="AH3268" i="1"/>
  <c r="K3269" i="1"/>
  <c r="AG3269" i="1"/>
  <c r="AH3269" i="1"/>
  <c r="K3270" i="1"/>
  <c r="AG3270" i="1"/>
  <c r="AH3270" i="1"/>
  <c r="AH3271" i="1"/>
  <c r="AI3271" i="1"/>
  <c r="K3272" i="1"/>
  <c r="L3272" i="1"/>
  <c r="M3272" i="1"/>
  <c r="N3272" i="1"/>
  <c r="K3273" i="1"/>
  <c r="K3274" i="1"/>
  <c r="K3275" i="1"/>
  <c r="AG3276" i="1"/>
  <c r="AH3276" i="1"/>
  <c r="AI3276" i="1"/>
  <c r="AG3277" i="1"/>
  <c r="AH3277" i="1"/>
  <c r="AI3277" i="1"/>
  <c r="K3278" i="1"/>
  <c r="K3279" i="1"/>
  <c r="K3280" i="1"/>
  <c r="AG3280" i="1"/>
  <c r="AH3280" i="1"/>
  <c r="AK3280" i="1"/>
  <c r="AG3281" i="1"/>
  <c r="AH3281" i="1"/>
  <c r="K3282" i="1"/>
  <c r="AG3282" i="1"/>
  <c r="AH3282" i="1"/>
  <c r="K3283" i="1"/>
  <c r="AG3283" i="1"/>
  <c r="AH3283" i="1"/>
  <c r="AK3283" i="1"/>
  <c r="K3284" i="1"/>
  <c r="AG3284" i="1"/>
  <c r="AH3284" i="1"/>
  <c r="AK3284" i="1"/>
  <c r="K3285" i="1"/>
  <c r="AG3285" i="1"/>
  <c r="AH3285" i="1"/>
  <c r="AK3285" i="1"/>
  <c r="K3286" i="1"/>
  <c r="AG3286" i="1"/>
  <c r="AH3286" i="1"/>
  <c r="AI3286" i="1"/>
  <c r="AK3286" i="1"/>
  <c r="K3287" i="1"/>
  <c r="AG3287" i="1"/>
  <c r="AH3287" i="1"/>
  <c r="AK3287" i="1"/>
  <c r="K3288" i="1"/>
  <c r="AG3288" i="1"/>
  <c r="AH3288" i="1"/>
  <c r="AK3288" i="1"/>
  <c r="K3289" i="1"/>
  <c r="AG3289" i="1"/>
  <c r="AH3289" i="1"/>
  <c r="AK3289" i="1"/>
  <c r="K3290" i="1"/>
  <c r="AG3290" i="1"/>
  <c r="AH3290" i="1"/>
  <c r="AK3290" i="1"/>
  <c r="K3291" i="1"/>
  <c r="K3292" i="1"/>
  <c r="E3293" i="1"/>
  <c r="K3293" i="1"/>
  <c r="K3295" i="1"/>
  <c r="AG3296" i="1"/>
  <c r="AH3296" i="1"/>
  <c r="K3297" i="1"/>
  <c r="L3297" i="1"/>
  <c r="M3297" i="1"/>
  <c r="AG3300" i="1"/>
  <c r="AH3300" i="1"/>
  <c r="AK3300" i="1"/>
  <c r="K3301" i="1"/>
  <c r="AG3301" i="1"/>
  <c r="AH3301" i="1"/>
  <c r="K3304" i="1"/>
  <c r="AG3304" i="1"/>
  <c r="AH3304" i="1"/>
  <c r="K3306" i="1"/>
  <c r="K3307" i="1"/>
  <c r="K3308" i="1"/>
  <c r="AG3308" i="1"/>
  <c r="AH3308" i="1"/>
  <c r="K3309" i="1"/>
  <c r="AG3309" i="1"/>
  <c r="AH3309" i="1"/>
  <c r="K3310" i="1"/>
  <c r="AF3310" i="1"/>
  <c r="AG3310" i="1"/>
  <c r="AH3310" i="1"/>
  <c r="K3311" i="1"/>
  <c r="AG3311" i="1"/>
  <c r="AH3311" i="1"/>
  <c r="K3312" i="1"/>
  <c r="AG3312" i="1"/>
  <c r="AH3312" i="1"/>
  <c r="K3313" i="1"/>
  <c r="E3314" i="1"/>
  <c r="K3314" i="1"/>
  <c r="L3314" i="1"/>
  <c r="K3315" i="1"/>
  <c r="L3315" i="1"/>
  <c r="AG3315" i="1"/>
  <c r="AH3315" i="1"/>
  <c r="K3316" i="1"/>
  <c r="L3316" i="1"/>
  <c r="M3316" i="1"/>
  <c r="N3316" i="1"/>
  <c r="O3316" i="1"/>
  <c r="K3317" i="1"/>
  <c r="L3317" i="1"/>
  <c r="M3317" i="1"/>
  <c r="K3318" i="1"/>
  <c r="L3318" i="1"/>
  <c r="M3318" i="1"/>
  <c r="K3319" i="1"/>
  <c r="L3319" i="1"/>
  <c r="M3319" i="1"/>
  <c r="E3320" i="1"/>
  <c r="K3320" i="1"/>
  <c r="L3320" i="1"/>
  <c r="K3321" i="1"/>
  <c r="L3321" i="1"/>
  <c r="M3321" i="1"/>
  <c r="N3321" i="1"/>
  <c r="O3321" i="1"/>
  <c r="P3321" i="1"/>
  <c r="Q3321" i="1"/>
  <c r="R3321" i="1"/>
  <c r="S3321" i="1"/>
  <c r="K3322" i="1"/>
  <c r="L3322" i="1"/>
  <c r="M3322" i="1"/>
  <c r="N3322" i="1"/>
  <c r="O3322" i="1"/>
  <c r="P3322" i="1"/>
  <c r="Q3322" i="1"/>
  <c r="K3323" i="1"/>
  <c r="L3323" i="1"/>
  <c r="M3323" i="1"/>
  <c r="N3323" i="1"/>
  <c r="O3323" i="1"/>
  <c r="P3323" i="1"/>
  <c r="Q3323" i="1"/>
  <c r="R3323" i="1"/>
  <c r="K3324" i="1"/>
  <c r="L3324" i="1"/>
  <c r="M3324" i="1"/>
  <c r="N3324" i="1"/>
  <c r="O3324" i="1"/>
  <c r="P3324" i="1"/>
  <c r="Q3324" i="1"/>
  <c r="R3324" i="1"/>
  <c r="E3325" i="1"/>
  <c r="K3325" i="1"/>
  <c r="L3325" i="1"/>
  <c r="M3325" i="1"/>
  <c r="N3325" i="1"/>
  <c r="O3325" i="1"/>
  <c r="K3326" i="1"/>
  <c r="L3326" i="1"/>
  <c r="K3327" i="1"/>
  <c r="L3327" i="1"/>
  <c r="M3327" i="1"/>
  <c r="N3327" i="1"/>
  <c r="O3327" i="1"/>
  <c r="P3327" i="1"/>
  <c r="Q3327" i="1"/>
  <c r="R3327" i="1"/>
  <c r="S3327" i="1"/>
  <c r="K3328" i="1"/>
  <c r="L3328" i="1"/>
  <c r="M3328" i="1"/>
  <c r="N3328" i="1"/>
  <c r="O3328" i="1"/>
  <c r="P3328" i="1"/>
  <c r="Q3328" i="1"/>
  <c r="R3328" i="1"/>
  <c r="S3328" i="1"/>
  <c r="K3329" i="1"/>
  <c r="L3329" i="1"/>
  <c r="M3329" i="1"/>
  <c r="N3329" i="1"/>
  <c r="O3329" i="1"/>
  <c r="P3329" i="1"/>
  <c r="Q3329" i="1"/>
  <c r="R3329" i="1"/>
  <c r="S3329" i="1"/>
  <c r="K3330" i="1"/>
  <c r="L3330" i="1"/>
  <c r="M3330" i="1"/>
  <c r="N3330" i="1"/>
  <c r="O3330" i="1"/>
  <c r="P3330" i="1"/>
  <c r="Q3330" i="1"/>
  <c r="R3330" i="1"/>
  <c r="K3331" i="1"/>
  <c r="L3331" i="1"/>
  <c r="M3331" i="1"/>
  <c r="AG3332" i="1"/>
  <c r="AH3332" i="1"/>
  <c r="AK3332" i="1"/>
  <c r="K3333" i="1"/>
  <c r="L3333" i="1"/>
  <c r="M3333" i="1"/>
  <c r="K3334" i="1"/>
  <c r="AG3334" i="1"/>
  <c r="AH3334" i="1"/>
  <c r="K3335" i="1"/>
  <c r="AG3335" i="1"/>
  <c r="AH3335" i="1"/>
  <c r="K3337" i="1"/>
  <c r="AG3337" i="1"/>
  <c r="AH3337" i="1"/>
  <c r="K3339" i="1"/>
  <c r="E3340" i="1"/>
  <c r="K3340" i="1"/>
  <c r="AG3340" i="1"/>
  <c r="AH3340" i="1"/>
  <c r="K3341" i="1"/>
  <c r="AG3341" i="1"/>
  <c r="AH3341" i="1"/>
  <c r="K3342" i="1"/>
  <c r="AD3343" i="1"/>
  <c r="K3344" i="1"/>
  <c r="K3345" i="1"/>
  <c r="AG3345" i="1"/>
  <c r="AH3345" i="1"/>
  <c r="K3346" i="1"/>
  <c r="AG3346" i="1"/>
  <c r="AH3346" i="1"/>
  <c r="K3347" i="1"/>
  <c r="AF3347" i="1"/>
  <c r="AG3347" i="1"/>
  <c r="AH3347" i="1"/>
  <c r="K3348" i="1"/>
  <c r="AG3348" i="1"/>
  <c r="AH3348" i="1"/>
  <c r="K3349" i="1"/>
  <c r="AG3349" i="1"/>
  <c r="AH3349" i="1"/>
  <c r="AK3349" i="1"/>
  <c r="K3350" i="1"/>
  <c r="L3350" i="1"/>
  <c r="M3350" i="1"/>
  <c r="AG3350" i="1"/>
  <c r="AH3350" i="1"/>
  <c r="AK3350" i="1"/>
  <c r="E3351" i="1"/>
  <c r="K3351" i="1"/>
  <c r="L3351" i="1"/>
  <c r="M3351" i="1"/>
  <c r="K3352" i="1"/>
  <c r="K3353" i="1"/>
  <c r="K3354" i="1"/>
  <c r="AG3354" i="1"/>
  <c r="AH3354" i="1"/>
  <c r="K3355" i="1"/>
  <c r="L3355" i="1"/>
  <c r="M3355" i="1"/>
  <c r="K3356" i="1"/>
  <c r="AG3356" i="1"/>
  <c r="AH3356" i="1"/>
  <c r="AK3356" i="1"/>
  <c r="K3357" i="1"/>
  <c r="AG3357" i="1"/>
  <c r="AH3357" i="1"/>
  <c r="AK3357" i="1"/>
  <c r="K3358" i="1"/>
  <c r="AG3358" i="1"/>
  <c r="AH3358" i="1"/>
  <c r="AK3358" i="1"/>
  <c r="K3359" i="1"/>
  <c r="AG3359" i="1"/>
  <c r="AH3359" i="1"/>
  <c r="AK3359" i="1"/>
  <c r="K3360" i="1"/>
  <c r="AG3360" i="1"/>
  <c r="AH3360" i="1"/>
  <c r="AK3360" i="1"/>
  <c r="AG3361" i="1"/>
  <c r="AH3361" i="1"/>
  <c r="K3362" i="1"/>
  <c r="AG3362" i="1"/>
  <c r="AH3362" i="1"/>
  <c r="K3363" i="1"/>
  <c r="AG3363" i="1"/>
  <c r="AH3363" i="1"/>
  <c r="K3364" i="1"/>
  <c r="AG3364" i="1"/>
  <c r="AH3364" i="1"/>
  <c r="K3366" i="1"/>
  <c r="AG3366" i="1"/>
  <c r="AH3366" i="1"/>
  <c r="K3367" i="1"/>
  <c r="AG3367" i="1"/>
  <c r="AH3367" i="1"/>
  <c r="K3368" i="1"/>
  <c r="AG3368" i="1"/>
  <c r="AH3368" i="1"/>
  <c r="K3369" i="1"/>
  <c r="AG3369" i="1"/>
  <c r="AH3369" i="1"/>
  <c r="K3370" i="1"/>
  <c r="AG3370" i="1"/>
  <c r="AH3370" i="1"/>
  <c r="K3371" i="1"/>
  <c r="AG3371" i="1"/>
  <c r="AH3371" i="1"/>
  <c r="K3372" i="1"/>
  <c r="AG3372" i="1"/>
  <c r="AH3372" i="1"/>
  <c r="AG3373" i="1"/>
  <c r="AH3373" i="1"/>
  <c r="AK3373" i="1"/>
  <c r="AG3374" i="1"/>
  <c r="AH3374" i="1"/>
  <c r="AK3374" i="1"/>
  <c r="AG3375" i="1"/>
  <c r="AH3375" i="1"/>
  <c r="AI3375" i="1"/>
  <c r="AG3376" i="1"/>
  <c r="AH3376" i="1"/>
  <c r="AK3376" i="1"/>
  <c r="AG3377" i="1"/>
  <c r="AH3377" i="1"/>
  <c r="AK3377" i="1"/>
  <c r="K3378" i="1"/>
  <c r="K3379" i="1"/>
  <c r="K3380" i="1"/>
  <c r="K3381" i="1"/>
  <c r="K3382" i="1"/>
  <c r="E3383" i="1"/>
  <c r="K3383" i="1"/>
  <c r="L3383" i="1"/>
  <c r="M3383" i="1"/>
  <c r="N3383" i="1"/>
  <c r="AF3384" i="1"/>
  <c r="K3385" i="1"/>
  <c r="E3386" i="1"/>
  <c r="F3386" i="1"/>
  <c r="K3386" i="1"/>
  <c r="L3386" i="1"/>
  <c r="M3386" i="1"/>
  <c r="N3386" i="1"/>
  <c r="O3386" i="1"/>
  <c r="P3386" i="1"/>
  <c r="Q3386" i="1"/>
  <c r="R3386" i="1"/>
  <c r="S3386" i="1"/>
  <c r="T3386" i="1"/>
  <c r="U3386" i="1"/>
  <c r="V3386" i="1"/>
  <c r="W3386" i="1"/>
  <c r="X3386" i="1"/>
  <c r="Y3386" i="1"/>
  <c r="K3387" i="1"/>
  <c r="K3388" i="1"/>
  <c r="K3390" i="1"/>
  <c r="K3391" i="1"/>
  <c r="AG3391" i="1"/>
  <c r="AH3391" i="1"/>
  <c r="AK3391" i="1"/>
  <c r="K3392" i="1"/>
  <c r="AG3392" i="1"/>
  <c r="AH3392" i="1"/>
  <c r="K3393" i="1"/>
  <c r="AG3393" i="1"/>
  <c r="AH3393" i="1"/>
  <c r="AG3394" i="1"/>
  <c r="AH3394" i="1"/>
  <c r="K3395" i="1"/>
  <c r="AG3395" i="1"/>
  <c r="AH3395" i="1"/>
  <c r="K3396" i="1"/>
  <c r="K3397" i="1"/>
  <c r="L3397" i="1"/>
  <c r="K3398" i="1"/>
  <c r="L3398" i="1"/>
  <c r="K3399" i="1"/>
  <c r="L3399" i="1"/>
  <c r="K3400" i="1"/>
  <c r="K3401" i="1"/>
  <c r="AF3401" i="1"/>
  <c r="E3402" i="1"/>
  <c r="K3402" i="1"/>
  <c r="L3402" i="1"/>
  <c r="M3402" i="1"/>
  <c r="K3403" i="1"/>
  <c r="L3403" i="1"/>
  <c r="M3403" i="1"/>
  <c r="AF3403" i="1"/>
  <c r="K3404" i="1"/>
  <c r="K3405" i="1"/>
  <c r="K3406" i="1"/>
  <c r="K3407" i="1"/>
  <c r="E3408" i="1"/>
  <c r="K3408" i="1"/>
  <c r="L3408" i="1"/>
  <c r="M3408" i="1"/>
  <c r="K3409" i="1"/>
  <c r="K3410" i="1"/>
  <c r="L3410" i="1"/>
  <c r="M3410" i="1"/>
  <c r="N3410" i="1"/>
  <c r="E3411" i="1"/>
  <c r="AD3412" i="1"/>
  <c r="K3413" i="1"/>
  <c r="L3413" i="1"/>
  <c r="M3413" i="1"/>
  <c r="N3413" i="1"/>
  <c r="O3413" i="1"/>
  <c r="K3414" i="1"/>
  <c r="L3414" i="1"/>
  <c r="K3415" i="1"/>
  <c r="AG3415" i="1"/>
  <c r="AH3415" i="1"/>
  <c r="AI3415" i="1"/>
  <c r="K3416" i="1"/>
  <c r="L3416" i="1"/>
  <c r="M3416" i="1"/>
  <c r="N3416" i="1"/>
  <c r="K3417" i="1"/>
  <c r="L3417" i="1"/>
  <c r="M3417" i="1"/>
  <c r="N3417" i="1"/>
  <c r="O3417" i="1"/>
  <c r="P3417" i="1"/>
  <c r="Q3417" i="1"/>
  <c r="R3417" i="1"/>
  <c r="S3417" i="1"/>
  <c r="T3417" i="1"/>
  <c r="U3417" i="1"/>
  <c r="AF3418" i="1"/>
  <c r="K3421" i="1"/>
  <c r="L3421" i="1"/>
  <c r="K3422" i="1"/>
  <c r="L3422" i="1"/>
  <c r="K3423" i="1"/>
  <c r="K3424" i="1"/>
  <c r="L3424" i="1"/>
  <c r="K3425" i="1"/>
  <c r="L3425" i="1"/>
  <c r="K3426" i="1"/>
  <c r="L3426" i="1"/>
  <c r="M3426" i="1"/>
  <c r="AG3426" i="1"/>
  <c r="AH3426" i="1"/>
  <c r="K3427" i="1"/>
  <c r="K3428" i="1"/>
  <c r="L3428" i="1"/>
  <c r="M3428" i="1"/>
  <c r="E3429" i="1"/>
  <c r="K3429" i="1"/>
  <c r="L3429" i="1"/>
  <c r="M3429" i="1"/>
  <c r="N3429" i="1"/>
  <c r="O3429" i="1"/>
  <c r="P3429" i="1"/>
  <c r="Q3429" i="1"/>
  <c r="R3429" i="1"/>
  <c r="S3429" i="1"/>
  <c r="T3429" i="1"/>
  <c r="K3430" i="1"/>
  <c r="L3430" i="1"/>
  <c r="M3430" i="1"/>
  <c r="N3430" i="1"/>
  <c r="O3430" i="1"/>
  <c r="P3430" i="1"/>
  <c r="K3431" i="1"/>
  <c r="K3432" i="1"/>
  <c r="K3433" i="1"/>
  <c r="K3434" i="1"/>
  <c r="L3434" i="1"/>
  <c r="M3434" i="1"/>
  <c r="N3434" i="1"/>
  <c r="O3434" i="1"/>
  <c r="P3434" i="1"/>
  <c r="Q3434" i="1"/>
  <c r="R3434" i="1"/>
  <c r="S3434" i="1"/>
  <c r="T3434" i="1"/>
  <c r="U3434" i="1"/>
  <c r="V3434" i="1"/>
  <c r="W3434" i="1"/>
  <c r="X3434" i="1"/>
  <c r="Y3434" i="1"/>
  <c r="AG3434" i="1"/>
  <c r="AH3434" i="1"/>
  <c r="AG3435" i="1"/>
  <c r="AH3435" i="1"/>
  <c r="AK3435" i="1"/>
  <c r="K3436" i="1"/>
  <c r="L3436" i="1"/>
  <c r="K3437" i="1"/>
  <c r="AG3438" i="1"/>
  <c r="AH3438" i="1"/>
  <c r="AK3438" i="1"/>
  <c r="AG3439" i="1"/>
  <c r="AH3439" i="1"/>
  <c r="AK3439" i="1"/>
  <c r="AG3440" i="1"/>
  <c r="AI3440" i="1"/>
  <c r="AK3440" i="1"/>
  <c r="K3441" i="1"/>
  <c r="K3442" i="1"/>
  <c r="L3442" i="1"/>
  <c r="K3443" i="1"/>
  <c r="K3444" i="1"/>
  <c r="L3444" i="1"/>
  <c r="M3444" i="1"/>
  <c r="N3444" i="1"/>
  <c r="O3444" i="1"/>
  <c r="P3444" i="1"/>
  <c r="Q3444" i="1"/>
  <c r="R3444" i="1"/>
  <c r="K3445" i="1"/>
  <c r="L3445" i="1"/>
  <c r="M3445" i="1"/>
  <c r="N3445" i="1"/>
  <c r="O3445" i="1"/>
  <c r="P3445" i="1"/>
  <c r="Q3445" i="1"/>
  <c r="R3445" i="1"/>
  <c r="S3445" i="1"/>
  <c r="T3445" i="1"/>
  <c r="U3445" i="1"/>
  <c r="V3445" i="1"/>
  <c r="W3445" i="1"/>
  <c r="X3445" i="1"/>
  <c r="K3446" i="1"/>
  <c r="L3446" i="1"/>
  <c r="M3446" i="1"/>
  <c r="K3447" i="1"/>
  <c r="L3447" i="1"/>
  <c r="K3449" i="1"/>
  <c r="K3450" i="1"/>
  <c r="L3450" i="1"/>
  <c r="M3450" i="1"/>
  <c r="K3451" i="1"/>
  <c r="L3451" i="1"/>
  <c r="M3451" i="1"/>
  <c r="N3451" i="1"/>
  <c r="O3451" i="1"/>
  <c r="P3451" i="1"/>
  <c r="Q3451" i="1"/>
  <c r="K3452" i="1"/>
  <c r="L3452" i="1"/>
  <c r="M3452" i="1"/>
  <c r="N3452" i="1"/>
  <c r="K3453" i="1"/>
  <c r="K3454" i="1"/>
  <c r="L3454" i="1"/>
  <c r="M3454" i="1"/>
  <c r="N3454" i="1"/>
  <c r="O3454" i="1"/>
  <c r="P3454" i="1"/>
  <c r="K3455" i="1"/>
  <c r="L3455" i="1"/>
  <c r="M3455" i="1"/>
  <c r="N3455" i="1"/>
  <c r="O3455" i="1"/>
  <c r="P3455" i="1"/>
  <c r="K3456" i="1"/>
  <c r="L3456" i="1"/>
  <c r="K3457" i="1"/>
  <c r="E3458" i="1"/>
  <c r="K3458" i="1"/>
  <c r="L3458" i="1"/>
  <c r="M3458" i="1"/>
  <c r="N3458" i="1"/>
  <c r="K3459" i="1"/>
  <c r="L3459" i="1"/>
  <c r="M3459" i="1"/>
  <c r="E3460" i="1"/>
  <c r="K3460" i="1"/>
  <c r="L3460" i="1"/>
  <c r="M3460" i="1"/>
  <c r="K3462" i="1"/>
  <c r="E3463" i="1"/>
  <c r="K3463" i="1"/>
  <c r="L3463" i="1"/>
  <c r="M3463" i="1"/>
  <c r="N3463" i="1"/>
  <c r="O3463" i="1"/>
  <c r="E3465" i="1"/>
  <c r="K3465" i="1"/>
  <c r="L3465" i="1"/>
  <c r="M3465" i="1"/>
  <c r="E3466" i="1"/>
  <c r="K3466" i="1"/>
  <c r="L3466" i="1"/>
  <c r="M3466" i="1"/>
  <c r="N3466" i="1"/>
  <c r="O3466" i="1"/>
  <c r="P3466" i="1"/>
  <c r="Q3466" i="1"/>
  <c r="R3466" i="1"/>
  <c r="S3466" i="1"/>
  <c r="AG3466" i="1"/>
  <c r="AH3466" i="1"/>
  <c r="K3467" i="1"/>
  <c r="L3467" i="1"/>
  <c r="M3467" i="1"/>
  <c r="N3467" i="1"/>
  <c r="O3467" i="1"/>
  <c r="P3467" i="1"/>
  <c r="Q3467" i="1"/>
  <c r="R3467" i="1"/>
  <c r="AG3467" i="1"/>
  <c r="AH3467" i="1"/>
  <c r="K3468" i="1"/>
  <c r="K3469" i="1"/>
  <c r="K3471" i="1"/>
  <c r="L3471" i="1"/>
  <c r="M3471" i="1"/>
  <c r="N3471" i="1"/>
  <c r="O3471" i="1"/>
  <c r="P3471" i="1"/>
  <c r="K3472" i="1"/>
  <c r="L3472" i="1"/>
  <c r="M3472" i="1"/>
  <c r="N3472" i="1"/>
  <c r="K3474" i="1"/>
  <c r="L3474" i="1"/>
  <c r="AF3474" i="1"/>
  <c r="K3475" i="1"/>
  <c r="AG3475" i="1"/>
  <c r="AH3475" i="1"/>
  <c r="K3476" i="1"/>
  <c r="AG3476" i="1"/>
  <c r="AH3476" i="1"/>
  <c r="K3477" i="1"/>
  <c r="L3477" i="1"/>
  <c r="AG3477" i="1"/>
  <c r="AH3477" i="1"/>
  <c r="AI3477" i="1"/>
  <c r="K3478" i="1"/>
  <c r="L3478" i="1"/>
  <c r="M3478" i="1"/>
  <c r="N3478" i="1"/>
  <c r="O3478" i="1"/>
  <c r="P3478" i="1"/>
  <c r="K3479" i="1"/>
  <c r="L3479" i="1"/>
  <c r="M3479" i="1"/>
  <c r="N3479" i="1"/>
  <c r="AG3481" i="1"/>
  <c r="AH3481" i="1"/>
  <c r="AK3481" i="1"/>
  <c r="E3482" i="1"/>
  <c r="K3483" i="1"/>
  <c r="K3484" i="1"/>
  <c r="AG3484" i="1"/>
  <c r="AH3484" i="1"/>
  <c r="AG3485" i="1"/>
  <c r="AH3485" i="1"/>
  <c r="AK3485" i="1"/>
  <c r="K3487" i="1"/>
  <c r="L3487" i="1"/>
  <c r="M3487" i="1"/>
  <c r="N3487" i="1"/>
  <c r="AF3487" i="1"/>
  <c r="K3488" i="1"/>
  <c r="L3488" i="1"/>
  <c r="K3489" i="1"/>
  <c r="K3490" i="1"/>
  <c r="K3491" i="1"/>
  <c r="L3491" i="1"/>
  <c r="K3492" i="1"/>
  <c r="L3492" i="1"/>
  <c r="K3493" i="1"/>
  <c r="K3494" i="1"/>
  <c r="L3494" i="1"/>
  <c r="K3495" i="1"/>
  <c r="L3495" i="1"/>
  <c r="K3496" i="1"/>
  <c r="L3496" i="1"/>
  <c r="K3497" i="1"/>
  <c r="L3497" i="1"/>
  <c r="K3498" i="1"/>
  <c r="K3499" i="1"/>
  <c r="K3500" i="1"/>
  <c r="L3500" i="1"/>
  <c r="K3501" i="1"/>
  <c r="L3501" i="1"/>
  <c r="K3502" i="1"/>
  <c r="L3502" i="1"/>
  <c r="K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K3517" i="1"/>
  <c r="L3517" i="1"/>
  <c r="K3518" i="1"/>
  <c r="L3518" i="1"/>
  <c r="M3518" i="1"/>
  <c r="K3519" i="1"/>
  <c r="L3519" i="1"/>
  <c r="M3519" i="1"/>
  <c r="N3519" i="1"/>
  <c r="O3519" i="1"/>
  <c r="P3519" i="1"/>
  <c r="Q3519" i="1"/>
  <c r="AG3519" i="1"/>
  <c r="AH3519" i="1"/>
  <c r="AI3519" i="1"/>
  <c r="AK3519" i="1"/>
  <c r="K3520" i="1"/>
  <c r="L3520" i="1"/>
  <c r="M3520" i="1"/>
  <c r="N3520" i="1"/>
  <c r="O3520" i="1"/>
  <c r="P3520" i="1"/>
  <c r="Q3520" i="1"/>
  <c r="R3520" i="1"/>
  <c r="S3520" i="1"/>
  <c r="K3522" i="1"/>
  <c r="AF3522" i="1"/>
  <c r="K3523" i="1"/>
  <c r="AG3524" i="1"/>
  <c r="AH3524" i="1"/>
  <c r="AK3524" i="1"/>
  <c r="K3525" i="1"/>
  <c r="K3526" i="1"/>
  <c r="AG3526" i="1"/>
  <c r="AH3526" i="1"/>
  <c r="K3527" i="1"/>
  <c r="AG3527" i="1"/>
  <c r="AH3527" i="1"/>
  <c r="K3528" i="1"/>
  <c r="K3529" i="1"/>
  <c r="K3530" i="1"/>
  <c r="K3531" i="1"/>
  <c r="K3532" i="1"/>
  <c r="K3533" i="1"/>
  <c r="K3534" i="1"/>
  <c r="L3534" i="1"/>
  <c r="AG3534" i="1"/>
  <c r="AH3534" i="1"/>
  <c r="K3535" i="1"/>
  <c r="L3535" i="1"/>
  <c r="M3535" i="1"/>
  <c r="N3535" i="1"/>
  <c r="O3535" i="1"/>
  <c r="P3535" i="1"/>
  <c r="K3536" i="1"/>
  <c r="K3537" i="1"/>
  <c r="K3538" i="1"/>
  <c r="K3539" i="1"/>
  <c r="E3540" i="1"/>
  <c r="K3540" i="1"/>
  <c r="L3540" i="1"/>
  <c r="M3540" i="1"/>
  <c r="N3540" i="1"/>
  <c r="O3540" i="1"/>
  <c r="P3540" i="1"/>
  <c r="Q3540" i="1"/>
  <c r="R3540" i="1"/>
  <c r="K3541" i="1"/>
  <c r="L3541" i="1"/>
  <c r="K3542" i="1"/>
  <c r="AG3544" i="1"/>
  <c r="AH3544" i="1"/>
  <c r="K3545" i="1"/>
  <c r="L3545" i="1"/>
  <c r="AG3545" i="1"/>
  <c r="AH3545" i="1"/>
  <c r="K3546" i="1"/>
  <c r="K3547" i="1"/>
  <c r="AG3548" i="1"/>
  <c r="AH3548" i="1"/>
  <c r="K3549" i="1"/>
  <c r="K3551" i="1"/>
  <c r="L3551" i="1"/>
  <c r="M3551" i="1"/>
  <c r="N3551" i="1"/>
  <c r="O3551" i="1"/>
  <c r="P3551" i="1"/>
  <c r="AF3551" i="1"/>
  <c r="K3552" i="1"/>
  <c r="E3553" i="1"/>
  <c r="K3553" i="1"/>
  <c r="L3553" i="1"/>
  <c r="AG3553" i="1"/>
  <c r="AH3553" i="1"/>
  <c r="E3554" i="1"/>
  <c r="K3554" i="1"/>
  <c r="L3554" i="1"/>
  <c r="M3554" i="1"/>
  <c r="N3554" i="1"/>
  <c r="O3554" i="1"/>
  <c r="P3554" i="1"/>
  <c r="Q3554" i="1"/>
  <c r="R3554" i="1"/>
  <c r="S3554" i="1"/>
  <c r="T3554" i="1"/>
  <c r="E3555" i="1"/>
  <c r="AG3556" i="1"/>
  <c r="AH3556" i="1"/>
  <c r="E3557" i="1"/>
  <c r="K3558" i="1"/>
  <c r="AG3558" i="1"/>
  <c r="AH3558" i="1"/>
  <c r="E3559" i="1"/>
  <c r="K3559" i="1"/>
  <c r="L3559" i="1"/>
  <c r="M3559" i="1"/>
  <c r="N3559" i="1"/>
  <c r="O3559" i="1"/>
  <c r="P3559" i="1"/>
  <c r="Q3559" i="1"/>
  <c r="R3559" i="1"/>
  <c r="S3559" i="1"/>
  <c r="T3559" i="1"/>
  <c r="K3560" i="1"/>
  <c r="L3560" i="1"/>
  <c r="M3560" i="1"/>
  <c r="N3560" i="1"/>
  <c r="O3560" i="1"/>
  <c r="P3560" i="1"/>
  <c r="K3561" i="1"/>
  <c r="L3561" i="1"/>
  <c r="M3561" i="1"/>
  <c r="N3561" i="1"/>
  <c r="K3562" i="1"/>
  <c r="K3563" i="1"/>
  <c r="L3563" i="1"/>
  <c r="M3563" i="1"/>
  <c r="N3563" i="1"/>
  <c r="O3563" i="1"/>
  <c r="K3564" i="1"/>
  <c r="L3564" i="1"/>
  <c r="K3565" i="1"/>
  <c r="K3567" i="1"/>
  <c r="K3568" i="1"/>
  <c r="K3569" i="1"/>
  <c r="AG3569" i="1"/>
  <c r="AH3569" i="1"/>
  <c r="K3570" i="1"/>
  <c r="L3570" i="1"/>
  <c r="AG3570" i="1"/>
  <c r="AH3570" i="1"/>
  <c r="K3571" i="1"/>
  <c r="K3572" i="1"/>
  <c r="K3573" i="1"/>
  <c r="K3574" i="1"/>
  <c r="AF3574" i="1"/>
  <c r="AG3574" i="1"/>
  <c r="AH3574" i="1"/>
  <c r="K3575" i="1"/>
  <c r="K3576" i="1"/>
  <c r="AG3576" i="1"/>
  <c r="AH3576" i="1"/>
  <c r="AG3577" i="1"/>
  <c r="AH3577" i="1"/>
  <c r="AK3577" i="1"/>
  <c r="K3579" i="1"/>
  <c r="AG3580" i="1"/>
  <c r="AH3580" i="1"/>
  <c r="K3581" i="1"/>
  <c r="L3581" i="1"/>
  <c r="M3581" i="1"/>
  <c r="N3581" i="1"/>
  <c r="O3581" i="1"/>
  <c r="P3581" i="1"/>
  <c r="Q3581" i="1"/>
  <c r="E3582" i="1"/>
  <c r="K3582" i="1"/>
  <c r="L3582" i="1"/>
  <c r="M3582" i="1"/>
  <c r="N3582" i="1"/>
  <c r="E3583" i="1"/>
  <c r="K3583" i="1"/>
  <c r="L3583" i="1"/>
  <c r="M3583" i="1"/>
  <c r="K3584" i="1"/>
  <c r="AG3584" i="1"/>
  <c r="AH3584" i="1"/>
  <c r="AI3584" i="1"/>
  <c r="AK3584" i="1"/>
  <c r="K3585" i="1"/>
  <c r="AG3585" i="1"/>
  <c r="AH3585" i="1"/>
  <c r="AK3585" i="1"/>
  <c r="K3586" i="1"/>
  <c r="L3586" i="1"/>
  <c r="AG3586" i="1"/>
  <c r="AH3586" i="1"/>
  <c r="AK3586" i="1"/>
  <c r="K3587" i="1"/>
  <c r="AG3587" i="1"/>
  <c r="AH3587" i="1"/>
  <c r="AK3587" i="1"/>
  <c r="K3588" i="1"/>
  <c r="AG3588" i="1"/>
  <c r="AH3588" i="1"/>
  <c r="AK3588" i="1"/>
  <c r="K3589" i="1"/>
  <c r="AG3589" i="1"/>
  <c r="AH3589" i="1"/>
  <c r="AK3589" i="1"/>
  <c r="K3590" i="1"/>
  <c r="AG3590" i="1"/>
  <c r="AH3590" i="1"/>
  <c r="AK3590" i="1"/>
  <c r="K3591" i="1"/>
  <c r="AG3591" i="1"/>
  <c r="AH3591" i="1"/>
  <c r="AK3591" i="1"/>
  <c r="K3592" i="1"/>
  <c r="AG3592" i="1"/>
  <c r="AH3592" i="1"/>
  <c r="AK3592" i="1"/>
  <c r="K3593" i="1"/>
  <c r="AG3593" i="1"/>
  <c r="AH3593" i="1"/>
  <c r="AK3593" i="1"/>
  <c r="K3594" i="1"/>
  <c r="AG3594" i="1"/>
  <c r="AH3594" i="1"/>
  <c r="AK3594" i="1"/>
  <c r="K3595" i="1"/>
  <c r="AG3595" i="1"/>
  <c r="AH3595" i="1"/>
  <c r="AK3595" i="1"/>
  <c r="K3596" i="1"/>
  <c r="AG3596" i="1"/>
  <c r="AH3596" i="1"/>
  <c r="AK3596" i="1"/>
  <c r="K3597" i="1"/>
  <c r="L3597" i="1"/>
  <c r="AG3599" i="1"/>
  <c r="AH3599" i="1"/>
  <c r="AI3599" i="1"/>
  <c r="AK3599" i="1"/>
  <c r="AG3600" i="1"/>
  <c r="AH3600" i="1"/>
  <c r="AK3600" i="1"/>
  <c r="AG3601" i="1"/>
  <c r="AH3601" i="1"/>
  <c r="AK3601" i="1"/>
  <c r="AG3602" i="1"/>
  <c r="AH3602" i="1"/>
  <c r="AK3602" i="1"/>
  <c r="K3603" i="1"/>
  <c r="AG3604" i="1"/>
  <c r="AH3604" i="1"/>
  <c r="AK3604" i="1"/>
  <c r="AG3605" i="1"/>
  <c r="AH3605" i="1"/>
  <c r="AK3605" i="1"/>
  <c r="AG3606" i="1"/>
  <c r="AH3606" i="1"/>
  <c r="AI3606" i="1"/>
  <c r="AK3606" i="1"/>
  <c r="K3607" i="1"/>
  <c r="AG3607" i="1"/>
  <c r="AH3607" i="1"/>
  <c r="AI3607" i="1"/>
  <c r="AK3607" i="1"/>
  <c r="K3608" i="1"/>
  <c r="L3608" i="1"/>
  <c r="M3608" i="1"/>
  <c r="N3608" i="1"/>
  <c r="AG3608" i="1"/>
  <c r="AH3608" i="1"/>
  <c r="AI3608" i="1"/>
  <c r="AK3608" i="1"/>
  <c r="K3609" i="1"/>
  <c r="AG3609" i="1"/>
  <c r="AH3609" i="1"/>
  <c r="AK3609" i="1"/>
  <c r="AG3610" i="1"/>
  <c r="AH3610" i="1"/>
  <c r="AK3610" i="1"/>
  <c r="AG3611" i="1"/>
  <c r="AH3611" i="1"/>
  <c r="AK3611" i="1"/>
  <c r="K3612" i="1"/>
  <c r="AG3612" i="1"/>
  <c r="AH3612" i="1"/>
  <c r="AI3612" i="1"/>
  <c r="AK3612" i="1"/>
  <c r="K3613" i="1"/>
  <c r="AG3613" i="1"/>
  <c r="AH3613" i="1"/>
  <c r="AK3613" i="1"/>
  <c r="AG3614" i="1"/>
  <c r="AH3614" i="1"/>
  <c r="AI3614" i="1"/>
  <c r="AK3614" i="1"/>
  <c r="K3615" i="1"/>
  <c r="AG3615" i="1"/>
  <c r="AH3615" i="1"/>
  <c r="AI3615" i="1"/>
  <c r="AK3615" i="1"/>
  <c r="AG3616" i="1"/>
  <c r="AH3616" i="1"/>
  <c r="AK3616" i="1"/>
  <c r="AG3617" i="1"/>
  <c r="AH3617" i="1"/>
  <c r="AK3617" i="1"/>
  <c r="AG3618" i="1"/>
  <c r="AH3618" i="1"/>
  <c r="AK3618" i="1"/>
  <c r="K3619" i="1"/>
  <c r="K3620" i="1"/>
  <c r="L3620" i="1"/>
  <c r="K3621" i="1"/>
  <c r="L3621" i="1"/>
  <c r="M3621" i="1"/>
  <c r="N3621" i="1"/>
  <c r="K3622" i="1"/>
  <c r="AG3622" i="1"/>
  <c r="AH3622" i="1"/>
  <c r="AK3622" i="1"/>
  <c r="AG3623" i="1"/>
  <c r="AH3623" i="1"/>
  <c r="AK3623" i="1"/>
  <c r="AG3624" i="1"/>
  <c r="AH3624" i="1"/>
  <c r="AI3624" i="1"/>
  <c r="AK3624" i="1"/>
  <c r="AG3625" i="1"/>
  <c r="AH3625" i="1"/>
  <c r="AI3625" i="1"/>
  <c r="AK3625" i="1"/>
  <c r="AG3626" i="1"/>
  <c r="AH3626" i="1"/>
  <c r="AI3626" i="1"/>
  <c r="AG3627" i="1"/>
  <c r="AH3627" i="1"/>
  <c r="AG3628" i="1"/>
  <c r="AH3628" i="1"/>
  <c r="AK3628" i="1"/>
  <c r="AG3629" i="1"/>
  <c r="AH3629" i="1"/>
  <c r="K3631" i="1"/>
  <c r="AG3632" i="1"/>
  <c r="AH3632" i="1"/>
  <c r="AK3632" i="1"/>
  <c r="AG3633" i="1"/>
  <c r="AH3633" i="1"/>
  <c r="AK3633" i="1"/>
  <c r="AG3634" i="1"/>
  <c r="AH3634" i="1"/>
  <c r="AK3634" i="1"/>
  <c r="K3635" i="1"/>
  <c r="AG3635" i="1"/>
  <c r="AH3635" i="1"/>
  <c r="AK3635" i="1"/>
  <c r="AG3636" i="1"/>
  <c r="AH3636" i="1"/>
  <c r="AK3636" i="1"/>
  <c r="AG3637" i="1"/>
  <c r="AH3637" i="1"/>
  <c r="AK3637" i="1"/>
  <c r="AG3638" i="1"/>
  <c r="AH3638" i="1"/>
  <c r="AI3638" i="1"/>
  <c r="AK3638" i="1"/>
  <c r="K3639" i="1"/>
  <c r="L3639" i="1"/>
  <c r="M3639" i="1"/>
  <c r="N3639" i="1"/>
  <c r="O3639" i="1"/>
  <c r="AG3640" i="1"/>
  <c r="AH3640" i="1"/>
  <c r="AI3640" i="1"/>
  <c r="AK3640" i="1"/>
  <c r="AD3641" i="1"/>
  <c r="K3642" i="1"/>
  <c r="K3643" i="1"/>
  <c r="K3644" i="1"/>
  <c r="K3645" i="1"/>
  <c r="K3646" i="1"/>
  <c r="AG3646" i="1"/>
  <c r="AH3646" i="1"/>
  <c r="AK3646" i="1"/>
  <c r="AG3647" i="1"/>
  <c r="AH3647" i="1"/>
  <c r="AI3647" i="1"/>
  <c r="AK3647" i="1"/>
  <c r="AG3648" i="1"/>
  <c r="AH3648" i="1"/>
  <c r="AK3648" i="1"/>
  <c r="K3649" i="1"/>
  <c r="K3650" i="1"/>
  <c r="AG3650" i="1"/>
  <c r="AH3650" i="1"/>
  <c r="K3651" i="1"/>
  <c r="K3652" i="1"/>
  <c r="AF3652" i="1"/>
  <c r="K3653" i="1"/>
  <c r="AG3653" i="1"/>
  <c r="AH3653" i="1"/>
  <c r="K3654" i="1"/>
  <c r="K3655" i="1"/>
  <c r="L3655" i="1"/>
  <c r="AG3655" i="1"/>
  <c r="AH3655" i="1"/>
  <c r="AI3655" i="1"/>
  <c r="AK3655" i="1"/>
  <c r="E3656" i="1"/>
  <c r="F3656" i="1"/>
  <c r="G3656" i="1"/>
  <c r="H3656" i="1"/>
  <c r="I3656" i="1"/>
  <c r="K3656" i="1"/>
  <c r="L3656" i="1"/>
  <c r="M3656" i="1"/>
  <c r="N3656" i="1"/>
  <c r="O3656" i="1"/>
  <c r="P3656" i="1"/>
  <c r="Q3656" i="1"/>
  <c r="R3656" i="1"/>
  <c r="S3656" i="1"/>
  <c r="T3656" i="1"/>
  <c r="U3656" i="1"/>
  <c r="V3656" i="1"/>
  <c r="W3656" i="1"/>
  <c r="X3656" i="1"/>
  <c r="Y3656" i="1"/>
  <c r="Z3656" i="1"/>
  <c r="AA3656" i="1"/>
  <c r="AB3656" i="1"/>
  <c r="K3657" i="1"/>
  <c r="L3657" i="1"/>
  <c r="K3658" i="1"/>
  <c r="L3658" i="1"/>
  <c r="M3658" i="1"/>
  <c r="N3658" i="1"/>
  <c r="K3659" i="1"/>
  <c r="AG3659" i="1"/>
  <c r="AH3659" i="1"/>
  <c r="AK3659" i="1"/>
  <c r="K3660" i="1"/>
  <c r="AG3660" i="1"/>
  <c r="AH3660" i="1"/>
  <c r="AK3660" i="1"/>
  <c r="K3661" i="1"/>
  <c r="AG3661" i="1"/>
  <c r="AH3661" i="1"/>
  <c r="K3662" i="1"/>
  <c r="AG3662" i="1"/>
  <c r="AH3662" i="1"/>
  <c r="K3663" i="1"/>
  <c r="AG3664" i="1"/>
  <c r="AH3664" i="1"/>
  <c r="AK3664" i="1"/>
  <c r="K3665" i="1"/>
  <c r="AG3665" i="1"/>
  <c r="AH3665" i="1"/>
  <c r="AK3665" i="1"/>
  <c r="K3666" i="1"/>
  <c r="AG3666" i="1"/>
  <c r="AH3666" i="1"/>
  <c r="AK3666" i="1"/>
  <c r="K3667" i="1"/>
  <c r="AG3667" i="1"/>
  <c r="AH3667" i="1"/>
  <c r="AK3667" i="1"/>
  <c r="K3668" i="1"/>
  <c r="AG3668" i="1"/>
  <c r="AH3668" i="1"/>
  <c r="AK3668" i="1"/>
  <c r="AG3669" i="1"/>
  <c r="AH3669" i="1"/>
  <c r="AK3669" i="1"/>
  <c r="K3670" i="1"/>
  <c r="AG3670" i="1"/>
  <c r="AH3670" i="1"/>
  <c r="AK3670" i="1"/>
  <c r="K3671" i="1"/>
  <c r="AG3671" i="1"/>
  <c r="AH3671" i="1"/>
  <c r="AK3671" i="1"/>
  <c r="AG3672" i="1"/>
  <c r="AH3672" i="1"/>
  <c r="AK3672" i="1"/>
  <c r="AG3673" i="1"/>
  <c r="AH3673" i="1"/>
  <c r="AK3673" i="1"/>
  <c r="K3674" i="1"/>
  <c r="AG3674" i="1"/>
  <c r="AH3674" i="1"/>
  <c r="AK3674" i="1"/>
  <c r="K3675" i="1"/>
  <c r="AG3675" i="1"/>
  <c r="AH3675" i="1"/>
  <c r="AK3675" i="1"/>
  <c r="AG3676" i="1"/>
  <c r="AH3676" i="1"/>
  <c r="AK3676" i="1"/>
  <c r="E3677" i="1"/>
  <c r="AG3677" i="1"/>
  <c r="AH3677" i="1"/>
  <c r="AG3678" i="1"/>
  <c r="AH3678" i="1"/>
  <c r="AK3678" i="1"/>
  <c r="AG3679" i="1"/>
  <c r="AH3679" i="1"/>
  <c r="AK3679" i="1"/>
  <c r="AG3680" i="1"/>
  <c r="AI3680" i="1"/>
  <c r="AK3680" i="1"/>
  <c r="AG3681" i="1"/>
  <c r="AH3681" i="1"/>
  <c r="AG3682" i="1"/>
  <c r="AH3682" i="1"/>
  <c r="AK3682" i="1"/>
  <c r="AG3683" i="1"/>
  <c r="AH3683" i="1"/>
  <c r="AK3683" i="1"/>
  <c r="AG3684" i="1"/>
  <c r="AH3684" i="1"/>
  <c r="AK3684" i="1"/>
  <c r="K3685" i="1"/>
  <c r="AG3685" i="1"/>
  <c r="AH3685" i="1"/>
  <c r="AI3685" i="1"/>
  <c r="AK3685" i="1"/>
  <c r="AG3686" i="1"/>
  <c r="AH3686" i="1"/>
  <c r="AK3686" i="1"/>
  <c r="AG3687" i="1"/>
  <c r="AH3687" i="1"/>
  <c r="AK3687" i="1"/>
  <c r="AG3688" i="1"/>
  <c r="AH3688" i="1"/>
  <c r="AK3688" i="1"/>
  <c r="AG3689" i="1"/>
  <c r="AH3689" i="1"/>
  <c r="AK3689" i="1"/>
  <c r="AG3690" i="1"/>
  <c r="AH3690" i="1"/>
  <c r="AK3690" i="1"/>
  <c r="AG3691" i="1"/>
  <c r="AH3691" i="1"/>
  <c r="AK3691" i="1"/>
  <c r="AG3692" i="1"/>
  <c r="AH3692" i="1"/>
  <c r="AK3692" i="1"/>
  <c r="AG3693" i="1"/>
  <c r="AH3693" i="1"/>
  <c r="AK3693" i="1"/>
  <c r="AG3694" i="1"/>
  <c r="AH3694" i="1"/>
  <c r="AG3695" i="1"/>
  <c r="AH3695" i="1"/>
  <c r="AI3695" i="1"/>
  <c r="AK3695" i="1"/>
  <c r="AG3696" i="1"/>
  <c r="AH3696" i="1"/>
  <c r="AK3696" i="1"/>
  <c r="AG3697" i="1"/>
  <c r="AH3697" i="1"/>
  <c r="AK3697" i="1"/>
  <c r="AF3698" i="1"/>
  <c r="AG3699" i="1"/>
  <c r="AH3699" i="1"/>
  <c r="K3700" i="1"/>
  <c r="L3700" i="1"/>
  <c r="M3700" i="1"/>
  <c r="N3700" i="1"/>
  <c r="AG3700" i="1"/>
  <c r="AH3700" i="1"/>
  <c r="AK3700" i="1"/>
  <c r="K3701" i="1"/>
  <c r="L3701" i="1"/>
  <c r="M3701" i="1"/>
  <c r="N3701" i="1"/>
  <c r="O3701" i="1"/>
  <c r="P3701" i="1"/>
  <c r="AG3701" i="1"/>
  <c r="AH3701" i="1"/>
  <c r="AK3701" i="1"/>
  <c r="E3702" i="1"/>
  <c r="F3702" i="1"/>
  <c r="K3702" i="1"/>
  <c r="L3702" i="1"/>
  <c r="M3702" i="1"/>
  <c r="N3702" i="1"/>
  <c r="AG3703" i="1"/>
  <c r="AH3703" i="1"/>
  <c r="AG3704" i="1"/>
  <c r="AH3704" i="1"/>
  <c r="AG3705" i="1"/>
  <c r="AH3705" i="1"/>
  <c r="AK3705" i="1"/>
  <c r="AG3706" i="1"/>
  <c r="AH3706" i="1"/>
  <c r="AK3706" i="1"/>
  <c r="K3707" i="1"/>
  <c r="AG3707" i="1"/>
  <c r="AH3707" i="1"/>
  <c r="AK3707" i="1"/>
  <c r="K3708" i="1"/>
  <c r="K3709" i="1"/>
  <c r="L3709" i="1"/>
  <c r="M3709" i="1"/>
  <c r="N3709" i="1"/>
  <c r="O3709" i="1"/>
  <c r="P3709" i="1"/>
  <c r="Q3709" i="1"/>
  <c r="R3709" i="1"/>
  <c r="S3709" i="1"/>
  <c r="T3709" i="1"/>
  <c r="U3709" i="1"/>
  <c r="V3709" i="1"/>
  <c r="W3709" i="1"/>
  <c r="X3709" i="1"/>
  <c r="Y3709" i="1"/>
  <c r="K3710" i="1"/>
  <c r="L3710" i="1"/>
  <c r="M3710" i="1"/>
  <c r="AG3710" i="1"/>
  <c r="AH3710" i="1"/>
  <c r="AK3710" i="1"/>
  <c r="K3711" i="1"/>
  <c r="L3711" i="1"/>
  <c r="M3711" i="1"/>
  <c r="AG3711" i="1"/>
  <c r="AH3711" i="1"/>
  <c r="AI3711" i="1"/>
  <c r="AK3711" i="1"/>
  <c r="K3712" i="1"/>
  <c r="K3713" i="1"/>
  <c r="K3714" i="1"/>
  <c r="L3714" i="1"/>
  <c r="M3714" i="1"/>
  <c r="N3714" i="1"/>
  <c r="O3714" i="1"/>
  <c r="AG3715" i="1"/>
  <c r="AH3715" i="1"/>
  <c r="AI3715" i="1"/>
  <c r="AK3715" i="1"/>
  <c r="AG3716" i="1"/>
  <c r="AH3716" i="1"/>
  <c r="AK3716" i="1"/>
  <c r="K3717" i="1"/>
  <c r="AG3717" i="1"/>
  <c r="AH3717" i="1"/>
  <c r="AK3717" i="1"/>
  <c r="AG3718" i="1"/>
  <c r="AH3718" i="1"/>
  <c r="AK3718" i="1"/>
  <c r="AG3719" i="1"/>
  <c r="AH3719" i="1"/>
  <c r="AK3719" i="1"/>
  <c r="AG3720" i="1"/>
  <c r="AH3720" i="1"/>
  <c r="AI3720" i="1"/>
  <c r="AK3720" i="1"/>
  <c r="AG3721" i="1"/>
  <c r="AH3721" i="1"/>
  <c r="AI3721" i="1"/>
  <c r="AK3721" i="1"/>
  <c r="AG3722" i="1"/>
  <c r="AH3722" i="1"/>
  <c r="AI3722" i="1"/>
  <c r="AK3722" i="1"/>
  <c r="AG3723" i="1"/>
  <c r="AH3723" i="1"/>
  <c r="AK3723" i="1"/>
  <c r="AG3724" i="1"/>
  <c r="AH3724" i="1"/>
  <c r="AK3724" i="1"/>
  <c r="AG3725" i="1"/>
  <c r="AH3725" i="1"/>
  <c r="AK3725" i="1"/>
  <c r="AG3726" i="1"/>
  <c r="AH3726" i="1"/>
  <c r="AI3726" i="1"/>
  <c r="AK3726" i="1"/>
  <c r="AG3727" i="1"/>
  <c r="AH3727" i="1"/>
  <c r="AI3727" i="1"/>
  <c r="AK3727" i="1"/>
  <c r="AG3728" i="1"/>
  <c r="AH3728" i="1"/>
  <c r="AK3728" i="1"/>
  <c r="AG3729" i="1"/>
  <c r="AH3729" i="1"/>
  <c r="AI3729" i="1"/>
  <c r="AK3729" i="1"/>
  <c r="AG3730" i="1"/>
  <c r="AH3730" i="1"/>
  <c r="AK3730" i="1"/>
  <c r="AG3731" i="1"/>
  <c r="AH3731" i="1"/>
  <c r="AK3731" i="1"/>
  <c r="AG3732" i="1"/>
  <c r="AH3732" i="1"/>
  <c r="AK3732" i="1"/>
  <c r="AG3733" i="1"/>
  <c r="AH3733" i="1"/>
  <c r="AI3733" i="1"/>
  <c r="AK3733" i="1"/>
  <c r="AG3734" i="1"/>
  <c r="AH3734" i="1"/>
  <c r="AK3734" i="1"/>
  <c r="AG3735" i="1"/>
  <c r="AH3735" i="1"/>
  <c r="AK3735" i="1"/>
  <c r="AG3736" i="1"/>
  <c r="AH3736" i="1"/>
  <c r="AK3736" i="1"/>
  <c r="AG3737" i="1"/>
  <c r="AH3737" i="1"/>
  <c r="AK3737" i="1"/>
  <c r="AG3738" i="1"/>
  <c r="AH3738" i="1"/>
  <c r="AK3738" i="1"/>
  <c r="AG3739" i="1"/>
  <c r="AI3739" i="1"/>
  <c r="AK3739" i="1"/>
  <c r="AG3740" i="1"/>
  <c r="AH3740" i="1"/>
  <c r="AK3740" i="1"/>
  <c r="AG3741" i="1"/>
  <c r="AH3741" i="1"/>
  <c r="AK3741" i="1"/>
  <c r="AG3742" i="1"/>
  <c r="AH3742" i="1"/>
  <c r="AK3742" i="1"/>
  <c r="AG3743" i="1"/>
  <c r="AH3743" i="1"/>
  <c r="AK3743" i="1"/>
  <c r="AG3744" i="1"/>
  <c r="AH3744" i="1"/>
  <c r="AK3744" i="1"/>
  <c r="AG3745" i="1"/>
  <c r="AH3745" i="1"/>
  <c r="AK3745" i="1"/>
  <c r="AG3746" i="1"/>
  <c r="AH3746" i="1"/>
  <c r="AK3746" i="1"/>
  <c r="AG3747" i="1"/>
  <c r="AH3747" i="1"/>
  <c r="AI3747" i="1"/>
  <c r="AK3747" i="1"/>
  <c r="AG3748" i="1"/>
  <c r="AH3748" i="1"/>
  <c r="AK3748" i="1"/>
  <c r="AG3749" i="1"/>
  <c r="AH3749" i="1"/>
  <c r="AK3749" i="1"/>
  <c r="AG3750" i="1"/>
  <c r="AH3750" i="1"/>
  <c r="AK3750" i="1"/>
  <c r="AG3751" i="1"/>
  <c r="AH3751" i="1"/>
  <c r="AK3751" i="1"/>
  <c r="K3752" i="1"/>
  <c r="AG3753" i="1"/>
  <c r="AH3753" i="1"/>
  <c r="AK3753" i="1"/>
  <c r="AG3754" i="1"/>
  <c r="AH3754" i="1"/>
  <c r="AK3754" i="1"/>
  <c r="K3755" i="1"/>
  <c r="K3756" i="1"/>
  <c r="AG3757" i="1"/>
  <c r="AH3757" i="1"/>
  <c r="AK3757" i="1"/>
  <c r="K3758" i="1"/>
  <c r="AG3758" i="1"/>
  <c r="AH3758" i="1"/>
  <c r="K3759" i="1"/>
  <c r="E3760" i="1"/>
  <c r="K3760" i="1"/>
  <c r="AG3760" i="1"/>
  <c r="AH3760" i="1"/>
  <c r="K3761" i="1"/>
  <c r="AG3761" i="1"/>
  <c r="AH3761" i="1"/>
  <c r="E3762" i="1"/>
  <c r="K3762" i="1"/>
  <c r="AG3762" i="1"/>
  <c r="AH3762" i="1"/>
  <c r="K3763" i="1"/>
  <c r="L3763" i="1"/>
  <c r="K3764" i="1"/>
  <c r="AG3764" i="1"/>
  <c r="AH3764" i="1"/>
  <c r="K3765" i="1"/>
  <c r="K3766" i="1"/>
  <c r="AG3766" i="1"/>
  <c r="AH3766" i="1"/>
  <c r="AG3767" i="1"/>
  <c r="AH3767" i="1"/>
  <c r="AK3767" i="1"/>
  <c r="K3768" i="1"/>
  <c r="AG3768" i="1"/>
  <c r="AH3768" i="1"/>
  <c r="AK3768" i="1"/>
  <c r="E3770" i="1"/>
  <c r="K3770" i="1"/>
  <c r="L3770" i="1"/>
  <c r="M3770" i="1"/>
  <c r="AG3772" i="1"/>
  <c r="AH3772" i="1"/>
  <c r="AI3772" i="1"/>
  <c r="AK3772" i="1"/>
  <c r="K3773" i="1"/>
  <c r="AG3773" i="1"/>
  <c r="AH3773" i="1"/>
  <c r="AK3773" i="1"/>
  <c r="K3774" i="1"/>
  <c r="AG3774" i="1"/>
  <c r="AH3774" i="1"/>
  <c r="AK3774" i="1"/>
  <c r="K3775" i="1"/>
  <c r="AG3775" i="1"/>
  <c r="AH3775" i="1"/>
  <c r="AI3775" i="1"/>
  <c r="AK3775" i="1"/>
  <c r="AG3776" i="1"/>
  <c r="AH3776" i="1"/>
  <c r="AK3776" i="1"/>
  <c r="AG3777" i="1"/>
  <c r="AH3777" i="1"/>
  <c r="AK3777" i="1"/>
  <c r="AG3778" i="1"/>
  <c r="AH3778" i="1"/>
  <c r="AK3778" i="1"/>
  <c r="K3779" i="1"/>
  <c r="AG3779" i="1"/>
  <c r="AH3779" i="1"/>
  <c r="AI3779" i="1"/>
  <c r="AK3779" i="1"/>
  <c r="AG3780" i="1"/>
  <c r="AH3780" i="1"/>
  <c r="AK3780" i="1"/>
  <c r="AG3781" i="1"/>
  <c r="AH3781" i="1"/>
  <c r="AK3781" i="1"/>
  <c r="AG3782" i="1"/>
  <c r="AH3782" i="1"/>
  <c r="AK3782" i="1"/>
  <c r="K3783" i="1"/>
  <c r="AG3783" i="1"/>
  <c r="AH3783" i="1"/>
  <c r="AI3783" i="1"/>
  <c r="AK3783" i="1"/>
  <c r="AG3784" i="1"/>
  <c r="AH3784" i="1"/>
  <c r="AK3784" i="1"/>
  <c r="K3785" i="1"/>
  <c r="AG3785" i="1"/>
  <c r="AH3785" i="1"/>
  <c r="AK3785" i="1"/>
  <c r="AG3786" i="1"/>
  <c r="AH3786" i="1"/>
  <c r="AI3786" i="1"/>
  <c r="AK3786" i="1"/>
  <c r="K3787" i="1"/>
  <c r="AG3789" i="1"/>
  <c r="AH3789" i="1"/>
  <c r="AK3789" i="1"/>
  <c r="AG3790" i="1"/>
  <c r="AH3790" i="1"/>
  <c r="AK3790" i="1"/>
  <c r="K3791" i="1"/>
  <c r="AG3791" i="1"/>
  <c r="AH3791" i="1"/>
  <c r="AK3791" i="1"/>
  <c r="K3792" i="1"/>
  <c r="AG3792" i="1"/>
  <c r="AH3792" i="1"/>
  <c r="AI3792" i="1"/>
  <c r="AK3792" i="1"/>
  <c r="K3793" i="1"/>
  <c r="K3794" i="1"/>
  <c r="L3794" i="1"/>
  <c r="M3794" i="1"/>
  <c r="N3794" i="1"/>
  <c r="O3794" i="1"/>
  <c r="P3794" i="1"/>
  <c r="Q3794" i="1"/>
  <c r="R3794" i="1"/>
  <c r="K3795" i="1"/>
  <c r="AG3796" i="1"/>
  <c r="AH3796" i="1"/>
  <c r="AI3796" i="1"/>
  <c r="AK3796" i="1"/>
  <c r="K3797" i="1"/>
  <c r="AG3797" i="1"/>
  <c r="AH3797" i="1"/>
  <c r="AK3797" i="1"/>
  <c r="AG3798" i="1"/>
  <c r="AH3798" i="1"/>
  <c r="AK3798" i="1"/>
  <c r="AG3799" i="1"/>
  <c r="AH3799" i="1"/>
  <c r="AK3799" i="1"/>
  <c r="K3800" i="1"/>
  <c r="AG3800" i="1"/>
  <c r="AH3800" i="1"/>
  <c r="K3801" i="1"/>
  <c r="AG3801" i="1"/>
  <c r="AH3801" i="1"/>
  <c r="K3802" i="1"/>
  <c r="L3802" i="1"/>
  <c r="AG3802" i="1"/>
  <c r="AH3802" i="1"/>
  <c r="AK3802" i="1"/>
  <c r="AG3803" i="1"/>
  <c r="AH3803" i="1"/>
  <c r="AI3803" i="1"/>
  <c r="AK3803" i="1"/>
  <c r="K3804" i="1"/>
  <c r="K3805" i="1"/>
  <c r="K3806" i="1"/>
  <c r="AG3806" i="1"/>
  <c r="AH3806" i="1"/>
  <c r="K3807" i="1"/>
  <c r="AG3807" i="1"/>
  <c r="AH3807" i="1"/>
  <c r="K3808" i="1"/>
  <c r="AG3808" i="1"/>
  <c r="AH3808" i="1"/>
  <c r="AG3809" i="1"/>
  <c r="AH3809" i="1"/>
  <c r="AK3809" i="1"/>
  <c r="K3810" i="1"/>
  <c r="L3810" i="1"/>
  <c r="AG3810" i="1"/>
  <c r="AH3810" i="1"/>
  <c r="AK3810" i="1"/>
  <c r="K3811" i="1"/>
  <c r="AG3811" i="1"/>
  <c r="AH3811" i="1"/>
  <c r="AK3811" i="1"/>
  <c r="AG3812" i="1"/>
  <c r="AH3812" i="1"/>
  <c r="AK3812" i="1"/>
  <c r="AG3813" i="1"/>
  <c r="AH3813" i="1"/>
  <c r="AK3813" i="1"/>
  <c r="AG3814" i="1"/>
  <c r="AH3814" i="1"/>
  <c r="AK3814" i="1"/>
  <c r="AG3815" i="1"/>
  <c r="AH3815" i="1"/>
  <c r="AK3815" i="1"/>
  <c r="AG3816" i="1"/>
  <c r="AH3816" i="1"/>
  <c r="AK3816" i="1"/>
  <c r="AG3817" i="1"/>
  <c r="AH3817" i="1"/>
  <c r="AI3817" i="1"/>
  <c r="AK3817" i="1"/>
  <c r="AG3818" i="1"/>
  <c r="AH3818" i="1"/>
  <c r="AI3818" i="1"/>
  <c r="AK3818" i="1"/>
  <c r="AG3819" i="1"/>
  <c r="AH3819" i="1"/>
  <c r="AI3819" i="1"/>
  <c r="AK3819" i="1"/>
  <c r="E3821" i="1"/>
  <c r="AF3821" i="1"/>
  <c r="K3822" i="1"/>
  <c r="AG3822" i="1"/>
  <c r="AH3822" i="1"/>
  <c r="AI3822" i="1"/>
  <c r="AK3822" i="1"/>
  <c r="K3823" i="1"/>
  <c r="AG3823" i="1"/>
  <c r="AH3823" i="1"/>
  <c r="AK3823" i="1"/>
  <c r="AG3824" i="1"/>
  <c r="AH3824" i="1"/>
  <c r="AK3824" i="1"/>
  <c r="K3825" i="1"/>
  <c r="K3826" i="1"/>
  <c r="K3827" i="1"/>
  <c r="AG3828" i="1"/>
  <c r="AH3828" i="1"/>
  <c r="AK3828" i="1"/>
  <c r="K3829" i="1"/>
  <c r="AG3830" i="1"/>
  <c r="AH3830" i="1"/>
  <c r="AK3830" i="1"/>
  <c r="K3831" i="1"/>
  <c r="L3831" i="1"/>
  <c r="M3831" i="1"/>
  <c r="N3831" i="1"/>
  <c r="O3831" i="1"/>
  <c r="P3831" i="1"/>
  <c r="Q3831" i="1"/>
  <c r="R3831" i="1"/>
  <c r="S3831" i="1"/>
  <c r="T3831" i="1"/>
  <c r="U3831" i="1"/>
  <c r="V3831" i="1"/>
  <c r="W3831" i="1"/>
  <c r="AI3832" i="1"/>
  <c r="K3833" i="1"/>
  <c r="L3833" i="1"/>
  <c r="M3833" i="1"/>
  <c r="N3833" i="1"/>
  <c r="O3833" i="1"/>
  <c r="P3833" i="1"/>
  <c r="Q3833" i="1"/>
  <c r="R3833" i="1"/>
  <c r="S3833" i="1"/>
  <c r="AG3834" i="1"/>
  <c r="AH3834" i="1"/>
  <c r="AK3834" i="1"/>
  <c r="K3835" i="1"/>
  <c r="AG3835" i="1"/>
  <c r="AH3835" i="1"/>
  <c r="K3836" i="1"/>
  <c r="K3837" i="1"/>
  <c r="L3837" i="1"/>
  <c r="K3838" i="1"/>
  <c r="K3839" i="1"/>
  <c r="L3839" i="1"/>
  <c r="K3841" i="1"/>
  <c r="K3842" i="1"/>
  <c r="L3842" i="1"/>
  <c r="K3843" i="1"/>
  <c r="L3843" i="1"/>
  <c r="K3845" i="1"/>
  <c r="K3846" i="1"/>
  <c r="AG3846" i="1"/>
  <c r="AH3846" i="1"/>
  <c r="K3847" i="1"/>
  <c r="K3848" i="1"/>
  <c r="K3849" i="1"/>
  <c r="K3850" i="1"/>
  <c r="AG3855" i="1"/>
  <c r="AH3855" i="1"/>
  <c r="AG3856" i="1"/>
  <c r="AH3856" i="1"/>
  <c r="K3857" i="1"/>
  <c r="K3859" i="1"/>
  <c r="L3859" i="1"/>
  <c r="M3859" i="1"/>
  <c r="E3860" i="1"/>
  <c r="F3860" i="1"/>
  <c r="G3860" i="1"/>
  <c r="AG3861" i="1"/>
  <c r="AH3861" i="1"/>
  <c r="AI3861" i="1"/>
  <c r="AK3861" i="1"/>
  <c r="K3862" i="1"/>
  <c r="AG3862" i="1"/>
  <c r="AH3862" i="1"/>
  <c r="AI3862" i="1"/>
  <c r="AK3862" i="1"/>
  <c r="AG3863" i="1"/>
  <c r="AH3863" i="1"/>
  <c r="AI3863" i="1"/>
  <c r="AK3863" i="1"/>
  <c r="K3864" i="1"/>
  <c r="AG3865" i="1"/>
  <c r="AH3865" i="1"/>
  <c r="K3866" i="1"/>
  <c r="AG3866" i="1"/>
  <c r="AH3866" i="1"/>
  <c r="K3867" i="1"/>
  <c r="AF3869" i="1"/>
  <c r="K3871" i="1"/>
  <c r="K3873" i="1"/>
  <c r="L3873" i="1"/>
  <c r="K3874" i="1"/>
  <c r="K3875" i="1"/>
  <c r="AG3875" i="1"/>
  <c r="AH3875" i="1"/>
  <c r="K3876" i="1"/>
  <c r="AG3876" i="1"/>
  <c r="AH3876" i="1"/>
  <c r="K3877" i="1"/>
  <c r="AG3877" i="1"/>
  <c r="AH3877" i="1"/>
  <c r="K3878" i="1"/>
  <c r="AG3878" i="1"/>
  <c r="AH3878" i="1"/>
  <c r="AG3879" i="1"/>
  <c r="AH3879" i="1"/>
  <c r="K3880" i="1"/>
  <c r="AG3880" i="1"/>
  <c r="AH3880" i="1"/>
  <c r="K3881" i="1"/>
  <c r="AG3881" i="1"/>
  <c r="AH3881" i="1"/>
  <c r="K3882" i="1"/>
  <c r="L3882" i="1"/>
  <c r="K3883" i="1"/>
  <c r="K3884" i="1"/>
  <c r="L3884" i="1"/>
  <c r="M3884" i="1"/>
  <c r="N3884" i="1"/>
  <c r="O3884" i="1"/>
  <c r="K3885" i="1"/>
  <c r="L3885" i="1"/>
  <c r="K3886" i="1"/>
  <c r="L3886" i="1"/>
  <c r="K3887" i="1"/>
  <c r="K3888" i="1"/>
  <c r="E3889" i="1"/>
  <c r="F3889" i="1"/>
  <c r="K3889" i="1"/>
  <c r="L3889" i="1"/>
  <c r="M3889" i="1"/>
  <c r="N3889" i="1"/>
  <c r="O3889" i="1"/>
  <c r="P3889" i="1"/>
  <c r="K3890" i="1"/>
  <c r="L3890" i="1"/>
  <c r="M3890" i="1"/>
  <c r="N3890" i="1"/>
  <c r="O3890" i="1"/>
  <c r="P3890" i="1"/>
  <c r="Q3890" i="1"/>
  <c r="K3891" i="1"/>
  <c r="L3891" i="1"/>
  <c r="K3892" i="1"/>
  <c r="AG3892" i="1"/>
  <c r="AH3892" i="1"/>
  <c r="AI3892" i="1"/>
  <c r="AK3892" i="1"/>
  <c r="AG3893" i="1"/>
  <c r="AH3893" i="1"/>
  <c r="AI3893" i="1"/>
  <c r="AK3893" i="1"/>
  <c r="K3894" i="1"/>
  <c r="L3894" i="1"/>
  <c r="M3894" i="1"/>
  <c r="N3894" i="1"/>
  <c r="O3894" i="1"/>
  <c r="P3894" i="1"/>
  <c r="Q3894" i="1"/>
  <c r="R3894" i="1"/>
  <c r="S3894" i="1"/>
  <c r="T3894" i="1"/>
  <c r="AG3894" i="1"/>
  <c r="AH3894" i="1"/>
  <c r="AI3894" i="1"/>
  <c r="AK3894" i="1"/>
  <c r="AI3895" i="1"/>
  <c r="AK3895" i="1"/>
  <c r="AG3896" i="1"/>
  <c r="AH3896" i="1"/>
  <c r="AK3896" i="1"/>
  <c r="AG3897" i="1"/>
  <c r="AH3897" i="1"/>
  <c r="AI3897" i="1"/>
  <c r="AK3897" i="1"/>
  <c r="K3898" i="1"/>
  <c r="L3898" i="1"/>
  <c r="AG3898" i="1"/>
  <c r="AH3898" i="1"/>
  <c r="K3899" i="1"/>
  <c r="L3899" i="1"/>
  <c r="M3899" i="1"/>
  <c r="N3899" i="1"/>
  <c r="O3899" i="1"/>
  <c r="P3899" i="1"/>
  <c r="Q3899" i="1"/>
  <c r="R3899" i="1"/>
  <c r="S3899" i="1"/>
  <c r="T3899" i="1"/>
  <c r="U3899" i="1"/>
  <c r="V3899" i="1"/>
  <c r="W3899" i="1"/>
  <c r="X3899" i="1"/>
  <c r="Y3899" i="1"/>
  <c r="AH3899" i="1"/>
  <c r="AI3899" i="1"/>
  <c r="K3900" i="1"/>
  <c r="AG3900" i="1"/>
  <c r="AH3900" i="1"/>
  <c r="K3901" i="1"/>
  <c r="L3901" i="1"/>
  <c r="AG3901" i="1"/>
  <c r="AH3901" i="1"/>
  <c r="K3902" i="1"/>
  <c r="L3902" i="1"/>
  <c r="M3902" i="1"/>
  <c r="AG3902" i="1"/>
  <c r="AH3902" i="1"/>
  <c r="K3903" i="1"/>
  <c r="L3903" i="1"/>
  <c r="M3903" i="1"/>
  <c r="AF3903" i="1"/>
  <c r="AG3903" i="1"/>
  <c r="AH3903" i="1"/>
  <c r="AK3903" i="1"/>
  <c r="K3904" i="1"/>
  <c r="L3904" i="1"/>
  <c r="M3904" i="1"/>
  <c r="K3905" i="1"/>
  <c r="L3905" i="1"/>
  <c r="K3906" i="1"/>
  <c r="K3907" i="1"/>
  <c r="AF3907" i="1"/>
  <c r="K3908" i="1"/>
  <c r="L3908" i="1"/>
  <c r="M3908" i="1"/>
  <c r="N3908" i="1"/>
  <c r="K3909" i="1"/>
  <c r="L3909" i="1"/>
  <c r="M3909" i="1"/>
  <c r="K3910" i="1"/>
  <c r="L3910" i="1"/>
  <c r="M3910" i="1"/>
  <c r="N3910" i="1"/>
  <c r="K3911" i="1"/>
  <c r="L3911" i="1"/>
  <c r="M3911" i="1"/>
  <c r="K3912" i="1"/>
  <c r="L3912" i="1"/>
  <c r="M3912" i="1"/>
  <c r="AG3912" i="1"/>
  <c r="AH3912" i="1"/>
  <c r="K3913" i="1"/>
  <c r="L3913" i="1"/>
  <c r="K3914" i="1"/>
  <c r="L3914" i="1"/>
  <c r="M3914" i="1"/>
  <c r="N3914" i="1"/>
  <c r="O3914" i="1"/>
  <c r="P3914" i="1"/>
  <c r="AG3914" i="1"/>
  <c r="AH3914" i="1"/>
  <c r="E3915" i="1"/>
  <c r="K3916" i="1"/>
  <c r="L3916" i="1"/>
  <c r="M3916" i="1"/>
  <c r="N3916" i="1"/>
  <c r="O3916" i="1"/>
  <c r="P3916" i="1"/>
  <c r="Q3916" i="1"/>
  <c r="R3916" i="1"/>
  <c r="S3916" i="1"/>
  <c r="T3916" i="1"/>
  <c r="AG3916" i="1"/>
  <c r="AH3916" i="1"/>
  <c r="AI3916" i="1"/>
  <c r="AK3916" i="1"/>
  <c r="K3917" i="1"/>
  <c r="AG3917" i="1"/>
  <c r="AH3917" i="1"/>
  <c r="K3918" i="1"/>
  <c r="AG3918" i="1"/>
  <c r="AH3918" i="1"/>
  <c r="K3919" i="1"/>
  <c r="L3919" i="1"/>
  <c r="M3919" i="1"/>
  <c r="AG3919" i="1"/>
  <c r="AH3919" i="1"/>
  <c r="AI3919" i="1"/>
  <c r="AK3919" i="1"/>
  <c r="K3920" i="1"/>
  <c r="L3920" i="1"/>
  <c r="M3920" i="1"/>
  <c r="N3920" i="1"/>
  <c r="AG3920" i="1"/>
  <c r="AH3920" i="1"/>
  <c r="K3921" i="1"/>
  <c r="L3921" i="1"/>
  <c r="M3921" i="1"/>
  <c r="AG3921" i="1"/>
  <c r="AH3921" i="1"/>
  <c r="K3922" i="1"/>
  <c r="L3922" i="1"/>
  <c r="K3923" i="1"/>
  <c r="K3924" i="1"/>
  <c r="AF3924" i="1"/>
  <c r="K3925" i="1"/>
  <c r="L3925" i="1"/>
  <c r="K3926" i="1"/>
  <c r="L3926" i="1"/>
  <c r="AG3926" i="1"/>
  <c r="AH3926" i="1"/>
  <c r="K3927" i="1"/>
  <c r="L3927" i="1"/>
  <c r="M3927" i="1"/>
  <c r="AG3927" i="1"/>
  <c r="AH3927" i="1"/>
  <c r="K3928" i="1"/>
  <c r="L3928" i="1"/>
  <c r="K3929" i="1"/>
  <c r="K3930" i="1"/>
  <c r="AG3930" i="1"/>
  <c r="AH3930" i="1"/>
  <c r="K3931" i="1"/>
  <c r="L3931" i="1"/>
  <c r="M3931" i="1"/>
  <c r="AG3931" i="1"/>
  <c r="AH3931" i="1"/>
  <c r="AI3931" i="1"/>
  <c r="K3932" i="1"/>
  <c r="L3932" i="1"/>
  <c r="AF3932" i="1"/>
  <c r="AG3932" i="1"/>
  <c r="AH3932" i="1"/>
  <c r="E3933" i="1"/>
  <c r="K3933" i="1"/>
  <c r="L3933" i="1"/>
  <c r="M3933" i="1"/>
  <c r="N3933" i="1"/>
  <c r="O3933" i="1"/>
  <c r="P3933" i="1"/>
  <c r="Q3933" i="1"/>
  <c r="R3933" i="1"/>
  <c r="AG3933" i="1"/>
  <c r="AH3933" i="1"/>
  <c r="E3934" i="1"/>
  <c r="K3934" i="1"/>
  <c r="L3934" i="1"/>
  <c r="M3934" i="1"/>
  <c r="N3934" i="1"/>
  <c r="O3934" i="1"/>
  <c r="P3934" i="1"/>
  <c r="Q3934" i="1"/>
  <c r="E3935" i="1"/>
  <c r="K3935" i="1"/>
  <c r="L3935" i="1"/>
  <c r="M3935" i="1"/>
  <c r="N3935" i="1"/>
  <c r="K3936" i="1"/>
  <c r="K3937" i="1"/>
  <c r="L3937" i="1"/>
  <c r="M3937" i="1"/>
  <c r="K3938" i="1"/>
  <c r="L3938" i="1"/>
  <c r="K3939" i="1"/>
  <c r="K3940" i="1"/>
  <c r="L3940" i="1"/>
  <c r="M3940" i="1"/>
  <c r="N3940" i="1"/>
  <c r="AG3940" i="1"/>
  <c r="AH3940" i="1"/>
  <c r="AK3940" i="1"/>
  <c r="K3941" i="1"/>
  <c r="AG3941" i="1"/>
  <c r="AH3941" i="1"/>
  <c r="AI3941" i="1"/>
  <c r="AK3941" i="1"/>
  <c r="K3942" i="1"/>
  <c r="AG3942" i="1"/>
  <c r="AH3942" i="1"/>
  <c r="K3943" i="1"/>
  <c r="L3943" i="1"/>
  <c r="M3943" i="1"/>
  <c r="N3943" i="1"/>
  <c r="AG3943" i="1"/>
  <c r="AH3943" i="1"/>
  <c r="AG3944" i="1"/>
  <c r="AH3944" i="1"/>
  <c r="E3945" i="1"/>
  <c r="K3946" i="1"/>
  <c r="L3946" i="1"/>
  <c r="M3946" i="1"/>
  <c r="N3946" i="1"/>
  <c r="E3947" i="1"/>
  <c r="F3947" i="1"/>
  <c r="K3947" i="1"/>
  <c r="K3948" i="1"/>
  <c r="L3948" i="1"/>
  <c r="AG3948" i="1"/>
  <c r="AH3948" i="1"/>
  <c r="AK3948" i="1"/>
  <c r="K3949" i="1"/>
  <c r="L3949" i="1"/>
  <c r="K3950" i="1"/>
  <c r="L3950" i="1"/>
  <c r="M3950" i="1"/>
  <c r="K3951" i="1"/>
  <c r="L3951" i="1"/>
  <c r="K3952" i="1"/>
  <c r="L3952" i="1"/>
  <c r="M3952" i="1"/>
  <c r="K3953" i="1"/>
  <c r="AG3954" i="1"/>
  <c r="AH3954" i="1"/>
  <c r="AK3954" i="1"/>
  <c r="K3955" i="1"/>
  <c r="AG3955" i="1"/>
  <c r="AH3955" i="1"/>
  <c r="AI3955" i="1"/>
  <c r="AK3955" i="1"/>
  <c r="AG3956" i="1"/>
  <c r="AH3956" i="1"/>
  <c r="AK3956" i="1"/>
  <c r="E3957" i="1"/>
  <c r="F3957" i="1"/>
  <c r="K3957" i="1"/>
  <c r="L3957" i="1"/>
  <c r="M3957" i="1"/>
  <c r="N3957" i="1"/>
  <c r="O3957" i="1"/>
  <c r="P3957" i="1"/>
  <c r="Q3957" i="1"/>
  <c r="R3957" i="1"/>
  <c r="K3958" i="1"/>
  <c r="E3959" i="1"/>
  <c r="K3959" i="1"/>
  <c r="L3959" i="1"/>
  <c r="M3959" i="1"/>
  <c r="N3959" i="1"/>
  <c r="O3959" i="1"/>
  <c r="P3959" i="1"/>
  <c r="Q3959" i="1"/>
  <c r="AG3959" i="1"/>
  <c r="AH3959" i="1"/>
  <c r="AI3959" i="1"/>
  <c r="AK3959" i="1"/>
  <c r="E3960" i="1"/>
  <c r="K3960" i="1"/>
  <c r="L3960" i="1"/>
  <c r="M3960" i="1"/>
  <c r="N3960" i="1"/>
  <c r="O3960" i="1"/>
  <c r="P3960" i="1"/>
  <c r="Q3960" i="1"/>
  <c r="R3960" i="1"/>
  <c r="S3960" i="1"/>
  <c r="T3960" i="1"/>
  <c r="U3960" i="1"/>
  <c r="V3960" i="1"/>
  <c r="W3960" i="1"/>
  <c r="E3961" i="1"/>
  <c r="K3961" i="1"/>
  <c r="L3961" i="1"/>
  <c r="M3961" i="1"/>
  <c r="N3961" i="1"/>
  <c r="E3962" i="1"/>
  <c r="K3962" i="1"/>
  <c r="L3962" i="1"/>
  <c r="M3962" i="1"/>
  <c r="N3962" i="1"/>
  <c r="O3962" i="1"/>
  <c r="P3962" i="1"/>
  <c r="Q3962" i="1"/>
  <c r="R3962" i="1"/>
  <c r="K3963" i="1"/>
  <c r="L3963" i="1"/>
  <c r="M3963" i="1"/>
  <c r="K3964" i="1"/>
  <c r="K3965" i="1"/>
  <c r="K3966" i="1"/>
  <c r="AG3966" i="1"/>
  <c r="AH3966" i="1"/>
  <c r="AI3966" i="1"/>
  <c r="AK3966" i="1"/>
  <c r="K3967" i="1"/>
  <c r="L3967" i="1"/>
  <c r="AG3967" i="1"/>
  <c r="AH3967" i="1"/>
  <c r="K3968" i="1"/>
  <c r="L3968" i="1"/>
  <c r="K3969" i="1"/>
  <c r="L3969" i="1"/>
  <c r="M3969" i="1"/>
  <c r="E3970" i="1"/>
  <c r="K3970" i="1"/>
  <c r="AG3970" i="1"/>
  <c r="AH3970" i="1"/>
  <c r="K3971" i="1"/>
  <c r="L3971" i="1"/>
  <c r="M3971" i="1"/>
  <c r="N3971" i="1"/>
  <c r="O3971" i="1"/>
  <c r="P3971" i="1"/>
  <c r="Q3971" i="1"/>
  <c r="R3971" i="1"/>
  <c r="K3972" i="1"/>
  <c r="L3972" i="1"/>
  <c r="M3972" i="1"/>
  <c r="AG3972" i="1"/>
  <c r="AH3972" i="1"/>
  <c r="K3973" i="1"/>
  <c r="E3974" i="1"/>
  <c r="E3975" i="1"/>
  <c r="AG3976" i="1"/>
  <c r="AH3976" i="1"/>
  <c r="AK3976" i="1"/>
</calcChain>
</file>

<file path=xl/sharedStrings.xml><?xml version="1.0" encoding="utf-8"?>
<sst xmlns="http://schemas.openxmlformats.org/spreadsheetml/2006/main" count="15883" uniqueCount="12421">
  <si>
    <t xml:space="preserve"> 9000-01-5</t>
  </si>
  <si>
    <t xml:space="preserve"> ACACIA, GUM (ACACIA SENEGAL (L.) WILLD.)</t>
  </si>
  <si>
    <t xml:space="preserve"> &amp;diams; ACACIA&lt;br /&gt;&amp;diams; GUM ARABIC&lt;br /&gt;&amp;diams; ACACIA GUM&lt;br /&gt;&amp;diams; ARABIC GUM&lt;br /&gt;&amp;diams; GUM ACACIA</t>
  </si>
  <si>
    <t xml:space="preserve"> EMULSIFIER OR EMULSIFIER SALT,&lt;br /&gt; FLAVOR ENHANCER,&lt;br /&gt; FORMULATION AID,&lt;br /&gt; PROCESSING AID,&lt;br /&gt; PROPELLANT,&lt;br /&gt; SOLVENT OR VEHICLE,&lt;br /&gt; STABILIZER OR THICKENER,&lt;br /&gt; SURFACE-ACTIVE AGENT,&lt;br /&gt; TEXTURIZER</t>
  </si>
  <si>
    <t xml:space="preserve"> 879496-95-4</t>
  </si>
  <si>
    <t xml:space="preserve"> ACAI BERRY EXTRACT</t>
  </si>
  <si>
    <t xml:space="preserve"> &amp;diams; ACAI BERRY EXTRACT&lt;br /&gt;&amp;diams; euterpe oleracea, ext.</t>
  </si>
  <si>
    <t xml:space="preserve"> FLAVORING AGENT OR ADJUVANT</t>
  </si>
  <si>
    <t xml:space="preserve"> 55589-62-3</t>
  </si>
  <si>
    <t xml:space="preserve"> ACESULFAME POTASSIUM</t>
  </si>
  <si>
    <t xml:space="preserve"> &amp;diams; POTASSIUM ACESULFAME&lt;br /&gt;&amp;diams; ACESULFAME K&lt;br /&gt;&amp;diams; POTASSIUM 6-METHYL-1,2,3-OXATHIAZIN-4(3H)-ONE 2,2-DIOXIDE&lt;br /&gt;&amp;diams; ACESULFAME POTASSIUM&lt;br /&gt;&amp;diams; 1,2,3-OXATHIAZIN-4(3H)-ONE, 6-METHYL-, 2,2-DIOXIDE, POTASSIUM SALT&lt;br /&gt;&amp;diams; ACESULFAME-K&lt;br /&gt;&amp;diams; ACESULFAM-K</t>
  </si>
  <si>
    <t xml:space="preserve"> NON-NUTRITIVE SWEETENER</t>
  </si>
  <si>
    <t xml:space="preserve"> 105-57-7</t>
  </si>
  <si>
    <t xml:space="preserve"> ACETAL</t>
  </si>
  <si>
    <t xml:space="preserve"> &amp;diams; ACETAL&lt;br /&gt;&amp;diams; 1,1-DIETHOXYETHANE&lt;br /&gt;&amp;diams; DIETHYL ACETAL ACETALDEHYDE&lt;br /&gt;&amp;diams; ACETALDEHYDE DIETHYL ACETAL&lt;br /&gt;&amp;diams; ETHYLIDENE DIETHYL ETHER&lt;br /&gt;&amp;diams; ETHANE, 1,1-DIETHOXY-&lt;br /&gt;&amp;diams; ACETALDEHYDE, DIETHYL ACETAL</t>
  </si>
  <si>
    <t xml:space="preserve"> FLAVOR ENHANCER,&lt;br /&gt; FLAVORING AGENT OR ADJUVANT</t>
  </si>
  <si>
    <t xml:space="preserve"> 75-07-0</t>
  </si>
  <si>
    <t xml:space="preserve"> ACETALDEHYDE</t>
  </si>
  <si>
    <t xml:space="preserve"> &amp;diams; ACETALDEHYDE&lt;br /&gt;&amp;diams; ACETIC ALDEHYDE&lt;br /&gt;&amp;diams; ETHANAL&lt;br /&gt;&amp;diams; ACETIC ETHANOL&lt;br /&gt;&amp;diams; ETHYL ALDEHYDE</t>
  </si>
  <si>
    <t xml:space="preserve"> 64577-91-9</t>
  </si>
  <si>
    <t xml:space="preserve"> ACETALDEHYDE, BUTYL PHENETHYL ACETAL</t>
  </si>
  <si>
    <t xml:space="preserve"> &amp;diams; ACETALDEHYDE BUTYL PHENETHYL ACETAL&lt;br /&gt;&amp;diams; BENZENE, (2-(1-BUTOXYETHOXY)ETHYL)-&lt;br /&gt;&amp;diams; (2-(1-BUTOXYETHOXY)ETHYL)BENZENE&lt;br /&gt;&amp;diams; 2-BUTOXY-2-PHENYLETHOXYETHANE</t>
  </si>
  <si>
    <t xml:space="preserve"> 63449-64-9</t>
  </si>
  <si>
    <t xml:space="preserve"> ACETALDEHYDE DI-CIS-3-HEXENYL ACETAL</t>
  </si>
  <si>
    <t xml:space="preserve"> &amp;diams; ACETALDEHYDE DI-CIS-3-HEXENYL ACETAL&lt;br /&gt;&amp;diams; 3-hexene, 1,1'-(ethylidenebis(oxy))bis-, (3Z,3'Z)-&lt;br /&gt;&amp;diams; 1,1'-(ethylidenebis(oxy))bis(3-hexene), (3Z,3'Z)-&lt;br /&gt;&amp;diams; 1,1'-(ethylidenebis(oxy))bis(3-hexene), (Z,Z)-&lt;br /&gt;&amp;diams; InChI=1S/C14H26O2/c1-4-6-8-10-12-15-14(3)16-13-11-9-7-5-2/h6-9,14H,4-5,10-13H2,1-3H3/b8-6-,9-7-&lt;br /&gt;&amp;diams; InChIKey: KCPFRJBAXWUXIG-VRHVFUOLSA-N</t>
  </si>
  <si>
    <t xml:space="preserve"> 13002-09-0</t>
  </si>
  <si>
    <t xml:space="preserve"> ACETALDEHYDE DIISOAMYL ACETAL</t>
  </si>
  <si>
    <t xml:space="preserve"> &amp;diams; ACETALDEHYDE DIISOAMYL ACETAL&lt;br /&gt;&amp;diams; butane, 1,1'-(ethylidenebis(oxy))bis(3-methyl-&lt;br /&gt;&amp;diams; acetaldehyde, diisopentyl acetal&lt;br /&gt;&amp;diams; 1,1-bis(isopentyloxy)ethane&lt;br /&gt;&amp;diams; 3-methyl-1-(1-(3-methylbutoxy)ethoxy)butane</t>
  </si>
  <si>
    <t xml:space="preserve"> 5669-09-0</t>
  </si>
  <si>
    <t xml:space="preserve"> ACETALDEHYDE DI-ISOBUTYLACETAL</t>
  </si>
  <si>
    <t xml:space="preserve"> &amp;diams; ACETALDEHYDE DI-ISOBUTYLACETAL&lt;br /&gt;&amp;diams; propane,1,1'-(ethylidenebis(oxy))bis(2-methyl-&lt;br /&gt;&amp;diams; 1,1'-(ethylidenebis(oxy))bis(2-methylpropane)&lt;br /&gt;&amp;diams; acetaldehyde, diisobutyl acetal&lt;br /&gt;&amp;diams; ethane,1,1-diisobutoxy-&lt;br /&gt;&amp;diams; 1,1-diisobutoxyethane&lt;br /&gt;&amp;diams; InChI=1S/C10H22O2/c1-8(2)6-11-10(5)12-7-9(3)4/h8-10H,6-7H2,1-5H3&lt;br /&gt;&amp;diams; InChIKey: KIELJSVPUISYCI-UHFFFAOYSA-N</t>
  </si>
  <si>
    <t xml:space="preserve"> 28069-74-1</t>
  </si>
  <si>
    <t xml:space="preserve"> ACETALDEHYDE ETHYL CIS-3-HEXENYL ACETAL</t>
  </si>
  <si>
    <t xml:space="preserve"> &amp;diams; ACETALDEHYDE ETHYL CIS-3-HEXENYL ACETAL&lt;br /&gt;&amp;diams; ACETALDEHYDE, ETHYL 3-HEXENYL ACETAL, (Z)-&lt;br /&gt;&amp;diams; ETHYL CIS-3-HEXENYL ACETAL&lt;br /&gt;&amp;diams; ETHANE, 1-ETHOXY-1-(3-HEXENYLOXY)-, (Z)-&lt;br /&gt;&amp;diams; 3-HEXENE, 1-(1-ETHOXYETHOXY)-, (Z)-&lt;br /&gt;&amp;diams; 1-(1-ETHOXYETHOXY)-3-HEXENE, (Z)-&lt;br /&gt;&amp;diams; 1-ETHOXY-1-(3-HEXENYLOXY)ETHANE, (Z)-</t>
  </si>
  <si>
    <t xml:space="preserve"> 6986-51-2</t>
  </si>
  <si>
    <t xml:space="preserve"> ACETALDEHYDE ETHYL ISOBUTYL ACETAL</t>
  </si>
  <si>
    <t xml:space="preserve"> &amp;diams; ACETALDEHYDE ETHYL ISOBUTYL ACETAL&lt;br /&gt;&amp;diams; propane, 1-(1-ethoxyethoxy)-2-methyl-&lt;br /&gt;&amp;diams; 1-(1-ethoxyethoxy)-2-methylpropane&lt;br /&gt;&amp;diams; acetaldehyde, ethyl isobutyl acetal&lt;br /&gt;&amp;diams; ethane, 1-ethoxy-1-isobutoxy-&lt;br /&gt;&amp;diams; 1-ethoxy-1-isobutoxyethane&lt;br /&gt;&amp;diams; InChI=1S/C8H18O2/c1-5-9-8(4)10-6-7(2)3/h7-8H,5-6H2,1-4H3&lt;br /&gt;&amp;diams; InChIKey: YEKSEJHZJGHKBN-UHFFFAOYSA-N</t>
  </si>
  <si>
    <t xml:space="preserve"> 25334-93-4</t>
  </si>
  <si>
    <t xml:space="preserve"> (+/-)-ACETALDEHYDE ETHYL ISOPROPYL ACETAL</t>
  </si>
  <si>
    <t xml:space="preserve"> &amp;diams; 2-(1-ETHOXY)ETHOXYPROPANE&lt;br /&gt;&amp;diams; propane, 2-(1-ethoxyethoxy)-&lt;br /&gt;&amp;diams; 2-(1-ethoxyethoxy)propane&lt;br /&gt;&amp;diams; acetaldehyde, ethyl isopropyl acetal&lt;br /&gt;&amp;diams; ethyl isopropyl acetal acetaldehyde&lt;br /&gt;&amp;diams; ethane, 1-ethoxy-1-isopropoxy&lt;br /&gt;&amp;diams; 1-ethoxy-1-isopropoxyethane&lt;br /&gt;&amp;diams; acetaldehyde ethyl isopropyl acetal</t>
  </si>
  <si>
    <t xml:space="preserve"> 233665-90-2</t>
  </si>
  <si>
    <t xml:space="preserve"> ACETALDEHYDE HEXYL ISOAMYL ACETAL</t>
  </si>
  <si>
    <t xml:space="preserve"> &amp;diams; ACETALDEHYDE HEXYL ISOAMYL ACETAL&lt;br /&gt;&amp;diams; hexane, 1-(1-(3-methylbutoxy)ethoxy)-&lt;br /&gt;&amp;diams; 1-(1-(3-methoxybutoxy)ethoxy)hexane</t>
  </si>
  <si>
    <t xml:space="preserve"> 202188-43-0</t>
  </si>
  <si>
    <t xml:space="preserve"> ACETALDEHYDE 1,3-OCTANEDIOL ACETAL</t>
  </si>
  <si>
    <t xml:space="preserve"> &amp;diams; ACETALDEHYDE 1,3-OCTANEDIOL ACETAL&lt;br /&gt;&amp;diams; InChI=1S/C10H20O2/c1-3-4-5-6-10-7-8-11-9(2)12-10/h9-10H,3-8H2,1-2H3&lt;br /&gt;&amp;diams; InChIKey: NZTUUEJEMACERX-UHFFFAOYSA-N&lt;br /&gt;&amp;diams; 1,3-dioxolane, 2-methyl-4-pentyl-&lt;br /&gt;&amp;diams; 2-methyl-4-pentyl-1,3-dioxolane</t>
  </si>
  <si>
    <t xml:space="preserve"> 7493-57-4</t>
  </si>
  <si>
    <t xml:space="preserve"> ACETALDEHYDE PHENETHYL PROPYL ACETAL</t>
  </si>
  <si>
    <t xml:space="preserve"> &amp;diams; ACETALDEHYDE PHENETHYL PROPYL ACETAL&lt;br /&gt;&amp;diams; ACETAL R&lt;br /&gt;&amp;diams; (2-(1-PROPOXYETHOXY)ETHYL)BENZENE&lt;br /&gt;&amp;diams; BENZENE, (2-(1-PROPOXYETHOXY)ETHYL)-&lt;br /&gt;&amp;diams; ACETALDEHYDE, PHENETHYL PROPYL ACETAL&lt;br /&gt;&amp;diams; PEPITAL&lt;br /&gt;&amp;diams; PROPYL PHENETHYL ACETAL&lt;br /&gt;&amp;diams; PHENETHYL PROPYL ACETAL&lt;br /&gt;&amp;diams; 1-PHENETHOXY-1-PROPOXYETHANE</t>
  </si>
  <si>
    <t xml:space="preserve"> 60-35-5</t>
  </si>
  <si>
    <t xml:space="preserve"> ACETAMIDE--NLFG</t>
  </si>
  <si>
    <t xml:space="preserve"> &amp;diams; ACETAMIDE&lt;br /&gt;&amp;diams; ETHANAMIDE&lt;br /&gt;&amp;diams; InChI=1S/C2H5NO/c1-2(3)4/h1H3,(H2,3,4)&lt;br /&gt;&amp;diams; InChIKey: DLFVBJFMPXGRIB-UHFFFAOYSA-N</t>
  </si>
  <si>
    <t xml:space="preserve"> NLFG-4251</t>
  </si>
  <si>
    <t xml:space="preserve"> No longer FEMA GRAS (GRAS Pub. 24, 2009)</t>
  </si>
  <si>
    <t xml:space="preserve"> 100-06-1</t>
  </si>
  <si>
    <t xml:space="preserve"> ACETANISOLE</t>
  </si>
  <si>
    <t xml:space="preserve"> &amp;diams; ACETANISOLE&lt;br /&gt;&amp;diams; 4'-METHOXYACETOPHENONE&lt;br /&gt;&amp;diams; METHOXYACETOPHENONE, P-&lt;br /&gt;&amp;diams; ACETYLANISOLE, P-&lt;br /&gt;&amp;diams; METHYL 4-METHOXYPHENYL KETONE&lt;br /&gt;&amp;diams; NOVATONE&lt;br /&gt;&amp;diams; 4-ACETYLANISOLE&lt;br /&gt;&amp;diams; ETHANONE, 1-(4-METHOXYPHENYL)-&lt;br /&gt;&amp;diams; 1-(4-METHOXYPHENYL)ETHANONE&lt;br /&gt;&amp;diams; ACETOPHENONE, 4'-METHOXY-&lt;br /&gt;&amp;diams; ANISYL, P-, METHYL KETONE</t>
  </si>
  <si>
    <t xml:space="preserve"> 64-19-7</t>
  </si>
  <si>
    <t xml:space="preserve"> ACETIC ACID</t>
  </si>
  <si>
    <t xml:space="preserve"> &amp;diams; ACETIC ACID&lt;br /&gt;&amp;diams; ETHANOIC ACID&lt;br /&gt;&amp;diams; ACETIC ACID, GLACIAL&lt;br /&gt;&amp;diams; GLACIAL ACETIC ACID</t>
  </si>
  <si>
    <t xml:space="preserve"> ANTIMICROBIAL AGENT,&lt;br /&gt; FLAVOR ENHANCER,&lt;br /&gt; FLAVORING AGENT OR ADJUVANT,&lt;br /&gt; PH CONTROL AGENT</t>
  </si>
  <si>
    <t xml:space="preserve"> 133.123 ,  133.124 ,  133.169 ,  133.173 ,  133.178 ,  133.179</t>
  </si>
  <si>
    <t xml:space="preserve"> 108-24-7</t>
  </si>
  <si>
    <t xml:space="preserve"> ACETIC ANHYDRIDE</t>
  </si>
  <si>
    <t xml:space="preserve"> &amp;diams; ACETIC ANHYDRIDE&lt;br /&gt;&amp;diams; ACETIC ACID ANHYDRIDE&lt;br /&gt;&amp;diams; ACETIC OXIDE&lt;br /&gt;&amp;diams; ACETYL ACETATE&lt;br /&gt;&amp;diams; ACETYL ANHYDRIDE&lt;br /&gt;&amp;diams; ACETYL ETHER&lt;br /&gt;&amp;diams; ACETYL OXIDE&lt;br /&gt;&amp;diams; ETHANOIC ANHYDRIDE&lt;br /&gt;&amp;diams; ACETIC ACID, ANHYDRIDE</t>
  </si>
  <si>
    <t xml:space="preserve"> 513-86-0</t>
  </si>
  <si>
    <t xml:space="preserve"> ACETOIN</t>
  </si>
  <si>
    <t xml:space="preserve"> &amp;diams; ACETOIN&lt;br /&gt;&amp;diams; ACETYL METHYL CARBINOL&lt;br /&gt;&amp;diams; 3-HYDROXY-2-BUTANONE&lt;br /&gt;&amp;diams; ACETHOIN&lt;br /&gt;&amp;diams; DIMETHYLKETOL&lt;br /&gt;&amp;diams; GAMMA-HYDROXY-BETA-OXOBUTANE&lt;br /&gt;&amp;diams; 2,3-BUTANOLONE&lt;br /&gt;&amp;diams; 2-BUTANONE, 3-HYDROXY-&lt;br /&gt;&amp;diams; 1-HYDROXETHYL METHYL KETONE&lt;br /&gt;&amp;diams; 3-hydroxybutan-2-one, (+-)-&lt;br /&gt;&amp;diams; acetoin, (+-)-&lt;br /&gt;&amp;diams; acetoin, dl-&lt;br /&gt;&amp;diams; acetylmethylmethanol</t>
  </si>
  <si>
    <t xml:space="preserve"> 94089-23-3</t>
  </si>
  <si>
    <t xml:space="preserve"> ACETOIN PROPYLENEGLYCOL KETAL</t>
  </si>
  <si>
    <t xml:space="preserve"> &amp;diams; ACETOIN PROPYLENE GLYCOL ACETAL&lt;br /&gt;&amp;diams; 1,3-dioxolane-2-methanol, alpha,2,4-trimethyl-&lt;br /&gt;&amp;diams; alpha,2,4-trimethyl-1,3-dioxolane-2-methanol</t>
  </si>
  <si>
    <t xml:space="preserve"> 977164-02-5</t>
  </si>
  <si>
    <t xml:space="preserve"> ALPHA-ACETOLACTATE DECARBOXYLASE ENZYME PREPARATION FROM BACILLUS SUBTILIS RECOMBINANT</t>
  </si>
  <si>
    <t xml:space="preserve"> &amp;diams; ACETOLACTATE DECARBOXYLASE, BACILLUS SUBTILIS, RECOMBINANT&lt;br /&gt;&amp;diams; ALPHA-ACETOLACTATE DECARBOXYLASE, BACILLUS SUBTILIS, RECOMBINANT&lt;br /&gt;&amp;diams; BACILLUS SUBTILIS ACETOLACTATE DECARBOXYLASE, RECOMBINANT</t>
  </si>
  <si>
    <t xml:space="preserve"> ENZYME</t>
  </si>
  <si>
    <t xml:space="preserve"> 28060-90-4</t>
  </si>
  <si>
    <t xml:space="preserve"> ACETOLEIN</t>
  </si>
  <si>
    <t xml:space="preserve"> &amp;diams; DIACETOOLEIN&lt;br /&gt;&amp;diams; GLYCERYL DIACETATE MONOOLEATE&lt;br /&gt;&amp;diams; GLYCERYL MONOOLEATE, DIACETYLATED&lt;br /&gt;&amp;diams; GLYCERYL DIACETATE OLEATE&lt;br /&gt;&amp;diams; OLEODIACETIN&lt;br /&gt;&amp;diams; 9-OCTADECENOIC ACID (Z)-, ESTER WITH 1,2,3-PROPANETRIOL DIACETATE&lt;br /&gt;&amp;diams; ACETIN, OLEODI-&lt;br /&gt;&amp;diams; OLEIN, DIACETO-&lt;br /&gt;&amp;diams; 1,2,3-PROPANETRIYL DIACETATE (Z)-9-OCTADECENOATE&lt;br /&gt;&amp;diams; DIACETYLMONOOLEIN&lt;br /&gt;&amp;diams; DIACETYLOLEOYLGLYCEROL</t>
  </si>
  <si>
    <t xml:space="preserve"> 67-64-1</t>
  </si>
  <si>
    <t xml:space="preserve"> ACETONE</t>
  </si>
  <si>
    <t xml:space="preserve"> &amp;diams; ACETONE&lt;br /&gt;&amp;diams; DIMETHYL KETONE&lt;br /&gt;&amp;diams; BETA-KETOPROPANE&lt;br /&gt;&amp;diams; PYROACETIC ETHER&lt;br /&gt;&amp;diams; 2-OXOPROPANE&lt;br /&gt;&amp;diams; 2-PROPANONE&lt;br /&gt;&amp;diams; METHYL KETONE&lt;br /&gt;&amp;diams; DIMETHYLFORMALDEHYDE</t>
  </si>
  <si>
    <t xml:space="preserve"> FLAVOR ENHANCER,&lt;br /&gt; FLAVORING AGENT OR ADJUVANT,&lt;br /&gt; SOLVENT OR VEHICLE,&lt;br /&gt; WASHING OR SURFACE REMOVAL AGENT</t>
  </si>
  <si>
    <t xml:space="preserve"> 1336-17-0</t>
  </si>
  <si>
    <t xml:space="preserve"> ACETONE PEROXIDES</t>
  </si>
  <si>
    <t xml:space="preserve"> &amp;diams; ACETONE PEROXIDES&lt;br /&gt;&amp;diams; 2-PROPANONE, PEROXIDE&lt;br /&gt;&amp;diams; 2-PROPANONE PEROXIDE&lt;br /&gt;&amp;diams; ACETONE PEROXIDE&lt;br /&gt;&amp;diams; TRIACETONE PEROXIDE</t>
  </si>
  <si>
    <t xml:space="preserve"> 98-86-2</t>
  </si>
  <si>
    <t xml:space="preserve"> ACETOPHENONE</t>
  </si>
  <si>
    <t xml:space="preserve"> &amp;diams; ACETOPHENONE&lt;br /&gt;&amp;diams; ACETYLBENZENE&lt;br /&gt;&amp;diams; ACETYLBENZOL&lt;br /&gt;&amp;diams; BENZOYLMETHIDE&lt;br /&gt;&amp;diams; HYPNONE&lt;br /&gt;&amp;diams; METHYL PHENYL KETONE&lt;br /&gt;&amp;diams; PHENYL METHYL KETONE&lt;br /&gt;&amp;diams; 1-PHENYLETHANONE&lt;br /&gt;&amp;diams; ETHANONE, 1-PHENYL-</t>
  </si>
  <si>
    <t xml:space="preserve"> FLAVORING AGENT OR ADJUVANT,&lt;br /&gt; SOLVENT OR VEHICLE</t>
  </si>
  <si>
    <t xml:space="preserve"> 27177-85-1</t>
  </si>
  <si>
    <t xml:space="preserve"> ACETOSTEARIN</t>
  </si>
  <si>
    <t xml:space="preserve"> &amp;diams; ACETOMONOSTEARIN&lt;br /&gt;&amp;diams; OCTDECANOIC ACID, MONOESTER WITH 1,2,3-PROPANETRIOL MONOACETATE&lt;br /&gt;&amp;diams; 1,2,3-PROPANETRIOL MONOACETATE MONOCTADECANOATE&lt;br /&gt;&amp;diams; STEARIN, ACETO-&lt;br /&gt;&amp;diams; GLYCEROL MONOACETATE MONOSTEARATE&lt;br /&gt;&amp;diams; GLYCERYL MONOSTEARATE, MONOACETYLATED&lt;br /&gt;&amp;diams; STEAROMONOACETIN</t>
  </si>
  <si>
    <t xml:space="preserve"> 72541-09-4</t>
  </si>
  <si>
    <t xml:space="preserve"> 6-ACETOXYDIHYDROTHEASPIRANE</t>
  </si>
  <si>
    <t xml:space="preserve"> &amp;diams; 6-ACETOXYDIHYDROTHEASPIRANE&lt;br /&gt;&amp;diams; 2,6,10,10-TETRAMETHYL-1-OXASPIRO(4.5)DECAN-6-YL ACETATE&lt;br /&gt;&amp;diams; 1-OXASPIRO(4.5)DECAN-6-OL, 2,6,10,10-TETRAMETHYL-, ACETATE</t>
  </si>
  <si>
    <t xml:space="preserve"> 4166-20-5</t>
  </si>
  <si>
    <t xml:space="preserve"> 4-ACETOXY-2,5-DIMETHYL-3(2H)-FURANONE</t>
  </si>
  <si>
    <t xml:space="preserve"> &amp;diams; 4-ACETOXY-2,5-DIMETHYL-3(2H)-FURANONE&lt;br /&gt;&amp;diams; 3(2H)-FURANONE, 4-(ACETYLOXY)-2,5-DIMETHYL-&lt;br /&gt;&amp;diams; 3(2H)-FURANONE, 4-HYDROXY-2,5-DIMETHYL-, ACETATE&lt;br /&gt;&amp;diams; 4-(ACETYLOXY)-2,5-DIMETHYL-3(2H)-FURANONE&lt;br /&gt;&amp;diams; 4-HYDROXY-2,5-DIMETHYL-3(2H)-FURANONE ACETATE</t>
  </si>
  <si>
    <t xml:space="preserve"> 1608-72-6</t>
  </si>
  <si>
    <t xml:space="preserve"> (+/-)-1-ACETOXY-1-ETHOXYETHANE</t>
  </si>
  <si>
    <t xml:space="preserve"> &amp;diams; 1-ETHOXYETHYL ACETATE&lt;br /&gt;&amp;diams; ACETIC ACID, 1-ETHOXYETHYL ESTER&lt;br /&gt;&amp;diams; 1-ETHOXY-1-ETHYL ACETATE&lt;br /&gt;&amp;diams; 1-acetoxy-1-ethoxyethane&lt;br /&gt;&amp;diams; InChI=1S/C6H12O3/c1-4-8-6(3)9-5(2)7/h6H,4H2,1-3H3&lt;br /&gt;&amp;diams; InChIKey: FAIARWOGQAQTPS-UHFFFAOYSA-N</t>
  </si>
  <si>
    <t xml:space="preserve"> 3572-06-3</t>
  </si>
  <si>
    <t xml:space="preserve"> 4-(P-ACETOXYPHENYL)-2-BUTANONE</t>
  </si>
  <si>
    <t xml:space="preserve"> &amp;diams; 4-(P-HYDROXYPHENYL)-2-BUTANONE ACETATE&lt;br /&gt;&amp;diams; 2-BUTANONE, 4-(4-(ACETYLOXY)PHENYL)-&lt;br /&gt;&amp;diams; 2-BUTANONE, 4-(P-HYDROXYPHENYL)-, ACETATE&lt;br /&gt;&amp;diams; 4-(P-ACETOXYPHENYL)-2-BUTANONE&lt;br /&gt;&amp;diams; 4-(4-ACETYLOXYPHENYL)-2-BUTANONE</t>
  </si>
  <si>
    <t xml:space="preserve"> 164524-93-0</t>
  </si>
  <si>
    <t xml:space="preserve"> 5-ACETYL-2,3-DIHYDRO-1,4-THIAZINE</t>
  </si>
  <si>
    <t xml:space="preserve"> &amp;diams; 5-ACETYL-2,3-DIHYDRO-1,4-THIAZINE&lt;br /&gt;&amp;diams; ethanone, 1-(3,4-dihydro-2H-1,4-thiazin-5-yl)-&lt;br /&gt;&amp;diams; 1-(3,4-dihydro-2H-1,4-thiazin-5-yl)ethanone&lt;br /&gt;&amp;diams; InChI=1S/C6H9NOS/c1-5(8)6-4-9-3-2-7-6/h4,7H,2-3H2,1H3&lt;br /&gt;&amp;diams; InChIKey: YJSKAAVPUSXIPL-UHFFFAOYSA-N</t>
  </si>
  <si>
    <t xml:space="preserve"> 22940-86-9</t>
  </si>
  <si>
    <t xml:space="preserve"> 2-ACETYL-3,5-DIMETHYLFURAN</t>
  </si>
  <si>
    <t xml:space="preserve"> &amp;diams; 2-ACETYL-3,5-DIMETHYLFURAN&lt;br /&gt;&amp;diams; ethanone, 1-(3,5-dimethyl-2-furanyl)-&lt;br /&gt;&amp;diams; ketone, 3,5-dimethyl-2-furyl methyl&lt;br /&gt;&amp;diams; 1-(3,5-dimethyl-2-furanyl)-ethanone&lt;br /&gt;&amp;diams; 3,5-dimethyl-2-furyl methyl ketone&lt;br /&gt;&amp;diams; ethanone, 1-(3,5-dimethyl-2-furanyl)</t>
  </si>
  <si>
    <t xml:space="preserve"> 10599-70-9</t>
  </si>
  <si>
    <t xml:space="preserve"> 3-ACETYL-2,5-DIMETHYLFURAN</t>
  </si>
  <si>
    <t xml:space="preserve"> &amp;diams; 3-ACETYL-2,5-DIMETHYLFURAN&lt;br /&gt;&amp;diams; ETHANONE, 1-(2,5-DIMETHYL-3-FURANYL)-&lt;br /&gt;&amp;diams; KETONE, 2,5-DIMETHYL-3-FURYL METHYL&lt;br /&gt;&amp;diams; 2,5-DIMETHYL-3-ACETYLFURAN&lt;br /&gt;&amp;diams; 1-(2,5-DIMETHYL-3-FURANYL)ETHANONE&lt;br /&gt;&amp;diams; 2,5-DIMETHYL-3-FURYL METHYL KETONE</t>
  </si>
  <si>
    <t xml:space="preserve"> 36871-78-0</t>
  </si>
  <si>
    <t xml:space="preserve"> 4-ACETYL-2,5-DIMETHYL-3(2H)-FURANONE</t>
  </si>
  <si>
    <t xml:space="preserve"> &amp;diams; 4-ACETYL-2,5-DIMETHYL-3(2H)-FURANONE&lt;br /&gt;&amp;diams; 3(2H)-furanone, 4-acetyl-2,5-dimethyl-</t>
  </si>
  <si>
    <t xml:space="preserve"> 977043-63-2</t>
  </si>
  <si>
    <t xml:space="preserve"> 2-ACETYL-3, 5(OR 6)-DIMETHYLPYRAZINE, MIXTURE OF ISOMERS</t>
  </si>
  <si>
    <t xml:space="preserve"> &amp;diams; 2-ACETYL-3,5(OR 6)-DIMETHYLPYRAZINE</t>
  </si>
  <si>
    <t xml:space="preserve"> 32974-92-8</t>
  </si>
  <si>
    <t xml:space="preserve"> 2-ACETYL-3-ETHYLPYRAZINE</t>
  </si>
  <si>
    <t xml:space="preserve"> &amp;diams; 2-ACETYL-3-ETHYLPYRAZINE&lt;br /&gt;&amp;diams; ETHANONE, 1-(3-ETHYLPYRAZINYL)-&lt;br /&gt;&amp;diams; 2-ACETYL-3-ETHYL-1,4-DIAZINE&lt;br /&gt;&amp;diams; 1-(3-ETHYLPYRAZINYL)ETHANONE</t>
  </si>
  <si>
    <t xml:space="preserve"> 142896-11-5</t>
  </si>
  <si>
    <t xml:space="preserve"> 2-ACETYL-4-ISOPROPENYLPYRIDINE</t>
  </si>
  <si>
    <t xml:space="preserve"> &amp;diams; 2-ACETYL-4-ISPROPENYLPYRIDINE&lt;br /&gt;&amp;diams; ethanone, 1-(4-(1-methylethenyl)-2-pyridinyl)-&lt;br /&gt;&amp;diams; 1-(4-(1-methylethenyl)-2-pyridinyl)ethanone&lt;br /&gt;&amp;diams; 2-acetyl-4-(1-methylethenyl)pyridine</t>
  </si>
  <si>
    <t xml:space="preserve"> 142896-12-6</t>
  </si>
  <si>
    <t xml:space="preserve"> 4-ACETYL-2-ISOPROPENYLPYRIDINE</t>
  </si>
  <si>
    <t xml:space="preserve"> &amp;diams; 4-ACETYL-2-ISOPROPENYLPYRIDINE&lt;br /&gt;&amp;diams; ethanone, 1-(2-(1-methylethenyl)-4-pyridinyl)-&lt;br /&gt;&amp;diams; 1-(2-(1-mehtyethenyl)-4-pyridinyl)ethanone&lt;br /&gt;&amp;diams; 4-acetyl-2-(1-methylethenyl)pyridine</t>
  </si>
  <si>
    <t xml:space="preserve"> 142896-09-1</t>
  </si>
  <si>
    <t xml:space="preserve"> 2-ACETYL-4-ISOPROPYLPYRIDINE</t>
  </si>
  <si>
    <t xml:space="preserve"> &amp;diams; 2-ACETYL-4-ISOPROPYLPYRIDINE&lt;br /&gt;&amp;diams; ethanone, 1-(4-(1-methylethyl)-2-pyridinyl)-&lt;br /&gt;&amp;diams; 1-(4-(1-methylethyl)-2-pyridinyl)ethanone&lt;br /&gt;&amp;diams; 2-acetyl-4-(1-methylethyl)pyridine</t>
  </si>
  <si>
    <t xml:space="preserve"> 136954-25-1</t>
  </si>
  <si>
    <t xml:space="preserve"> 3-ACETYLMERCAPTOHEXYL ACETATE</t>
  </si>
  <si>
    <t xml:space="preserve"> &amp;diams; 3-ACETYLMERCAPTOHEXYL ACETATE&lt;br /&gt;&amp;diams; ETHANETHIOIC ACID, S-(1-(2-(ACETYLOXY)ETHYL)BUTYL) ESTER&lt;br /&gt;&amp;diams; S-(1-(2-(ACETYLOXY)ETHYL)BUTYL) ETHANETHIOATE&lt;br /&gt;&amp;diams; 3-ACETYLTHIOHEXYL ACETATE&lt;br /&gt;&amp;diams; 3-ACETYLTHIOHEXYL ETHANOATE</t>
  </si>
  <si>
    <t xml:space="preserve"> 65-82-7</t>
  </si>
  <si>
    <t xml:space="preserve"> N-ACETYL-L-METHIONINE</t>
  </si>
  <si>
    <t xml:space="preserve"> &amp;diams; N-ACETYL-L-METHIONINE&lt;br /&gt;&amp;diams; ACETYLMETHIONINE&lt;br /&gt;&amp;diams; L-METHIONINE, N-ACETYL-&lt;br /&gt;&amp;diams; METHIONINE, N-ACETYL-, L-&lt;br /&gt;&amp;diams; N-ACETYLMETHIONINE&lt;br /&gt;&amp;diams; N-ACETYLMETHIONINE, L-</t>
  </si>
  <si>
    <t xml:space="preserve"> NUTRIENT SUPPLEMENT</t>
  </si>
  <si>
    <t xml:space="preserve"> 4906-24-5</t>
  </si>
  <si>
    <t xml:space="preserve"> ACETYL METHYL CARBINYL ACETATE</t>
  </si>
  <si>
    <t xml:space="preserve"> &amp;diams; ACETOIN ACETATE&lt;br /&gt;&amp;diams; ACETYL METHYL CARBINYL ACETATE&lt;br /&gt;&amp;diams; 3-(ACETYLOXY)-2-BUTANONE&lt;br /&gt;&amp;diams; 3-HYDROXY-2-BUTANONE ACETATE&lt;br /&gt;&amp;diams; 2-ACETOXY-3-BUTANONE&lt;br /&gt;&amp;diams; 2-BUTANON-3-YL ACETATE&lt;br /&gt;&amp;diams; 2-BUTANONE, 3-(ACETYLOXY)-&lt;br /&gt;&amp;diams; 2-BUTANONE, 3-HYDROXY-, ACETATE</t>
  </si>
  <si>
    <t xml:space="preserve"> 1193-79-9</t>
  </si>
  <si>
    <t xml:space="preserve"> 2-ACETYL-5-METHYLFURAN</t>
  </si>
  <si>
    <t xml:space="preserve"> &amp;diams; 2-ACETYL-5-METHYLFURAN&lt;br /&gt;&amp;diams; ETHANONE, 1-(5-METHYL-2-FURANYL)-&lt;br /&gt;&amp;diams; METHYL 5-METHYL-2-FURYL KETONE&lt;br /&gt;&amp;diams; KETONE, METHYL 5-METHYL-2-FURYL&lt;br /&gt;&amp;diams; 1-(5-METHYL-2-FURYL)ETHANONE&lt;br /&gt;&amp;diams; 1-(5-METHYL-2-FURANYL)ETHANONE</t>
  </si>
  <si>
    <t xml:space="preserve"> 23787-80-6</t>
  </si>
  <si>
    <t xml:space="preserve"> 2-ACETYL-3-METHYLPYRAZINE</t>
  </si>
  <si>
    <t xml:space="preserve"> &amp;diams; 2-ACETYL-3-METHYLPYRAZINE&lt;br /&gt;&amp;diams; ETHANONE, 1-(3-METHYLPYRAZINYL)-&lt;br /&gt;&amp;diams; KETONE, METHYL 3-METHYLPYRAZINYL&lt;br /&gt;&amp;diams; METHYL 3-METHYLPYRAZINYL KETONE&lt;br /&gt;&amp;diams; 1-(3-METHYLPYRAZINYL)ETHAN-1-ONE&lt;br /&gt;&amp;diams; 2-METHYL-3-ACETYLPYRAZINE&lt;br /&gt;&amp;diams; 3-ACETYL-2-METHYLPYRAZINE</t>
  </si>
  <si>
    <t xml:space="preserve"> 67860-38-2</t>
  </si>
  <si>
    <t xml:space="preserve"> 4-ACETYL-2-METHYLPYRIMIDINE</t>
  </si>
  <si>
    <t xml:space="preserve"> &amp;diams; 4-ACETYL-2-METHYLPYRIMIDINE&lt;br /&gt;&amp;diams; ETHANONE, 1-(2-METHYL-4-PYRIMIDINYL)-&lt;br /&gt;&amp;diams; 1-(2-METHYL-4-PYRIMIDINYL)ETHANONE</t>
  </si>
  <si>
    <t xml:space="preserve"> 13679-74-8</t>
  </si>
  <si>
    <t xml:space="preserve"> 2-ACETYL-5-METHYLTHIOPHENE</t>
  </si>
  <si>
    <t xml:space="preserve"> &amp;diams; 2-ACETYL-5-METHYLTHIOPHENE&lt;br /&gt;&amp;diams; ethanone, 1-(5-methyl-2-thienyl)-&lt;br /&gt;&amp;diams; 1-(5-methyl-2-thienyl)ethanone&lt;br /&gt;&amp;diams; ketone, methyl 5-methyl-2-thienyl&lt;br /&gt;&amp;diams; methyl 5-methyl-2-thienyl ketone&lt;br /&gt;&amp;diams; 2-methyl-5-acetylthiopene</t>
  </si>
  <si>
    <t xml:space="preserve"> 22047-25-2</t>
  </si>
  <si>
    <t xml:space="preserve"> ACETYLPYRAZINE</t>
  </si>
  <si>
    <t xml:space="preserve"> &amp;diams; ACETYLPYRAZINE&lt;br /&gt;&amp;diams; METHYL PYRAZINYL KETONE&lt;br /&gt;&amp;diams; ETHANONE, 1-PYRAZINYL-&lt;br /&gt;&amp;diams; 1-PYRAZINYLETHANONE&lt;br /&gt;&amp;diams; KETONE, METHYL PYRAZINYL&lt;br /&gt;&amp;diams; 2-ACETYLPYRAZINE</t>
  </si>
  <si>
    <t xml:space="preserve"> 1122-62-9</t>
  </si>
  <si>
    <t xml:space="preserve"> 2-ACETYLPYRIDINE</t>
  </si>
  <si>
    <t xml:space="preserve"> &amp;diams; METHYL 2-PYRIDYL KETONE&lt;br /&gt;&amp;diams; ETHANONE, 1-(2-PYRIDINYL)-&lt;br /&gt;&amp;diams; KETONE, METHYL 2-PYRIDYL&lt;br /&gt;&amp;diams; 2-ACETYLPYRIDINE&lt;br /&gt;&amp;diams; 2-ACETOPYRIDINE&lt;br /&gt;&amp;diams; 1-(2-PYRIDINYL)ETHANONE</t>
  </si>
  <si>
    <t xml:space="preserve"> 350-03-8</t>
  </si>
  <si>
    <t xml:space="preserve"> 3-ACETYLPYRIDINE</t>
  </si>
  <si>
    <t xml:space="preserve"> &amp;diams; METHYL 3-PYRIDYL KETONE&lt;br /&gt;&amp;diams; BETA-ACETYLPYRIDINE&lt;br /&gt;&amp;diams; ETHANONE, 1-(3-PYRIDINYL)-&lt;br /&gt;&amp;diams; METHYL BETA-PYRIDYL KETONE&lt;br /&gt;&amp;diams; METHYL PYRIDYL KETONE&lt;br /&gt;&amp;diams; KETONE, METHYL 3-PYRIDYL&lt;br /&gt;&amp;diams; 3-ACETYLPYRIDINE&lt;br /&gt;&amp;diams; 1-(3-PYRIDINYL)ETHANONE&lt;br /&gt;&amp;diams; 3-ACETOPYRIDINE</t>
  </si>
  <si>
    <t xml:space="preserve"> 99583-29-6</t>
  </si>
  <si>
    <t xml:space="preserve"> 2-ACETYL-1-PYRROLINE</t>
  </si>
  <si>
    <t xml:space="preserve"> &amp;diams; 2-ACETYL-1-PYRROLINE&lt;br /&gt;&amp;diams; 1-(3,4-dihydro-2H-pyrrol-2-yl)ethanone&lt;br /&gt;&amp;diams; ethanone, 1-(3,4-dihydro-2H-pyrrol-2-yl)-</t>
  </si>
  <si>
    <t xml:space="preserve"> 13171-00-1</t>
  </si>
  <si>
    <t xml:space="preserve"> 4-ACETYL-6-TERT-BUTYL-1,1-DIMETHYLINDANE</t>
  </si>
  <si>
    <t xml:space="preserve"> &amp;diams; 4-ACETYL-6-TERT-BUTYL-1,1-DIMETHYLINDANE&lt;br /&gt;&amp;diams; ETHANONE, 1-(6-(1,1-DIMETHYLETHYL)-2,3-DIHYDRO-1,1-DIMETHYL-1H-INDEN-4-YL)-&lt;br /&gt;&amp;diams; KETONE, 6-TERT-BUTYL-1,1-DIMETHYL-4-INDANYL METHYL&lt;br /&gt;&amp;diams; 1-(6-(1,1-DIMETHYLETHYL)-2,3-DIHYDRO-1,1-DIMETHYL-1H-INDEN-4-YL)ETHANONE&lt;br /&gt;&amp;diams; 6-TERT-BUTYL-1,1-DIMETHYL-4-INDANYL METHYL KETONE</t>
  </si>
  <si>
    <t xml:space="preserve"> 24295-03-2</t>
  </si>
  <si>
    <t xml:space="preserve"> 2-ACETYLTHIAZOLE</t>
  </si>
  <si>
    <t xml:space="preserve"> &amp;diams; 2-ACETYLTHIAZOLE&lt;br /&gt;&amp;diams; METHYL 2-THIAZOLYL KETONE&lt;br /&gt;&amp;diams; 2-THIAZOLYL METHYL KETONE&lt;br /&gt;&amp;diams; ETHANONE, 1-(2-THIAZOLYL)-&lt;br /&gt;&amp;diams; 1-(2-THIAZOLYL)ETHANONE&lt;br /&gt;&amp;diams; KETONE, METHYL 2-THIAZOLYL&lt;br /&gt;&amp;diams; 5-ACETYLTHIAZOLE&lt;br /&gt;&amp;diams; METHYL 5-THIAZOLYL KETONE</t>
  </si>
  <si>
    <t xml:space="preserve"> ANTIOXIDANT,&lt;br /&gt; FLAVOR ENHANCER,&lt;br /&gt; FLAVORING AGENT OR ADJUVANT,&lt;br /&gt; PROCESSING AID,&lt;br /&gt; SURFACE-FINISHING AGENT</t>
  </si>
  <si>
    <t xml:space="preserve"> 29926-41-8</t>
  </si>
  <si>
    <t xml:space="preserve"> 2-ACETYL-2-THIAZOLINE</t>
  </si>
  <si>
    <t xml:space="preserve"> &amp;diams; 2-ACETYL-2-THIAZOLINE&lt;br /&gt;&amp;diams; ACETYLTHIAZOLINE-2&lt;br /&gt;&amp;diams; ETHANONE, 1-(4,5-DIHYDRO-2-THIAZOLYL)-&lt;br /&gt;&amp;diams; KETONE, METHYL 2-THIAZOLIN-2-YL&lt;br /&gt;&amp;diams; METHYL 2-THIAZOLIN-2-YL KETONE&lt;br /&gt;&amp;diams; 1-(4,5-DIHYDRO-2-THIAZOLYL)ETHANONE&lt;br /&gt;&amp;diams; 2-ACETYLTHIAZOLINE&lt;br /&gt;&amp;diams; 2-ACETYL-4,5-DIHYDROTRIAZOLE</t>
  </si>
  <si>
    <t xml:space="preserve"> 55764-25-5</t>
  </si>
  <si>
    <t xml:space="preserve"> 3-(ACETYLTHIO)-2-METHYLFURAN</t>
  </si>
  <si>
    <t xml:space="preserve"> &amp;diams; 3-(ACETYLTHIO)-2-METHYLFURAN&lt;br /&gt;&amp;diams; ETHANETHIOIC ACID, S-(2-METHYL-3-FURANYL) ESTER</t>
  </si>
  <si>
    <t xml:space="preserve"> 499-12-7</t>
  </si>
  <si>
    <t xml:space="preserve"> ACONITIC ACID</t>
  </si>
  <si>
    <t xml:space="preserve"> &amp;diams; ACONITIC ACID&lt;br /&gt;&amp;diams; ACHILLEIC ACID&lt;br /&gt;&amp;diams; CITRIDIC ACID&lt;br /&gt;&amp;diams; EQUISETIC ACID&lt;br /&gt;&amp;diams; 1-PROPENE-1,2,3-TRICARBOXYLIC ACID&lt;br /&gt;&amp;diams; 1,2,3-PROPENETRICARBOXYLIC ACID&lt;br /&gt;&amp;diams; 3-CARBOXYGLUTACONIC ACID&lt;br /&gt;&amp;diams; 3-CARBOXY-2-PENTENEDIOIC ACID&lt;br /&gt;&amp;diams; ACHILLEAIC ACID&lt;br /&gt;&amp;diams; PYROCITRIC ACID</t>
  </si>
  <si>
    <t xml:space="preserve"> 107-02-8</t>
  </si>
  <si>
    <t xml:space="preserve"> ACROLEIN</t>
  </si>
  <si>
    <t xml:space="preserve"> &amp;diams; ACROLEIN&lt;br /&gt;&amp;diams; ACRALDEHYDE&lt;br /&gt;&amp;diams; ACRYLIC ALDEHYDE&lt;br /&gt;&amp;diams; ALLYL ALDEHYDE&lt;br /&gt;&amp;diams; PROPENAL&lt;br /&gt;&amp;diams; 2-PROPENAL&lt;br /&gt;&amp;diams; ACRYLALDEHYDE&lt;br /&gt;&amp;diams; 2-PROPEN-1-ONE&lt;br /&gt;&amp;diams; PROP-2-ENAL</t>
  </si>
  <si>
    <t xml:space="preserve"> ANTIMICROBIAL AGENT</t>
  </si>
  <si>
    <t xml:space="preserve"> 9003-06-9</t>
  </si>
  <si>
    <t xml:space="preserve"> ACRYLAMIDE-ACRYLIC ACID RESIN</t>
  </si>
  <si>
    <t xml:space="preserve"> &amp;diams; POLY(ACRYLAMIDE-CO-ACRYLIC ACID)&lt;br /&gt;&amp;diams; ACRYLAMIDE-ACRYLIC ACID COPOLYMER&lt;br /&gt;&amp;diams; ACRYLAMIDE-ACRYLIC ACID POLYMER&lt;br /&gt;&amp;diams; ACRYLAMIDE-ACRYLIC ACID RESIN&lt;br /&gt;&amp;diams; ACRYLIC ACID, POLYMER WITH ACRYLAMIDE&lt;br /&gt;&amp;diams; HYDROLYZED POLYACRYLAMIDE&lt;br /&gt;&amp;diams; POLYACRYLAMIDE, HYDROLYZED&lt;br /&gt;&amp;diams; POLYACRYLAMIDE, PARTIALLY HYDROLYZED&lt;br /&gt;&amp;diams; POLY(2-PROPENAMIDE-CO-2-PROPENOIC ACID)&lt;br /&gt;&amp;diams; 2-PROPENOIC ACID, POLYMER WITH 2-PROPENAMIDE&lt;br /&gt;&amp;diams; 2-PROPENAMIDE-2-PROPENOIC ACID POLYMER&lt;br /&gt;&amp;diams; 2-PROPENAMIDE, POLYMER WITH 2-PROPENOIC ACID</t>
  </si>
  <si>
    <t xml:space="preserve"> FLAVORING AGENT OR ADJUVANT,&lt;br /&gt; SURFACE-FINISHING AGENT</t>
  </si>
  <si>
    <t xml:space="preserve"> 25085-02-3</t>
  </si>
  <si>
    <t xml:space="preserve"> ACRYLAMIDE-SODIUM ACRYLATE RESIN</t>
  </si>
  <si>
    <t xml:space="preserve"> &amp;diams; POLY(ACRYLAMIDE-CO-SODIUM ACRYLATE)&lt;br /&gt;&amp;diams; ACRYLAMIDE-SODIUM ACRYLATE RESIN&lt;br /&gt;&amp;diams; ACRYLIC ACID, SODIUM SALT, POLYMER WITH ACRYLAMIDE&lt;br /&gt;&amp;diams; POLY(2-PROPENAMIDE-CO-SODIUM ACRYLATE)&lt;br /&gt;&amp;diams; POLY(2-PROPENAMIDE-CO-SODIUM 2-PROPENOATE)&lt;br /&gt;&amp;diams; SODIUM POLYACRYLATE-ACRYLAMIDE RESIN&lt;br /&gt;&amp;diams; SODIUM ACRYLATE-ACRYLAMIDE COPOLYMER&lt;br /&gt;&amp;diams; 2-PROPENOIC ACID, SODIUM SALT, POLYMER WITH 2-PROPENAMIDE&lt;br /&gt;&amp;diams; 2-PROPENAMIDE-SODIUM 2-PROPENOATE COPOLYMER</t>
  </si>
  <si>
    <t xml:space="preserve"> BOILER WATER ADDITIVE</t>
  </si>
  <si>
    <t xml:space="preserve"> 40623-75-4</t>
  </si>
  <si>
    <t xml:space="preserve"> ACRYLIC ACID-2-ACRYLAMIDO-2-METHYL PROPANE SULFONIC ACID COPOLYMER</t>
  </si>
  <si>
    <t xml:space="preserve"> &amp;diams; POLY(ACRYLAMIDOMETHYLPROPANESULFONIC ACID-CO-ACRYLIC ACID)&lt;br /&gt;&amp;diams; ACRYLIC ACID-2-ACRYLAMIDO-2-METHYLPROPANESULFONIC ACID COPOLYMER&lt;br /&gt;&amp;diams; POLY(2-ACRYLAMIDO-2-METHYLPROPANESULFONIC ACID-CO-ACRYLIC ACID)&lt;br /&gt;&amp;diams; POLY(ACRYLIC ACID-CO-2-ACRYLAMIDO-2-METHYLPROPANESULFONIC ACID)&lt;br /&gt;&amp;diams; POLY(2-METHYL-2-((1-OXO-2-PROPENYL)AMINO)-1-PROPANESULFONIC ACID-CO-2-PROPENOIC ACID)&lt;br /&gt;&amp;diams; 2-PROPENOIC ACID, POLYMER WITH 2-METHYL-2-((1-OXO-2-PROPENYL)AMINO)-1-PROPANESULFONIC ACID&lt;br /&gt;&amp;diams; 2-METHYL-2-((1-OXO-2-PROPENYL)AMINO)-1-PROPANESULFONIC ACID-2-PROPENOIC ACID COPOLYMER</t>
  </si>
  <si>
    <t xml:space="preserve"> 64365-11-3</t>
  </si>
  <si>
    <t xml:space="preserve"> ACTIVATED CARBON</t>
  </si>
  <si>
    <t xml:space="preserve"> &amp;diams; CHARCOAL, ACTIVATED&lt;br /&gt;&amp;diams; ACTIVATED CHARCOAL&lt;br /&gt;&amp;diams; ACTIVATED CARBON&lt;br /&gt;&amp;diams; CARBON, ACTIVATED&lt;br /&gt;&amp;diams; ACTIVE CARBON</t>
  </si>
  <si>
    <t xml:space="preserve"> PROCESSING AID</t>
  </si>
  <si>
    <t xml:space="preserve"> 124-04-9</t>
  </si>
  <si>
    <t xml:space="preserve"> ADIPIC ACID</t>
  </si>
  <si>
    <t xml:space="preserve"> &amp;diams; ADIPIC ACID&lt;br /&gt;&amp;diams; HEXANEDIOIC ACID&lt;br /&gt;&amp;diams; 1,4-BUTANEDICARBOXYLIC ACID</t>
  </si>
  <si>
    <t xml:space="preserve"> FLAVORING AGENT OR ADJUVANT,&lt;br /&gt; LEAVENING AGENT,&lt;br /&gt; PH CONTROL AGENT</t>
  </si>
  <si>
    <t xml:space="preserve"> 2035-75-8</t>
  </si>
  <si>
    <t xml:space="preserve"> ADIPIC ANHYDRIDE</t>
  </si>
  <si>
    <t xml:space="preserve"> &amp;diams; ADIPIC ANHYDRIDE&lt;br /&gt;&amp;diams; 2,7-OXEPANEDIONE&lt;br /&gt;&amp;diams; BUTANEDICARBOXYLIC ANHYDRIDE&lt;br /&gt;&amp;diams; HEXANEDIOIC ACID ANHYDRIDE&lt;br /&gt;&amp;diams; HEXANEDIOIC ANHYDRIDE</t>
  </si>
  <si>
    <t xml:space="preserve"> 714229-20-6</t>
  </si>
  <si>
    <t xml:space="preserve"> ADVANTAME</t>
  </si>
  <si>
    <t xml:space="preserve"> &amp;diams; ADVANTAME&lt;br /&gt;&amp;diams; 2-methyl N-(3-(3-hydroxy-4-methoxyphenyl)propyl)-L-alpha-aspartyl-L-phenylalanine monohydrate&lt;br /&gt;&amp;diams; 2-methyl N-(3-(3-hydroxy-4-methoxyphenyl)propyl)-L-alpha-aspartyl-L-phenylalanate monohydrate&lt;br /&gt;&amp;diams; L-phenylalanine, N-(3-(3-hydroxy-4-methoxyphenyl)propyl)-L-alpha-aspartyl-, 2-methyl ester, hydrate (1:1)&lt;br /&gt;&amp;diams; L-phenylalanine, N-(3-(3-hydroxy-4-methoxyphenyl)propyl)-L-alpha-aspartyl-, 2-methyl ester, monohydrate&lt;br /&gt;&amp;diams; 2-methyl N-(3-(3-hydroxy-4-methoxyphenyl)propyl)-L-alpha-aspartyl-L-phenylalanine hydrate (1:1)</t>
  </si>
  <si>
    <t xml:space="preserve"> 107-95-9</t>
  </si>
  <si>
    <t xml:space="preserve"> BETA-ALANINE</t>
  </si>
  <si>
    <t xml:space="preserve"> &amp;diams; ALANINE, BETA-&lt;br /&gt;&amp;diams; BETA-AMINOPROPIONIC ACID&lt;br /&gt;&amp;diams; 3-AMINOPROPANOIC ACID&lt;br /&gt;&amp;diams; BETA-ALANINE&lt;br /&gt;&amp;diams; 2-CARBOXYETHYLAMINE&lt;br /&gt;&amp;diams; 3-AMINOPROPIONIC ACID</t>
  </si>
  <si>
    <t xml:space="preserve"> FLAVOR ENHANCER,&lt;br /&gt; FLAVORING AGENT OR ADJUVANT,&lt;br /&gt; NUTRIENT SUPPLEMENT</t>
  </si>
  <si>
    <t xml:space="preserve"> 302-72-7</t>
  </si>
  <si>
    <t xml:space="preserve"> DL-ALANINE</t>
  </si>
  <si>
    <t xml:space="preserve"> &amp;diams; ALANINE, DL-&lt;br /&gt;&amp;diams; DL-ALANINE&lt;br /&gt;&amp;diams; 2-AMINOPROPANOIC ACID, DL-&lt;br /&gt;&amp;diams; ALANINE, DL-ALPHA-&lt;br /&gt;&amp;diams; ALANINE, (+-)-&lt;br /&gt;&amp;diams; ALANINE, (R,S)-</t>
  </si>
  <si>
    <t xml:space="preserve"> 56-41-7</t>
  </si>
  <si>
    <t xml:space="preserve"> L-ALANINE</t>
  </si>
  <si>
    <t xml:space="preserve"> &amp;diams; ALANINE, L-&lt;br /&gt;&amp;diams; ALANINE, ALPHA-&lt;br /&gt;&amp;diams; ALANINE, L-ALPHA-&lt;br /&gt;&amp;diams; AMINOPROPIONIC ACID, L-ALPHA-&lt;br /&gt;&amp;diams; 2-AMINOPROPANOIC ACID, L-&lt;br /&gt;&amp;diams; L-ALANINE&lt;br /&gt;&amp;diams; ALANINE, (S)-&lt;br /&gt;&amp;diams; ALANINE, L-(+)-&lt;br /&gt;&amp;diams; ALANINE, (S)-(+)-&lt;br /&gt;&amp;diams; 2-AMINOPROPANOIC ACID, (S)-</t>
  </si>
  <si>
    <t xml:space="preserve"> 39537-23-0</t>
  </si>
  <si>
    <t xml:space="preserve"> L-ALANYL-L-GLUTAMINE</t>
  </si>
  <si>
    <t xml:space="preserve"> &amp;diams; ALANYL-GLUTAMINE&lt;br /&gt;&amp;diams; L-alanyl-L-glutamine&lt;br /&gt;&amp;diams; Ala-Gln&lt;br /&gt;&amp;diams; alanylglutamine&lt;br /&gt;&amp;diams; L-glutamine, L-alanyl-&lt;br /&gt;&amp;diams; glutamine, N2-L-alanyl-&lt;br /&gt;&amp;diams; InChI=1/C8H15N3O4/c1-4(9)7(13)11-5(8(14)15)2-3-6(10)12/h4-5H,2-3,9H2,1H3,(H2,10,12)(H,11,13)(H,14,15)/t4-,5-/m0/s1&lt;br /&gt;&amp;diams; InChIKey: HJCMDXDYPOUFDY-WHFBIAKZSA-N&lt;br /&gt;&amp;diams; N2-L-alanylglutamine</t>
  </si>
  <si>
    <t xml:space="preserve"> 977005-72-3</t>
  </si>
  <si>
    <t xml:space="preserve"> ALBUMIN</t>
  </si>
  <si>
    <t xml:space="preserve"> &amp;diams; ALBUMIN&lt;br /&gt;&amp;diams; ALBUMINS</t>
  </si>
  <si>
    <t xml:space="preserve"> FIRMING AGENT,&lt;br /&gt; FORMULATION AID,&lt;br /&gt; NUTRIENT SUPPLEMENT,&lt;br /&gt; PROCESSING AID,&lt;br /&gt; PROPELLANT,&lt;br /&gt; STABILIZER OR THICKENER,&lt;br /&gt; SURFACE-ACTIVE AGENT,&lt;br /&gt; SURFACE-FINISHING AGENT,&lt;br /&gt; TEXTURIZER</t>
  </si>
  <si>
    <t xml:space="preserve"> 133.124 ,  166.110</t>
  </si>
  <si>
    <t xml:space="preserve"> 977021-64-9</t>
  </si>
  <si>
    <t xml:space="preserve"> ALCOHOL, DENATURED FORMULA 23A</t>
  </si>
  <si>
    <t xml:space="preserve"> &amp;diams; ALCOHOL, SPECIALLY DENATURED # 23A&lt;br /&gt;&amp;diams; ALCOHOL, DENATURED FORMULA 23A</t>
  </si>
  <si>
    <t xml:space="preserve"> 977021-59-2</t>
  </si>
  <si>
    <t xml:space="preserve"> ALCOHOL SDA-3A</t>
  </si>
  <si>
    <t xml:space="preserve"> &amp;diams; ALCOHOL, SPECIALLY DENATURED # 3A&lt;br /&gt;&amp;diams; ALCOHOL SDA-3A&lt;br /&gt;&amp;diams; ALCOHOL, DENATURED 3A</t>
  </si>
  <si>
    <t xml:space="preserve"> 84082-36-0</t>
  </si>
  <si>
    <t xml:space="preserve"> ALFALFA, EXTRACT (MEDICAGO SATIVA L.)</t>
  </si>
  <si>
    <t xml:space="preserve"> &amp;diams; ALFALFA EXTRACT&lt;br /&gt;&amp;diams; LUCERNE EXTRACT&lt;br /&gt;&amp;diams; MEDICAGO SATIVA EXTRACT&lt;br /&gt;&amp;diams; ALFALFA, EXT.</t>
  </si>
  <si>
    <t xml:space="preserve"> 977092-93-5</t>
  </si>
  <si>
    <t xml:space="preserve"> ALFALFA, HERB AND SEED (MEDICAGO SATIVA L.)</t>
  </si>
  <si>
    <t xml:space="preserve"> &amp;diams; ALFALFA HERB AND SEED</t>
  </si>
  <si>
    <t xml:space="preserve"> 977161-38-8</t>
  </si>
  <si>
    <t xml:space="preserve"> ALGAE, BROWN, EXTRACT (MACROCYSTIS AND LAMINARIA SPP.)</t>
  </si>
  <si>
    <t xml:space="preserve"> &amp;diams; ALGAE EXTRACT, BROWN&lt;br /&gt;&amp;diams; BROWN ALGAE EXTRACT</t>
  </si>
  <si>
    <t xml:space="preserve"> 977007-74-1</t>
  </si>
  <si>
    <t xml:space="preserve"> ALGAE, RED (PORPHYRA SPP. AND GLOIOPELTIS FURCATA AND RHODYMENIA PALMATA (L.))</t>
  </si>
  <si>
    <t xml:space="preserve"> &amp;diams; ALGAE, RED&lt;br /&gt;&amp;diams; RHODOPHYTA&lt;br /&gt;&amp;diams; RHODOPHYCOTA&lt;br /&gt;&amp;diams; RHODOPHYCEAE&lt;br /&gt;&amp;diams; ALGUE ROUGE (RHODOPHYCOTA)&lt;br /&gt;&amp;diams; RED ALGAE</t>
  </si>
  <si>
    <t xml:space="preserve"> 977090-04-2</t>
  </si>
  <si>
    <t xml:space="preserve"> ALGAE, RED, EXTRACT (PORPHYRA SPP. AND GLOIOPELTIS FURCATA AND RHODYMENIA PALMATA (L.))</t>
  </si>
  <si>
    <t xml:space="preserve"> &amp;diams; ALGAE EXTRACT, RED&lt;br /&gt;&amp;diams; RED ALGAE EXTRACT</t>
  </si>
  <si>
    <t xml:space="preserve"> 9005-34-9</t>
  </si>
  <si>
    <t xml:space="preserve"> ALGINATE, AMMONIUM</t>
  </si>
  <si>
    <t xml:space="preserve"> &amp;diams; AMMONIUM ALGINATE&lt;br /&gt;&amp;diams; ALGINIC ACID, AMMONIUM SALT</t>
  </si>
  <si>
    <t xml:space="preserve"> EMULSIFIER OR EMULSIFIER SALT,&lt;br /&gt; FIRMING AGENT,&lt;br /&gt; FLAVOR ENHANCER,&lt;br /&gt; FORMULATION AID,&lt;br /&gt; PROCESSING AID,&lt;br /&gt; STABILIZER OR THICKENER,&lt;br /&gt; SURFACE-ACTIVE AGENT,&lt;br /&gt; TEXTURIZER</t>
  </si>
  <si>
    <t xml:space="preserve"> 9005-35-0</t>
  </si>
  <si>
    <t xml:space="preserve"> ALGINATE, CALCIUM</t>
  </si>
  <si>
    <t xml:space="preserve"> &amp;diams; CALCIUM ALGINATE&lt;br /&gt;&amp;diams; ALGINIC ACID, CALCIUM SALT&lt;br /&gt;&amp;diams; ALGINATE, CALCIUM</t>
  </si>
  <si>
    <t xml:space="preserve"> 9005-36-1</t>
  </si>
  <si>
    <t xml:space="preserve"> ALGINATE, POTASSIUM</t>
  </si>
  <si>
    <t xml:space="preserve"> &amp;diams; POTASSIUM ALGINATE&lt;br /&gt;&amp;diams; ALGINIC ACID, POTASSIUM SALT&lt;br /&gt;&amp;diams; POTASSIUM POLYALGINATE</t>
  </si>
  <si>
    <t xml:space="preserve"> 12698-40-7</t>
  </si>
  <si>
    <t xml:space="preserve"> ALGINATE, SODIUM CALCIUM</t>
  </si>
  <si>
    <t xml:space="preserve"> &amp;diams; CALCIUM SODIUM ALGINATE&lt;br /&gt;&amp;diams; ALGINIC ACID, CALCIUM SODIUM SALT&lt;br /&gt;&amp;diams; SODIUM CALCIUM ALGINATE</t>
  </si>
  <si>
    <t xml:space="preserve"> 9005-32-7</t>
  </si>
  <si>
    <t xml:space="preserve"> ALGINIC ACID</t>
  </si>
  <si>
    <t xml:space="preserve"> &amp;diams; ALGINIC ACID&lt;br /&gt;&amp;diams; Acid Algin G 2</t>
  </si>
  <si>
    <t xml:space="preserve"> EMULSIFIER OR EMULSIFIER SALT,&lt;br /&gt; FORMULATION AID,&lt;br /&gt; STABILIZER OR THICKENER</t>
  </si>
  <si>
    <t xml:space="preserve"> 23444-65-7</t>
  </si>
  <si>
    <t xml:space="preserve"> ALKANET ROOT, EXTRACT (ALKANNA TINCTORIA TAUSCH)--NLFG</t>
  </si>
  <si>
    <t xml:space="preserve"> &amp;diams; ALKANET EXTRACT&lt;br /&gt;&amp;diams; ALKANET ROOT EXTRACT&lt;br /&gt;&amp;diams; ALCANNIN EXTRACT&lt;br /&gt;&amp;diams; ALKANNIN EXTRACT&lt;br /&gt;&amp;diams; ANCHUSIN EXTRACT&lt;br /&gt;&amp;diams; ALKANNA TINCTORIA EXTRACT&lt;br /&gt;&amp;diams; ORKANET EXTRACT&lt;br /&gt;&amp;diams; 1,4-NAPHTHALENEDIONE, 5,8-DIHYDROXY-6-(1-HYDROXY-4-METHYL-3-PENTENYL)-, (S)-&lt;br /&gt;&amp;diams; 5,8-DIHYDROXY-6-(1-HYDROXY-4-METHYL-3-PENTENYL)-1,4-NAPHTHALENEDIONE, (S)-&lt;br /&gt;&amp;diams; 1,4-NAPHTHALENEDIONE, 5,8-DIHYDROXY-6-(1-HYDROXY-4-METHYL-3-PENTENYL)-, (-)-&lt;br /&gt;&amp;diams; 5,8-DIHYDROXY-6-(1-HYDROXY-4-METHYL-3-PENTENYL)-1,4-NAPHTHALENEDIONE, (-)-</t>
  </si>
  <si>
    <t xml:space="preserve"> NLFG-2016</t>
  </si>
  <si>
    <t xml:space="preserve"> No longer FEMA GRAS (GRAS Pub. 4, 1970)</t>
  </si>
  <si>
    <t xml:space="preserve"> 68603-42-9</t>
  </si>
  <si>
    <t xml:space="preserve"> ALKANOLAMIDE OF COCONUT OIL FATTY ACIDS AND DIETHANOLAMINE</t>
  </si>
  <si>
    <t xml:space="preserve"> &amp;diams; COCOYL DIETHANOLAMIDE&lt;br /&gt;&amp;diams; ALKANOLAMIDE OF COCONUT OIL FATTY ACIDS AND DIETHANOLAMINE&lt;br /&gt;&amp;diams; AMIDES, COCO, N,N-BIS(HYDROXYETHYL)&lt;br /&gt;&amp;diams; COCONUT FATTY ACID DIETHANOLAMINE CONDENSATE&lt;br /&gt;&amp;diams; COCONUT OIL FATTY ACIDS DIETHANOLAMIDE&lt;br /&gt;&amp;diams; COCONUT OIL DIETHANOLAMIDE&lt;br /&gt;&amp;diams; DIETHANOLAMINE, COCONUT FATTY ACIDS CONDENSATE&lt;br /&gt;&amp;diams; N,N-BIS(HYDROXYETHYL)COCO AMIDE</t>
  </si>
  <si>
    <t xml:space="preserve"> 977043-74-5</t>
  </si>
  <si>
    <t xml:space="preserve"> ALKYLENE OXIDE ADDUCTS OF ALKYL ALCOHOLS/PHOSPHATE ESTERS OF SAME, MIXTURE</t>
  </si>
  <si>
    <t xml:space="preserve"> &amp;diams; ALKYLENE OXIDE ADDUCTS OF ALKYL ALCOHOLS/PHOSPHATE ESTERS OF SAME, MIXTURE</t>
  </si>
  <si>
    <t xml:space="preserve"> 977075-63-0</t>
  </si>
  <si>
    <t xml:space="preserve"> N-ALKYL(C8-C18 FROM COCONUT OIL) AMINE ACETATE</t>
  </si>
  <si>
    <t xml:space="preserve"> &amp;diams; ALKYL(C8-18)AMMONIUM ACETATE&lt;br /&gt;&amp;diams; ALKYL(C8-18)AMINE ACETATE&lt;br /&gt;&amp;diams; C8-18 ALKYLAMINE ACETATE&lt;br /&gt;&amp;diams; FATTY ALCOHOL(C8-18)AMINE ACETATE&lt;br /&gt;&amp;diams; N-ALKYL(C8-C18)AMINE ACETATE</t>
  </si>
  <si>
    <t xml:space="preserve"> 977044-31-7</t>
  </si>
  <si>
    <t xml:space="preserve"> ALPHA-ALKYL-OMEGA-HYDROXY-POLY(OXYETHYLENE)</t>
  </si>
  <si>
    <t xml:space="preserve"> &amp;diams; PEG-5 ALKYL(C10-12) ETHER&lt;br /&gt;&amp;diams; ALPHA-ALKYL-OMEGA-HYDROXYPOLY(OXYETHYLENE) 10 CARBON 5 ETHYLENE OXIDE&lt;br /&gt;&amp;diams; C10-12 ALKYL PEG-5 ETHER</t>
  </si>
  <si>
    <t xml:space="preserve"> 977051-72-1</t>
  </si>
  <si>
    <t xml:space="preserve"> ALLSPICE (PIMENTA OFFICINALIS LINDL.)</t>
  </si>
  <si>
    <t xml:space="preserve"> &amp;diams; ALLSPICE&lt;br /&gt;&amp;diams; PIMENTA&lt;br /&gt;&amp;diams; JAMAICA PEPPER&lt;br /&gt;&amp;diams; PIMENTA BERRY&lt;br /&gt;&amp;diams; PIMENTA OFFICINALIS&lt;br /&gt;&amp;diams; QUATRE-EPICES (PIMENTA OFFICINALIS OU DIOICA)&lt;br /&gt;&amp;diams; PIMENTO&lt;br /&gt;&amp;diams; PIMENTA DIOICA</t>
  </si>
  <si>
    <t xml:space="preserve"> COLOR OR COLORING ADJUNCT,&lt;br /&gt; FLAVORING AGENT OR ADJUVANT</t>
  </si>
  <si>
    <t xml:space="preserve"> 8006-77-7</t>
  </si>
  <si>
    <t xml:space="preserve"> ALLSPICE, OIL (PIMENTA OFFICINALIS LINDL.)</t>
  </si>
  <si>
    <t xml:space="preserve"> &amp;diams; ALLSPICE OIL&lt;br /&gt;&amp;diams; PIMENTA FRUIT OIL&lt;br /&gt;&amp;diams; PIMENTA BERRY OIL&lt;br /&gt;&amp;diams; OILS, PIMENTA&lt;br /&gt;&amp;diams; PIMENTA OFFICINALIS OIL</t>
  </si>
  <si>
    <t xml:space="preserve"> 977017-87-0</t>
  </si>
  <si>
    <t xml:space="preserve"> ALLSPICE, OLEORESIN (PIMENTA OFFICINALIS LINDL.)</t>
  </si>
  <si>
    <t xml:space="preserve"> &amp;diams; ALLSPICE OLEORESIN&lt;br /&gt;&amp;diams; PIMENTA OLEORESIN&lt;br /&gt;&amp;diams; PIMENTA BERRY OLEORESIN&lt;br /&gt;&amp;diams; PIMENTA OFFICINALIS OLEORESIN</t>
  </si>
  <si>
    <t xml:space="preserve"> 79-78-7</t>
  </si>
  <si>
    <t xml:space="preserve"> ALLYL ALPHA-IONONE</t>
  </si>
  <si>
    <t xml:space="preserve"> &amp;diams; ALLYL ALPHA-IONONE&lt;br /&gt;&amp;diams; 1-(2,6,6-TRIMETHYL-2-CYCLOHEXEN-1-YL)-1,6-HEPTADIEN-3-ONE&lt;br /&gt;&amp;diams; ALLYL CYCLOCITRYLIDENEACETONE&lt;br /&gt;&amp;diams; ALLYLIONONE, ALPHA-&lt;br /&gt;&amp;diams; BUTENYL ALPHA-CYCLOCITRYLIDENEMETHYL KETONE&lt;br /&gt;&amp;diams; CETONE V&lt;br /&gt;&amp;diams; CYCLOCITRYLIDENEMETHYL BUTENYL KETONE, ALPHA-&lt;br /&gt;&amp;diams; 1,6-HEPTADIEN-3-ONE, 1-(2,6,6-TRIMETHYL-2-CYCLOHEXEN-1-YL)-&lt;br /&gt;&amp;diams; ALLYL-ALPHA-IONONE</t>
  </si>
  <si>
    <t xml:space="preserve"> 7493-63-2</t>
  </si>
  <si>
    <t xml:space="preserve"> ALLYL ANTHRANILATE</t>
  </si>
  <si>
    <t xml:space="preserve"> &amp;diams; ALLYL ANTHRANILATE&lt;br /&gt;&amp;diams; ALLYL O-AMINOBENZOATE&lt;br /&gt;&amp;diams; ALLYL 2-AMINOBENZOATE&lt;br /&gt;&amp;diams; VINYL CARBINYL ANTHRANILATE&lt;br /&gt;&amp;diams; 2-PROPEN-1-YL ANTHRANILATE&lt;br /&gt;&amp;diams; 2-PROPEN-1-YL 2-AMINOBENZOATE&lt;br /&gt;&amp;diams; BENZOIC ACIC, 2-AMINO-, 2-PROPENYL ESTER&lt;br /&gt;&amp;diams; 2-PROPENYL 2-AMINOBENZOATE&lt;br /&gt;&amp;diams; ANTHRANILIC ACID, ALLYL ESTER</t>
  </si>
  <si>
    <t xml:space="preserve"> 2051-78-7</t>
  </si>
  <si>
    <t xml:space="preserve"> ALLYL BUTYRATE</t>
  </si>
  <si>
    <t xml:space="preserve"> &amp;diams; ALLYL BUTYRATE&lt;br /&gt;&amp;diams; 2-PROPEN-1-YL BUTANOATE&lt;br /&gt;&amp;diams; BUTANOIC ACID, 2-PROPENYL ESTER&lt;br /&gt;&amp;diams; 2-PROPENYL BUTANOATE&lt;br /&gt;&amp;diams; BUTYRIC ACID, ALLYL ESTER</t>
  </si>
  <si>
    <t xml:space="preserve"> 1866-31-5</t>
  </si>
  <si>
    <t xml:space="preserve"> ALLYL CINNAMATE</t>
  </si>
  <si>
    <t xml:space="preserve"> &amp;diams; ALLYL CINNAMATE&lt;br /&gt;&amp;diams; ALLYL BETA-PHENYLACRYLATE&lt;br /&gt;&amp;diams; ALLYL 3-PHENYL-2-PROPENOATE&lt;br /&gt;&amp;diams; PROPENYL CINNAMATE&lt;br /&gt;&amp;diams; VINYL CARBINYL CINNAMATE&lt;br /&gt;&amp;diams; 2-PROPEN-1-YL 3-PHENYL-2-PROPENOATE&lt;br /&gt;&amp;diams; 2-PROPENOIC ACID, 3-PHENYL-, 2-PROPENYL ESTER&lt;br /&gt;&amp;diams; 2-PROPENYL 3-PHENYL-2-PROPENOATE&lt;br /&gt;&amp;diams; CINNAMIC ACID, ALLYL ESTER</t>
  </si>
  <si>
    <t xml:space="preserve"> 20474-93-5</t>
  </si>
  <si>
    <t xml:space="preserve"> ALLYL CROTONATE</t>
  </si>
  <si>
    <t xml:space="preserve"> &amp;diams; ALLYL CROTONATE&lt;br /&gt;&amp;diams; ALLYL BETA-METHYLACRYLATE&lt;br /&gt;&amp;diams; ALLYL TRANS-2-BUTENOATE&lt;br /&gt;&amp;diams; 2-PROPENYL TRANS-2-BUTENOATE&lt;br /&gt;&amp;diams; 2-BUTENOIC ACID, 2-PROPENYL ESTER&lt;br /&gt;&amp;diams; 2-PROPENYL 2-BUTENOATE&lt;br /&gt;&amp;diams; CROTONIC ACID, ALLYL ESTER</t>
  </si>
  <si>
    <t xml:space="preserve"> 4728-82-9</t>
  </si>
  <si>
    <t xml:space="preserve"> ALLYL CYCLOHEXANEACETATE</t>
  </si>
  <si>
    <t xml:space="preserve"> &amp;diams; ALLYL CYCLOHEXANEACETATE&lt;br /&gt;&amp;diams; ALLYL CYCLOHEXYLACETATE&lt;br /&gt;&amp;diams; ALLYL HEXAHYDROPHENYLACETATE&lt;br /&gt;&amp;diams; CYCLOHEXANEACETIC ACID, 2-PROPENYL ESTER&lt;br /&gt;&amp;diams; CYCLOHEXANEACETIC ACID, ALLYL ESTER&lt;br /&gt;&amp;diams; 2-PROPEN-1-YL CYCLOHEXANEACETATE&lt;br /&gt;&amp;diams; 2-PROPENYL CYCLOHEXANEACETATE</t>
  </si>
  <si>
    <t xml:space="preserve"> 7493-65-4</t>
  </si>
  <si>
    <t xml:space="preserve"> ALLYL CYCLOHEXANEBUTYRATE</t>
  </si>
  <si>
    <t xml:space="preserve"> &amp;diams; ALLYL CYCLOHEXANEBUTYRATE&lt;br /&gt;&amp;diams; ALLYL HEXAHYDROPHENYLBUTYRATE&lt;br /&gt;&amp;diams; ALLYL 4-CYCLOHEXYLBUTYRATE&lt;br /&gt;&amp;diams; CYCLOHEXANEBUTANOIC ACID, 2-PROPENYL ESTER&lt;br /&gt;&amp;diams; CYCLOHEXANEBUTYRIC ACID, ALLYL ESTER&lt;br /&gt;&amp;diams; 2-PROPEN-1-YL CYCLOHEXANEBUTYRATE&lt;br /&gt;&amp;diams; 2-PROPENYL CYCLOHEXANEBUTANOATE</t>
  </si>
  <si>
    <t xml:space="preserve"> 7493-66-5</t>
  </si>
  <si>
    <t xml:space="preserve"> ALLYL CYCLOHEXANEHEXANOATE</t>
  </si>
  <si>
    <t xml:space="preserve"> &amp;diams; ALLYL CYCLOHEXANEHEXANOATE&lt;br /&gt;&amp;diams; ALLYL CYCLOHEXANECAPROATE&lt;br /&gt;&amp;diams; ALLYL HEXAHYDROPHENYLHEXANOATE&lt;br /&gt;&amp;diams; ALLYL 6-CYCLOHEXANEHEXANOATE&lt;br /&gt;&amp;diams; CYCLOHEXANEHEXANOIC ACID, 2-PROPENYL ESTER&lt;br /&gt;&amp;diams; CYCLOHEXANEHEXANOIC ACID, ALLYL ESTER&lt;br /&gt;&amp;diams; 2-PROPEN-1-YL CYCLOHEXANECAPROATE&lt;br /&gt;&amp;diams; 2-PROPENYL CYCLOHEXANEHEXANOATE</t>
  </si>
  <si>
    <t xml:space="preserve"> 2705-87-5</t>
  </si>
  <si>
    <t xml:space="preserve"> ALLYL CYCLOHEXANEPROPIONATE</t>
  </si>
  <si>
    <t xml:space="preserve"> &amp;diams; ALLYL CYCLOHEXANEPROPIONATE&lt;br /&gt;&amp;diams; ALLYL BETA-CYCLOHEXYLPROPIONATE&lt;br /&gt;&amp;diams; ALLYL HEXAHYDROPHENYLPROPIONATE&lt;br /&gt;&amp;diams; ALLYL 3-CYCLOHEXYLPROPIONATE&lt;br /&gt;&amp;diams; ALLYL CYCLOHEXYLPROPIONATE&lt;br /&gt;&amp;diams; CYCLOHEXANEPROPANOIC ACID, 2-PROPENYL ESTER&lt;br /&gt;&amp;diams; CYCLOHEXANEPROPIONIC ACID, ALLYL ESTER&lt;br /&gt;&amp;diams; 2-PROPEN-1-YL CYCLOHEXANEPROPIONATE&lt;br /&gt;&amp;diams; 2-PROPENYL CYCLOHEXANEPROPANOATE&lt;br /&gt;&amp;diams; 2-PROPENYL 3-CYCLOHEXYLPROPANOATE</t>
  </si>
  <si>
    <t xml:space="preserve"> 7493-68-7</t>
  </si>
  <si>
    <t xml:space="preserve"> ALLYL CYCLOHEXANEVALERATE</t>
  </si>
  <si>
    <t xml:space="preserve"> &amp;diams; ALLYL CYCLOHEXANEVALERATE&lt;br /&gt;&amp;diams; ALLYL CYCLOHEXANEPENTANOATE&lt;br /&gt;&amp;diams; ALLYL CYCLOHEXYLVALERATE&lt;br /&gt;&amp;diams; ALLYL HEXAHYDROPHENYLVALERATE&lt;br /&gt;&amp;diams; ALLYL 5-CYCLOHEXYLPENTANOATE&lt;br /&gt;&amp;diams; CYCLOHEXANEPENTANOIC ACID, 2-PROPENYL ESTER&lt;br /&gt;&amp;diams; CYCLOHEXANEVALERIC ACID, ALLYL ESTER&lt;br /&gt;&amp;diams; 2-PROPEN-1-YL CYCLOHEXANEPENTANOATE&lt;br /&gt;&amp;diams; 2-PROPEN-1-YL CYCLOHEXANEVALERATE&lt;br /&gt;&amp;diams; 2-PROPENYL CYCLOHEXANEPENTANOATE</t>
  </si>
  <si>
    <t xml:space="preserve"> 21593-77-1</t>
  </si>
  <si>
    <t xml:space="preserve"> S-ALLYL-L-CYSTEINE</t>
  </si>
  <si>
    <t xml:space="preserve"> &amp;diams; S-ALLYL-L-CYSTEINE&lt;br /&gt;&amp;diams; L-cysteine, S-2-propen-1-yl-&lt;br /&gt;&amp;diams; S-2-propen-1-yl-L-cysteine&lt;br /&gt;&amp;diams; L-cysteine, S-2-propenyl-&lt;br /&gt;&amp;diams; S-2-propenyl-L-cysteine&lt;br /&gt;&amp;diams; alanine, 3-(allylthio)-, L-&lt;br /&gt;&amp;diams; 3-(allylthio)alanine, L-&lt;br /&gt;&amp;diams; alanine, 3-(allylthio)-&lt;br /&gt;&amp;diams; 3-(allylthio)alanine&lt;br /&gt;&amp;diams; InChI=1S/C6H11NO2S/c1-2-3-10-4-5(7)6(8)9/h2,5H,1,3-4,7H2,(H,8,9)&lt;br /&gt;&amp;diams; InChIKey: ZFAHNWWNDFHPOH-UHFFFAOYSA-N</t>
  </si>
  <si>
    <t xml:space="preserve"> 6627-88-9</t>
  </si>
  <si>
    <t xml:space="preserve"> 4-ALLYL-2,6-DIMETHOXYPHENOL</t>
  </si>
  <si>
    <t xml:space="preserve"> &amp;diams; 4-ALLYL-2,6-DIMETHOXYPHENOL&lt;br /&gt;&amp;diams; METHOXYEUGENOL&lt;br /&gt;&amp;diams; PHENOL, 2,6-DIMETHOXY-4-(2-PROPENYL)-&lt;br /&gt;&amp;diams; PHENOL, 4-ALLYL-2,6-DIMETHOXY-&lt;br /&gt;&amp;diams; 2,6-DIMETHOXY-4-ALLYLPHENOL&lt;br /&gt;&amp;diams; 2,6-DIMETHOXYCHAVICOL&lt;br /&gt;&amp;diams; 2,6-DIMETHOXY-4-(2-PROPENYL)PHENOL&lt;br /&gt;&amp;diams; 4-ALLYLSYRINGOL&lt;br /&gt;&amp;diams; 4-HYDROXY-3,5-DIMETHOXYALLYLBENZENE&lt;br /&gt;&amp;diams; 6-METHOXYEUGENOL_x000D_
</t>
  </si>
  <si>
    <t xml:space="preserve"> 2179-57-9</t>
  </si>
  <si>
    <t xml:space="preserve"> ALLYL DISULFIDE</t>
  </si>
  <si>
    <t xml:space="preserve"> &amp;diams; ALLYL DISULFIDE&lt;br /&gt;&amp;diams; DIALLYL DISULFIDE&lt;br /&gt;&amp;diams; 2-PROPENYL DISULFIDE&lt;br /&gt;&amp;diams; DISULFIDE, DI-2-PROPENYL&lt;br /&gt;&amp;diams; DI(2-PROPENYL) DISULFIDE&lt;br /&gt;&amp;diams; 4,5-DITHIA-1,7-OCTADIENE</t>
  </si>
  <si>
    <t xml:space="preserve"> 7493-69-8</t>
  </si>
  <si>
    <t xml:space="preserve"> ALLYL 2-ETHYLBUTYRATE</t>
  </si>
  <si>
    <t xml:space="preserve"> &amp;diams; ALLYL 2-ETHYLBUTYRATE&lt;br /&gt;&amp;diams; BUTANOIC ACID, 2-ETHYL-, 2-PROPENYL ESTER&lt;br /&gt;&amp;diams; BUTYRIC ACID, 2-ETHYL-, 2-PROPENYL ESTER&lt;br /&gt;&amp;diams; 2-PROPENYL 2-ETHYLBUTANOATE&lt;br /&gt;&amp;diams; 2-PROPENYL 2-ETHYLBUTYRATE</t>
  </si>
  <si>
    <t xml:space="preserve"> 4208-49-5</t>
  </si>
  <si>
    <t xml:space="preserve"> ALLYL 2-FUROATE</t>
  </si>
  <si>
    <t xml:space="preserve"> &amp;diams; ALLYL 2-FUROATE&lt;br /&gt;&amp;diams; ALLYL FUROATE&lt;br /&gt;&amp;diams; ALLYL FURAN-2-CARBOXYLATE&lt;br /&gt;&amp;diams; ALLYL PYROMUCATE&lt;br /&gt;&amp;diams; 2-PROPEN-1-YL FURAN-2-CARBOXYLATE&lt;br /&gt;&amp;diams; 2-PROPEN-1-YL 2-FUROATE&lt;br /&gt;&amp;diams; 2-FURANCARBOXYLIC ACID, 2-PROPENYL ESTER&lt;br /&gt;&amp;diams; 2-PROPENYL 2-FURANCARBOXYLATE&lt;br /&gt;&amp;diams; 2-FUROIC ACID, ALLYL ESTER</t>
  </si>
  <si>
    <t xml:space="preserve"> 142-19-8</t>
  </si>
  <si>
    <t xml:space="preserve"> ALLYL HEPTANOATE</t>
  </si>
  <si>
    <t xml:space="preserve"> &amp;diams; ALLYL HEPTANOATE&lt;br /&gt;&amp;diams; ALLYL HEPTYLATE&lt;br /&gt;&amp;diams; ALLYL ENANTHATE&lt;br /&gt;&amp;diams; ALLYL HEPTOATE&lt;br /&gt;&amp;diams; HEPTANOIC ACID, 2-PROPENYL ESTER&lt;br /&gt;&amp;diams; HEPTANOIC ACID, ALLYL ESTER&lt;br /&gt;&amp;diams; 2-PROPENYL HEPTANOATE</t>
  </si>
  <si>
    <t xml:space="preserve"> 123-68-2</t>
  </si>
  <si>
    <t xml:space="preserve"> ALLYL HEXANOATE</t>
  </si>
  <si>
    <t xml:space="preserve"> &amp;diams; ALLYL HEXANOATE&lt;br /&gt;&amp;diams; ALLYL CAPROATE&lt;br /&gt;&amp;diams; 2-PROPENYL HEXANOATE&lt;br /&gt;&amp;diams; HEXANOIC ACID, 2-PROPENYL ESTER&lt;br /&gt;&amp;diams; HEXANOIC ACID, ALLYL ESTER</t>
  </si>
  <si>
    <t xml:space="preserve"> 977075-30-1</t>
  </si>
  <si>
    <t xml:space="preserve"> ALLYL HEXENOATE</t>
  </si>
  <si>
    <t xml:space="preserve"> &amp;diams; ALLYL HEXENOATE&lt;br /&gt;&amp;diams; ALLYL TRANS-2-HEXENOATE&lt;br /&gt;&amp;diams; ALLYL 2-HEXENOATE&lt;br /&gt;&amp;diams; 2-PROPENYL 2-HEXENOATE</t>
  </si>
  <si>
    <t xml:space="preserve"> 57-06-7</t>
  </si>
  <si>
    <t xml:space="preserve"> ALLYL ISOTHIOCYANATE</t>
  </si>
  <si>
    <t xml:space="preserve"> &amp;diams; ALLYL ISOTHIOCYANATE&lt;br /&gt;&amp;diams; MUSTARD OIL, VOLATILE&lt;br /&gt;&amp;diams; ALLYL MUSTARD OIL&lt;br /&gt;&amp;diams; ALLYL ISOSULFOCYANATE&lt;br /&gt;&amp;diams; ALLYL THIOCARBONIMIDE&lt;br /&gt;&amp;diams; 2-PROPENYL ISOTHIOCYANATE&lt;br /&gt;&amp;diams; MUSTARD OIL, VOLATILE, SYNTHETIC&lt;br /&gt;&amp;diams; 3-ISOTHIOCYANATO-1-PROPENE&lt;br /&gt;&amp;diams; SYNTHETIC MUSTARD OIL&lt;br /&gt;&amp;diams; 1-PROPENE, 3-ISOTHIOCYANATO-&lt;br /&gt;&amp;diams; ISOTHIOCYANIC ACID, ALLYL ESTER&lt;br /&gt;&amp;diams; ALLYL THIOISOCYANATE</t>
  </si>
  <si>
    <t xml:space="preserve"> 2835-39-4</t>
  </si>
  <si>
    <t xml:space="preserve"> ALLYL ISOVALERATE</t>
  </si>
  <si>
    <t xml:space="preserve"> &amp;diams; ALLYL ISOVALERATE&lt;br /&gt;&amp;diams; ALLYL ISOPENTANOATE&lt;br /&gt;&amp;diams; ALLYL ISOVALERIANATE&lt;br /&gt;&amp;diams; ALLYL 3-METHYLBUTANOATE&lt;br /&gt;&amp;diams; 2-PROPENYL ISOPENTANOATE&lt;br /&gt;&amp;diams; 2-PROPENYL ISOVALERATE&lt;br /&gt;&amp;diams; 2-PROPENYL 3-METHYLBUTANOATE&lt;br /&gt;&amp;diams; BUTANOIC ACID, 3-METHYL-, 2-PROPENYL ESTER&lt;br /&gt;&amp;diams; ISOVALERIC ACID, ALLYL ESTER</t>
  </si>
  <si>
    <t xml:space="preserve"> 870-23-5</t>
  </si>
  <si>
    <t xml:space="preserve"> ALLYL MERCAPTAN</t>
  </si>
  <si>
    <t xml:space="preserve"> &amp;diams; ALLYLTHIOL&lt;br /&gt;&amp;diams; 2-PROPENE-1-THIOL&lt;br /&gt;&amp;diams; ALLYL SULFHYDRATE&lt;br /&gt;&amp;diams; ALLYL MERCAPTAN</t>
  </si>
  <si>
    <t xml:space="preserve"> 2179-58-0</t>
  </si>
  <si>
    <t xml:space="preserve"> ALLYL METHYL DISULFIDE</t>
  </si>
  <si>
    <t xml:space="preserve"> &amp;diams; ALLYL METHYL DISULFIDE&lt;br /&gt;&amp;diams; DISULFIDE, METHYL 2-PROPENYL&lt;br /&gt;&amp;diams; DISULFIDE, ALLYL METHYL&lt;br /&gt;&amp;diams; METHYL ALLYL DISULFIDE&lt;br /&gt;&amp;diams; METHYL 2-PROPENYL DISULFIDE</t>
  </si>
  <si>
    <t xml:space="preserve"> 34135-85-8</t>
  </si>
  <si>
    <t xml:space="preserve"> ALLYL METHYL TRISULFIDE</t>
  </si>
  <si>
    <t xml:space="preserve"> &amp;diams; ALLYL METHYL TRISULFIDE&lt;br /&gt;&amp;diams; METHYL ALLYL TRISULFIDE&lt;br /&gt;&amp;diams; METHYL 2-PROPENYL TRISULFIDE&lt;br /&gt;&amp;diams; TRISULFIDE, METHYL 2-PROPENYL&lt;br /&gt;&amp;diams; TRISULFIDE, ALLYL METHYL</t>
  </si>
  <si>
    <t xml:space="preserve"> 7493-72-3</t>
  </si>
  <si>
    <t xml:space="preserve"> ALLYL NONANOATE</t>
  </si>
  <si>
    <t xml:space="preserve"> &amp;diams; ALLYL NONANOATE&lt;br /&gt;&amp;diams; ALLYL NONYLATE&lt;br /&gt;&amp;diams; ALLYL PELARGONATE&lt;br /&gt;&amp;diams; 2-PROPENYL NONANOATE&lt;br /&gt;&amp;diams; 2-PROPENYL PELARGONATE&lt;br /&gt;&amp;diams; NONANOIC ACID, 2-PROPENYL ESTER&lt;br /&gt;&amp;diams; NONANOIC ACID, ALLYL ESTER</t>
  </si>
  <si>
    <t xml:space="preserve"> 4230-97-1</t>
  </si>
  <si>
    <t xml:space="preserve"> ALLYL OCTANOATE</t>
  </si>
  <si>
    <t xml:space="preserve"> &amp;diams; ALLYL OCTANOATE&lt;br /&gt;&amp;diams; ALLYL CAPRYLATE&lt;br /&gt;&amp;diams; ALLYL OCTYLATE&lt;br /&gt;&amp;diams; 2-PROPENYL OCTANOATE&lt;br /&gt;&amp;diams; 2-PROPENYL OCTYLATE&lt;br /&gt;&amp;diams; OCTANOIC ACID, 2-PROPENYL ESTER&lt;br /&gt;&amp;diams; OCTANOIC ACID, ALLYL ESTER</t>
  </si>
  <si>
    <t xml:space="preserve"> 501-92-8</t>
  </si>
  <si>
    <t xml:space="preserve"> 4-ALLYLPHENOL</t>
  </si>
  <si>
    <t xml:space="preserve"> &amp;diams; CHAVICOL&lt;br /&gt;&amp;diams; HYDROXYALLYLBENZENE, P-&lt;br /&gt;&amp;diams; ALLYLPHENOL, P-&lt;br /&gt;&amp;diams; 4-(2-PROPENYL)PHENOL&lt;br /&gt;&amp;diams; PHENOL, P-ALLYL-&lt;br /&gt;&amp;diams; PHENOL, 4-(2-PROPENYL)-&lt;br /&gt;&amp;diams; 4-ALLYLPHENOL</t>
  </si>
  <si>
    <t xml:space="preserve"> 7493-74-5</t>
  </si>
  <si>
    <t xml:space="preserve"> ALLYL PHENOXYACETATE</t>
  </si>
  <si>
    <t xml:space="preserve"> &amp;diams; ALLYL PHENOXYACETATE&lt;br /&gt;&amp;diams; ACETATE PA&lt;br /&gt;&amp;diams; 2-PROPENYL PHENOXYACETATE&lt;br /&gt;&amp;diams; ACETIC ACID, PHENOXY-, 2-PROPENYL ESTER&lt;br /&gt;&amp;diams; ACETIC ACID, PHENOXY-, ALLYL ESTER</t>
  </si>
  <si>
    <t xml:space="preserve"> 1797-74-6</t>
  </si>
  <si>
    <t xml:space="preserve"> ALLYL PHENYLACETATE</t>
  </si>
  <si>
    <t xml:space="preserve"> &amp;diams; ALLYL PHENYLACETATE&lt;br /&gt;&amp;diams; ALLYL ALPHA-TOLUATE&lt;br /&gt;&amp;diams; 2-PROPENYL PHENYLACETATE&lt;br /&gt;&amp;diams; BENZENEACETIC ACID, 2-PROPENYL ESTER&lt;br /&gt;&amp;diams; 2-PROPENYL BENZENEACETATE&lt;br /&gt;&amp;diams; ACETIC ACID, PHENYL-, ALLYL ESTER</t>
  </si>
  <si>
    <t xml:space="preserve"> 2408-20-0</t>
  </si>
  <si>
    <t xml:space="preserve"> ALLYL PROPIONATE</t>
  </si>
  <si>
    <t xml:space="preserve"> &amp;diams; ALLYL PROPIONATE&lt;br /&gt;&amp;diams; ALLYL PROPANOATE&lt;br /&gt;&amp;diams; 2-PROPENYL PROPANOATE&lt;br /&gt;&amp;diams; PROPANOIC ACID, 2-PROPENYL ESTER&lt;br /&gt;&amp;diams; PROPIONIC ACID, ALLYL ESTER</t>
  </si>
  <si>
    <t xml:space="preserve"> 2179-59-1</t>
  </si>
  <si>
    <t xml:space="preserve"> ALLYL PROPYL DISULFIDE</t>
  </si>
  <si>
    <t xml:space="preserve"> &amp;diams; ALLYL PROPYL DISULFIDE&lt;br /&gt;&amp;diams; disulfide, 2-propen-1-yl propyl&lt;br /&gt;&amp;diams; disulfide, 2-propenyl propyl&lt;br /&gt;&amp;diams; disulfide, allyl propyl&lt;br /&gt;&amp;diams; 2-propenyl propyl disulfide&lt;br /&gt;&amp;diams; 2-propen-1-yl propyl disulfide</t>
  </si>
  <si>
    <t xml:space="preserve"> 7493-75-6</t>
  </si>
  <si>
    <t xml:space="preserve"> ALLYL SORBATE</t>
  </si>
  <si>
    <t xml:space="preserve"> &amp;diams; ALLYL SORBATE&lt;br /&gt;&amp;diams; ALLYL 2,4-HEXADIENOATE&lt;br /&gt;&amp;diams; 2-PROPENYL 2,4-HEXADIENOATE, TRANS,TRANS-&lt;br /&gt;&amp;diams; 2,4-HEXADIENOIC ACID, 2-PROPENYL ESTER, (E,E)-&lt;br /&gt;&amp;diams; 2-PROPENYL 2,4-HEXADIENOATE, (E,E)-&lt;br /&gt;&amp;diams; SORBIC ACID, ALLYL ESTER</t>
  </si>
  <si>
    <t xml:space="preserve"> 592-88-1</t>
  </si>
  <si>
    <t xml:space="preserve"> ALLYL SULFIDE</t>
  </si>
  <si>
    <t xml:space="preserve"> &amp;diams; ALLYL SULFIDE&lt;br /&gt;&amp;diams; DIALLYL SULFIDE&lt;br /&gt;&amp;diams; THIOALLYL ETHER&lt;br /&gt;&amp;diams; 2-PROPENYL SULFIDE&lt;br /&gt;&amp;diams; 1-PROPENE, 3,3'-THIOBIS-&lt;br /&gt;&amp;diams; 3,3'-THIOBIS(1-PROPENE)&lt;br /&gt;&amp;diams; ALLYL MONOSULFIDE&lt;br /&gt;&amp;diams; DIALLYL THIOETHER</t>
  </si>
  <si>
    <t xml:space="preserve"> 156420-69-8</t>
  </si>
  <si>
    <t xml:space="preserve"> ALLYL THIOHEXANOATE</t>
  </si>
  <si>
    <t xml:space="preserve"> &amp;diams; ALLYL THIOHEXANOATE&lt;br /&gt;&amp;diams; hexanethioic acid, S-2-propenyl ester&lt;br /&gt;&amp;diams; S-2-propenylhexanethioate&lt;br /&gt;&amp;diams; InChI=1S/C7H12OS/c1-3-5-7(8)9-6-4-2/h4H,2-3,5-6H2,1H3&lt;br /&gt;&amp;diams; InChiKey=MEMKOMIVTLMKLO-UHFFFAOYSA-N</t>
  </si>
  <si>
    <t xml:space="preserve"> 41820-22-8</t>
  </si>
  <si>
    <t xml:space="preserve"> ALLYL THIOPROPIONATE</t>
  </si>
  <si>
    <t xml:space="preserve"> &amp;diams; ALLYL THIOPROPIONATE&lt;br /&gt;&amp;diams; S-2-PROPENYL PROPANETHIOATE&lt;br /&gt;&amp;diams; THIOACRYLIC PROPIONATE&lt;br /&gt;&amp;diams; S-ALLYL THIOPROPIONATE&lt;br /&gt;&amp;diams; PROPANETHIOIC ACID, S-2-PROPENYL ESTER</t>
  </si>
  <si>
    <t xml:space="preserve"> FLAVORING AGENT OR ADJUVANT,&lt;br /&gt; PH CONTROL AGENT</t>
  </si>
  <si>
    <t xml:space="preserve"> 7493-71-2</t>
  </si>
  <si>
    <t xml:space="preserve"> ALLYL TIGLATE</t>
  </si>
  <si>
    <t xml:space="preserve"> &amp;diams; ALLYL TIGLATE&lt;br /&gt;&amp;diams; ALLYL TRANS-2-METHYL-2-BUTENOATE&lt;br /&gt;&amp;diams; 2-BUTENOIC ACID, 2-METHYL-, 2-PROPENYL ESTER, (E)-&lt;br /&gt;&amp;diams; 2-PROPENYL 2-METHYL-2-BUTENOATE, (E)-&lt;br /&gt;&amp;diams; TIGLIC ACID, ALLYL ESTER</t>
  </si>
  <si>
    <t xml:space="preserve"> 7493-76-7</t>
  </si>
  <si>
    <t xml:space="preserve"> ALLYL 10-UNDECENOATE</t>
  </si>
  <si>
    <t xml:space="preserve"> &amp;diams; ALLYL 10-UNDECENOATE&lt;br /&gt;&amp;diams; ALLYL UNDECYLENATE&lt;br /&gt;&amp;diams; 2-PROPENYL 10-UNDECENOATE&lt;br /&gt;&amp;diams; 10-UNDECENOIC ACID, 2-PROPENYL ESTER&lt;br /&gt;&amp;diams; 10-UNDECENOIC ACID, ALLYL ESTER</t>
  </si>
  <si>
    <t xml:space="preserve"> 6321-45-5</t>
  </si>
  <si>
    <t xml:space="preserve"> ALLYL VALERATE</t>
  </si>
  <si>
    <t xml:space="preserve"> &amp;diams; ALLYL VALERATE&lt;br /&gt;&amp;diams; allyl pentanoate&lt;br /&gt;&amp;diams; pentanoic acid, 2-propenyl ester&lt;br /&gt;&amp;diams; valeric acid, allyl ester&lt;br /&gt;&amp;diams; 2-propenyl pentanoate</t>
  </si>
  <si>
    <t xml:space="preserve"> 8013-76-1</t>
  </si>
  <si>
    <t xml:space="preserve"> ALMOND, BITTER, OIL (FFPA) (PRUNUS SPP.)</t>
  </si>
  <si>
    <t xml:space="preserve"> &amp;diams; ALMOND OIL, BITTER&lt;br /&gt;&amp;diams; OILS, BITTER ALMOND</t>
  </si>
  <si>
    <t xml:space="preserve"> 84837-08-1</t>
  </si>
  <si>
    <t xml:space="preserve"> ALOE, EXTRACT (ALOE SPP.)</t>
  </si>
  <si>
    <t xml:space="preserve"> &amp;diams; ALOE EXTRACT&lt;br /&gt;&amp;diams; ALOE, EXT.</t>
  </si>
  <si>
    <t xml:space="preserve"> 7493-80-3</t>
  </si>
  <si>
    <t xml:space="preserve"> ALPHA-AMYLCINNAMYL ISOVALERATE</t>
  </si>
  <si>
    <t xml:space="preserve"> &amp;diams; ALPHA-AMYLCINNAMYL ISOVALERATE&lt;br /&gt;&amp;diams; ALPHA-PENTYLCINNAMYL ISOVALERATE&lt;br /&gt;&amp;diams; ALPHA-AMYLCINNAMYL ISOVALERIANATE&lt;br /&gt;&amp;diams; ALPHA-AMYL-BETA-PHENYLACRYL 3-METHYLBUTANOATE&lt;br /&gt;&amp;diams; BUTANOIC ACID, 3-METHYL-, 2-(PHENYLMETHYLENE)HEPTYL ESTER&lt;br /&gt;&amp;diams; BETA-PENTYLCINNAMYL ISOVALERATE&lt;br /&gt;&amp;diams; ISOVALERIC ACID, BETA-PENTYLCINNAMYL ESTER&lt;br /&gt;&amp;diams; 2-BENZYLIDENEHEPTYL ISOVALERATE&lt;br /&gt;&amp;diams; 2-(PHENYLMETHYLENE)HEPTYL 3-METHYLBUTANOATE&lt;br /&gt;&amp;diams; 2-BENZYLIDENE-1-HEPTYL ISOVALERATE</t>
  </si>
  <si>
    <t xml:space="preserve"> 10031-86-4</t>
  </si>
  <si>
    <t xml:space="preserve"> ALPHA-ETHYL BENZYL BUTYRATE</t>
  </si>
  <si>
    <t xml:space="preserve"> &amp;diams; 1-PHENYLPROPYL BUTYRATE&lt;br /&gt;&amp;diams; ALPHA-ETHYLBENZYL BUTYRATE&lt;br /&gt;&amp;diams; ALPHA-PHENYLPROPYL BUTYRATE&lt;br /&gt;&amp;diams; BUTANOIC ACID, 1-PHENYLPROPYL ESTER&lt;br /&gt;&amp;diams; BUTYRIC ACID, ALPHA-ETHYLBENZYL ESTER&lt;br /&gt;&amp;diams; ETHYL PHENYL CARBINYL BUTYRATE&lt;br /&gt;&amp;diams; 1-PHENYLPROPYL BUTANOATE&lt;br /&gt;&amp;diams; 1-PHENYL-1-PROPYL BUTYRATE</t>
  </si>
  <si>
    <t xml:space="preserve"> 977174-28-9</t>
  </si>
  <si>
    <t xml:space="preserve"> ALPHA-HYDRO-OMEGA-HYDROXY POLY(OXYETHYLENE) POLY(OXYPROPYLENE) POLY(OXYETHYLENE) (15 MOLE MINIMUM) BLOCKED COPOLYMER, LOW ERUCIC ACID RAPESEED OIL POLYMERS</t>
  </si>
  <si>
    <t xml:space="preserve"> &amp;diams; CANOLA OIL FATTY ACIDS, PEG/PPG/PEG (BLOCK) MONOESTERS&lt;br /&gt;&amp;diams; ALPHA-HYDRO-OMEGA-HYDROXYPOLY(OXYETHYLENE)/POLY(OXYPROPYLENE)/POLY(OXYETHYLENE) BLOCK COPOLYMER, LOW ERUCIC ACID RAPESEED OIL MONOESTERS&lt;br /&gt;&amp;diams; LOW ERUCIC ACID RAPESEED OIL FATTY ACIDS, PEG/PPG/PEG (BLOCK) MONOESTERS&lt;br /&gt;&amp;diams; PEG/PPG BLOCK COPOLYMER, CANOLA OIL FATTY ACID MONOESTERS</t>
  </si>
  <si>
    <t xml:space="preserve"> SURFACE-ACTIVE AGENT</t>
  </si>
  <si>
    <t xml:space="preserve"> 7779-78-4</t>
  </si>
  <si>
    <t xml:space="preserve"> ALPHA-ISOBUTYLPHENETHYL ALCOHOL</t>
  </si>
  <si>
    <t xml:space="preserve"> &amp;diams; ALPHA-ISOBUTYLPHENETHYL ALCOHOL&lt;br /&gt;&amp;diams; BENZYLISOAMYL ALCOHOL&lt;br /&gt;&amp;diams; BENZYLISOBUTYLCARBINOL&lt;br /&gt;&amp;diams; BENZENEETHANOL, ALPHA-(2-METHYLPROPYL)-&lt;br /&gt;&amp;diams; ALPHA-(2-METHYLPROPYL)BENZENEETHANOL&lt;br /&gt;&amp;diams; ISOBUTYLBENZYLCARBINOL&lt;br /&gt;&amp;diams; ISOBUTYLPHENETHYL ALCOHOL&lt;br /&gt;&amp;diams; PHENETHYL ALCOHOL, ALPHA-ISOBUTYL-&lt;br /&gt;&amp;diams; 2-METHYLPROPYL BENZYL CARBINOL&lt;br /&gt;&amp;diams; 4-METHYL-1-PHENYL-2-PENTANOL</t>
  </si>
  <si>
    <t xml:space="preserve"> 3460-44-4</t>
  </si>
  <si>
    <t xml:space="preserve"> ALPHA-METHYLBENZYL BUTYRATE</t>
  </si>
  <si>
    <t xml:space="preserve"> &amp;diams; ALPHA-METHYLBENZYL BUTYRATE&lt;br /&gt;&amp;diams; BUTANOIC ACID, 1-PHENYLETHYL ESTER&lt;br /&gt;&amp;diams; BUTYRIC ACID, ALPHA-METHYLBENZYL ESTER&lt;br /&gt;&amp;diams; ALPHA-PHENETHYL BUTYRATE&lt;br /&gt;&amp;diams; METHYLPHENYLCARBINYL BUTYRATE&lt;br /&gt;&amp;diams; STYRALYL BUTYRATE&lt;br /&gt;&amp;diams; 1-PHENYL-1-ETHYL BUTANOATE&lt;br /&gt;&amp;diams; 1-PHENYLETHYL BUTANOATE</t>
  </si>
  <si>
    <t xml:space="preserve"> 7775-39-5</t>
  </si>
  <si>
    <t xml:space="preserve"> ALPHA-METHYLBENZYL ISOBUTYRATE</t>
  </si>
  <si>
    <t xml:space="preserve"> &amp;diams; ALPHA-METHYLBENZYL ISOBUTYRATE&lt;br /&gt;&amp;diams; ALPHA-METHYLBENZYL 2-METHYLPROPANOATE&lt;br /&gt;&amp;diams; ISOBUTYRIC ACID, ALPHA-METHYLBENZYL ESTER&lt;br /&gt;&amp;diams; METHYLPHENYLCARBINYL ISOBUTYRATE&lt;br /&gt;&amp;diams; PROPANOIC ACID, 2-METHYL-, 1-PHENYLETHYL ESTER&lt;br /&gt;&amp;diams; STYRALYL ISOBUTYRATE&lt;br /&gt;&amp;diams; 1-PHENYL-1-ETHYL 2-METHYLPROPANOATE&lt;br /&gt;&amp;diams; 1-PHENYL-1-ETHYL ISOBUTYRATE</t>
  </si>
  <si>
    <t xml:space="preserve"> 4345-03-3</t>
  </si>
  <si>
    <t xml:space="preserve"> ALPHA-TOCOPHEROL ACID SUCCINATE</t>
  </si>
  <si>
    <t xml:space="preserve"> &amp;diams; ALPHA-TOCOPHERYL SUCCINATE, D-&lt;br /&gt;&amp;diams; BUTANEDIOIC ACID, MONO(3,4-DIHYDRO-2,5,7,8-TETRAMETHYL-2-(4,8,12-TRIMETHYLTRIDECYL)-2H-1-BENZOPYRAN-6-YL) ESTER, (2R-(2R*(4R*,8R*)))-&lt;br /&gt;&amp;diams; ALPHA-TOCOPHERYL HEMISUCCINATE&lt;br /&gt;&amp;diams; ALPHA-TOCOPHEROL ACID SUCCINATE, D-&lt;br /&gt;&amp;diams; ALPHA-TOCOPHERYL SUCCINATE&lt;br /&gt;&amp;diams; MONO(3,4-DIHYDRO-2,5,7,8-TETRAMETHYL-2-(4,8,12-TRIMETHYLTRIDECYL)-2H-1-BENZOPYRAN-6-YL) BUTANEDIOATE, (2R-(2R*(4R*,8R*)))-&lt;br /&gt;&amp;diams; MONO(2,5,7,8-TETRAMETHYL-2-(4,8,12-TRIMETHYLTRIDECYL)-6-CHROMANYL) SUCCINATE, (+)-&lt;br /&gt;&amp;diams; TOCOPHEROL ACID SUCCINATE, ALPHA-&lt;br /&gt;&amp;diams; SUCCINIC ACID, MONO(2,5,7,8-TETRAMETHYL-2-(4,8,12-TRIMETHYLTRIDECYL)-6-CHROMANYL) ESTER, (+)-&lt;br /&gt;&amp;diams; TOCOPHERYL HEMISUCCINATE, ALPHA-&lt;br /&gt;&amp;diams; TOCOPHERYL SUCCINATE, D-ALPHA-&lt;br /&gt;&amp;diams; TOCOPHERYL SUCCINATE, ALPHA-&lt;br /&gt;&amp;diams; 2,5,7,8-TETRAMETHYL-2-(4,8,12-TRIMETHYLTRIDECYL)-6-CHROMANYL HYDROGEN SUCCINATE, (+)-&lt;br /&gt;&amp;diams; 6-CHROMANOL, 2,5,7,8-TETRAMETHYL-2-(4,8,12-TRIMETHYLTRIDECYL)-, HYDROGEN SUCCINATE, (+)-&lt;br /&gt;&amp;diams; vitamine E d-alpha-tocosuccinate&lt;br /&gt;&amp;diams; vitamin E hemisuccinate</t>
  </si>
  <si>
    <t xml:space="preserve"> 977052-71-3</t>
  </si>
  <si>
    <t xml:space="preserve"> ALTHEA FLOWERS (ALTHEA OFFICINALIS L.)</t>
  </si>
  <si>
    <t xml:space="preserve"> &amp;diams; ALTHEA FLOWER&lt;br /&gt;&amp;diams; ALTHEA OFFICINALIS FLOWER</t>
  </si>
  <si>
    <t xml:space="preserve"> 977005-75-6</t>
  </si>
  <si>
    <t xml:space="preserve"> ALTHEA ROOT (ALTHEA OFFICINALIS L.)</t>
  </si>
  <si>
    <t xml:space="preserve"> &amp;diams; ALTHEA&lt;br /&gt;&amp;diams; ALTHEA ROOT&lt;br /&gt;&amp;diams; ALTHEA OFFICINALIS&lt;br /&gt;&amp;diams; MARSH MALLOW PLANT&lt;br /&gt;&amp;diams; MARSH MALLOW ROOT&lt;br /&gt;&amp;diams; WHITE MALLOW&lt;br /&gt;&amp;diams; MARSH MALLOW&lt;br /&gt;&amp;diams; ALTHAEA OFFICINALIS</t>
  </si>
  <si>
    <t xml:space="preserve"> 977007-61-6</t>
  </si>
  <si>
    <t xml:space="preserve"> ALUM (DOUBLE SULFATE OF AL AND NH4, K, OR NA)</t>
  </si>
  <si>
    <t xml:space="preserve"> &amp;diams; ALUM</t>
  </si>
  <si>
    <t xml:space="preserve"> FIRMING AGENT</t>
  </si>
  <si>
    <t xml:space="preserve"> 7784-26-1</t>
  </si>
  <si>
    <t xml:space="preserve"> ALUMINUM AMMONIUM SULFATE</t>
  </si>
  <si>
    <t xml:space="preserve"> &amp;diams; ALUMINUM AMMONIUM SULFATE&lt;br /&gt;&amp;diams; ALUM, AMMONIUM&lt;br /&gt;&amp;diams; ALUMINUM AMMONIUM SULFATE DODECAHYDRATE&lt;br /&gt;&amp;diams; AMMONIUM ALUMINUM SULFATE&lt;br /&gt;&amp;diams; SULFURIC ACID, ALUMINUM AMMONIUM SALT (2:1:1), DODECAHYDRATE</t>
  </si>
  <si>
    <t xml:space="preserve"> LEAVENING AGENT,&lt;br /&gt; PH CONTROL AGENT,&lt;br /&gt; PROCESSING AID,&lt;br /&gt; SURFACE-FINISHING AGENT</t>
  </si>
  <si>
    <t xml:space="preserve"> 1327-39-5</t>
  </si>
  <si>
    <t xml:space="preserve"> ALUMINUM CALCIUM SILICATE</t>
  </si>
  <si>
    <t xml:space="preserve"> &amp;diams; ALUMINUM CALCIUM SILICATE&lt;br /&gt;&amp;diams; ALUMINOSILICIC ACID, CALCIUM SALT&lt;br /&gt;&amp;diams; CALCIUM ALUMINOSILICATE&lt;br /&gt;&amp;diams; CALCIUM ALUMINUM SILICATE&lt;br /&gt;&amp;diams; CALCIUM SILICOALUMINATE&lt;br /&gt;&amp;diams; SILICIC ACID, ALUMINUM CALCIUM SALT</t>
  </si>
  <si>
    <t xml:space="preserve"> 22620-93-5</t>
  </si>
  <si>
    <t xml:space="preserve"> ALUMINUM CAPRATE</t>
  </si>
  <si>
    <t xml:space="preserve"> &amp;diams; ALUMINUM DECANOATE&lt;br /&gt;&amp;diams; ALUMINUM CAPRATE&lt;br /&gt;&amp;diams; DECANOIC ACID, ALUMINUM SALT</t>
  </si>
  <si>
    <t xml:space="preserve"> ANTICAKING AGENT OR FREE-FLOW AGENT,&lt;br /&gt; EMULSIFIER OR EMULSIFIER SALT,&lt;br /&gt; FORMULATION AID</t>
  </si>
  <si>
    <t xml:space="preserve"> 6028-57-5</t>
  </si>
  <si>
    <t xml:space="preserve"> ALUMINUM CAPRYLATE</t>
  </si>
  <si>
    <t xml:space="preserve"> &amp;diams; ALUMINUM OCTANOATE&lt;br /&gt;&amp;diams; ALUMINUM OCTOATE&lt;br /&gt;&amp;diams; OCTANOIC ACID, ALUMINUM SALT</t>
  </si>
  <si>
    <t xml:space="preserve"> 21645-51-2</t>
  </si>
  <si>
    <t xml:space="preserve"> ALUMINUM HYDROXIDE</t>
  </si>
  <si>
    <t xml:space="preserve"> &amp;diams; ALUMINUM HYDROXIDE&lt;br /&gt;&amp;diams; ALUMINA, HYDRATED&lt;br /&gt;&amp;diams; HYDRATED ALUMINA&lt;br /&gt;&amp;diams; ALUMINUM OXIDE HYDRATE&lt;br /&gt;&amp;diams; ALUMINUM, HYDRATED&lt;br /&gt;&amp;diams; ALUMINUM HYDRATE&lt;br /&gt;&amp;diams; ALUMINUM TRIHYDRATE&lt;br /&gt;&amp;diams; ALUMINUM HYDROXIDE (AL(OH)3)</t>
  </si>
  <si>
    <t xml:space="preserve"> COLOR OR COLORING ADJUNCT,&lt;br /&gt; PROCESSING AID</t>
  </si>
  <si>
    <t xml:space="preserve"> 7230-93-5</t>
  </si>
  <si>
    <t xml:space="preserve"> ALUMINUM LAURATE</t>
  </si>
  <si>
    <t xml:space="preserve"> &amp;diams; ALUMINUM LAURATE&lt;br /&gt;&amp;diams; DODECANOIC ACID, ALUMINUM SALT&lt;br /&gt;&amp;diams; ALUMINUM DODECANOATE&lt;br /&gt;&amp;diams; LAURIC ACID, ALUMINUM SALT&lt;br /&gt;&amp;diams; ALUMINUM DODECYLATE</t>
  </si>
  <si>
    <t xml:space="preserve"> 4040-50-0</t>
  </si>
  <si>
    <t xml:space="preserve"> ALUMINUM MYRISTATE</t>
  </si>
  <si>
    <t xml:space="preserve"> &amp;diams; ALUMINUM MYRISTATE&lt;br /&gt;&amp;diams; MYRISTIC ACID, ALUMINUM SALT&lt;br /&gt;&amp;diams; TETRADECANOIC ACID, ALUMINUM SALT&lt;br /&gt;&amp;diams; ALUMINUM TETRADECANOATE</t>
  </si>
  <si>
    <t xml:space="preserve"> 1976-28-9</t>
  </si>
  <si>
    <t xml:space="preserve"> ALUMINUM NICOTINATE</t>
  </si>
  <si>
    <t xml:space="preserve"> &amp;diams; ALUMINUM NICOTINATE&lt;br /&gt;&amp;diams; 3-PYRIDINECARBOXYLIC ACID, ALUMINUM SALT&lt;br /&gt;&amp;diams; ALUMINUM 3-PYRIDINECARBOXYLATE&lt;br /&gt;&amp;diams; ALUMINUM, TRIS(NICOTINATO)-&lt;br /&gt;&amp;diams; TRIS(NICOTINATO)ALUMINUM&lt;br /&gt;&amp;diams; NICOTINIC ACID, ALUMINUM SALT</t>
  </si>
  <si>
    <t xml:space="preserve"> 688-37-9</t>
  </si>
  <si>
    <t xml:space="preserve"> ALUMINUM OLEATE</t>
  </si>
  <si>
    <t xml:space="preserve"> &amp;diams; ALUMINUM OLEATE&lt;br /&gt;&amp;diams; 9-OCTADECENOIC ACID (Z)-, ALUMINUM SALT&lt;br /&gt;&amp;diams; ALUMINUM 9-OCTADECENOATE, (Z)-&lt;br /&gt;&amp;diams; OLEIC ACID, ALUMINUM SALT&lt;br /&gt;&amp;diams; ALUMINUM TRIOLEATE</t>
  </si>
  <si>
    <t xml:space="preserve"> 555-35-1</t>
  </si>
  <si>
    <t xml:space="preserve"> ALUMINUM PALMITATE</t>
  </si>
  <si>
    <t xml:space="preserve"> &amp;diams; ALUMINUM PALMITATE&lt;br /&gt;&amp;diams; HEXADECANOIC ACID, ALUMINUM SALT&lt;br /&gt;&amp;diams; ALUMINUM HEXADECANOATE&lt;br /&gt;&amp;diams; PALMITIC ACID, ALUMINUM SALT</t>
  </si>
  <si>
    <t xml:space="preserve"> 7784-24-9</t>
  </si>
  <si>
    <t xml:space="preserve"> ALUMINUM POTASSIUM SULFATE</t>
  </si>
  <si>
    <t xml:space="preserve"> &amp;diams; ALUMINUM POTASSIUM SULFATE&lt;br /&gt;&amp;diams; ALUM, POTASSIUM&lt;br /&gt;&amp;diams; ALUMINUM POTASSIUM SULFATE DODECAHYDRATE&lt;br /&gt;&amp;diams; POTASH ALUM&lt;br /&gt;&amp;diams; POTASSIUM ALUMINUM SULFATE&lt;br /&gt;&amp;diams; SULFURIC ACID, ALUMINUM POTASSIUM SALT (2:1:1), DODECAHYDRATE</t>
  </si>
  <si>
    <t xml:space="preserve"> FIRMING AGENT,&lt;br /&gt; FUMIGANT,&lt;br /&gt; PH CONTROL AGENT</t>
  </si>
  <si>
    <t xml:space="preserve"> 133.102 ,  133.106 ,  133.111 ,  133.141 ,  133.165 ,  133.181 ,  133.183 ,  133.195 ,  137.105</t>
  </si>
  <si>
    <t xml:space="preserve"> 977089-51-2</t>
  </si>
  <si>
    <t xml:space="preserve"> ALUMINUM SALTS OF FATTY ACIDS</t>
  </si>
  <si>
    <t xml:space="preserve"> &amp;diams; FATTY ACIDS, ALUMINUM SALTS&lt;br /&gt;&amp;diams; ALUMINUM SALTS OF FATTY ACIDS&lt;br /&gt;&amp;diams; ALUMINUM FATTY ACID SALTS&lt;br /&gt;&amp;diams; ALUMINUM SOAP&lt;br /&gt;&amp;diams; SOAP, ALUMINUM</t>
  </si>
  <si>
    <t xml:space="preserve"> 7784-28-3</t>
  </si>
  <si>
    <t xml:space="preserve"> ALUMINUM SODIUM SULFATE</t>
  </si>
  <si>
    <t xml:space="preserve"> &amp;diams; ALUMINUM SODIUM SULFATE&lt;br /&gt;&amp;diams; ALUMINUM SODIUM SULFATE DODECAHYDRATE&lt;br /&gt;&amp;diams; ALUM, SODIUM&lt;br /&gt;&amp;diams; SODA ALUM&lt;br /&gt;&amp;diams; SODIUM ALUMINUM SULFATE&lt;br /&gt;&amp;diams; SULFURIC ACID, ALUMINUM SODIUM SALT (2:1:1), DODECAHYDRATE</t>
  </si>
  <si>
    <t xml:space="preserve"> FIRMING AGENT,&lt;br /&gt; LEAVENING AGENT,&lt;br /&gt; PH CONTROL AGENT</t>
  </si>
  <si>
    <t xml:space="preserve"> 637-12-7</t>
  </si>
  <si>
    <t xml:space="preserve"> ALUMINUM STEARATE</t>
  </si>
  <si>
    <t xml:space="preserve"> &amp;diams; ALUMINUM STEARATE&lt;br /&gt;&amp;diams; STEARIC ACID, ALUMINUM SALT&lt;br /&gt;&amp;diams; ALUMINUM STEARATE, TRIBASIC&lt;br /&gt;&amp;diams; ALUMINUM(III) STEARATE&lt;br /&gt;&amp;diams; OCTADECANOIC ACID, ALUMINUM SALT&lt;br /&gt;&amp;diams; ALUMINUM OCTADECANOATE</t>
  </si>
  <si>
    <t xml:space="preserve"> 10043-01-3</t>
  </si>
  <si>
    <t xml:space="preserve"> ALUMINUM SULFATE</t>
  </si>
  <si>
    <t xml:space="preserve"> &amp;diams; ALUMINUM SULFATE&lt;br /&gt;&amp;diams; SULFURIC ACID, ALUMINUM SALT (3:2)&lt;br /&gt;&amp;diams; SULFATODIALUMINUM DISULFATE (AL2(SO4)3)&lt;br /&gt;&amp;diams; aluminum trisulfate</t>
  </si>
  <si>
    <t xml:space="preserve"> COLOR OR COLORING ADJUNCT,&lt;br /&gt; EMULSIFIER OR EMULSIFIER SALT,&lt;br /&gt; FIRMING AGENT,&lt;br /&gt; PH CONTROL AGENT,&lt;br /&gt; PROCESSING AID,&lt;br /&gt; SEQUESTRANT</t>
  </si>
  <si>
    <t xml:space="preserve"> 977023-08-7</t>
  </si>
  <si>
    <t xml:space="preserve"> AMBERGRIS, TINCTURE</t>
  </si>
  <si>
    <t xml:space="preserve"> &amp;diams; AMBERGRIS TINCTURE</t>
  </si>
  <si>
    <t xml:space="preserve"> 977017-79-0</t>
  </si>
  <si>
    <t xml:space="preserve"> AMBRETTE, ABSOLUTE, OIL (HIBISCUS ABELMOSCHUS L.)</t>
  </si>
  <si>
    <t xml:space="preserve"> &amp;diams; AMBRETTE ABSOLUTE&lt;br /&gt;&amp;diams; HIBISCUS ABELMOSCHUS ABSOLUTE</t>
  </si>
  <si>
    <t xml:space="preserve"> 977052-20-2</t>
  </si>
  <si>
    <t xml:space="preserve"> AMBRETTE SEED (HIBISCUS ABELMOSCHUS L.)</t>
  </si>
  <si>
    <t xml:space="preserve"> &amp;diams; AMBRETTE SEED&lt;br /&gt;&amp;diams; HIBISCUS ABELMOSCHUS SEED&lt;br /&gt;&amp;diams; MUSK MALLOW SEED&lt;br /&gt;&amp;diams; ABELMOSCHUS MOSCHATUS SEED&lt;br /&gt;&amp;diams; SEMEN ABELMOSCHII SEED</t>
  </si>
  <si>
    <t xml:space="preserve"> 8015-62-1</t>
  </si>
  <si>
    <t xml:space="preserve"> AMBRETTE SEED, OIL (HIBISCUS ABELMOSCHUS L.)</t>
  </si>
  <si>
    <t xml:space="preserve"> &amp;diams; AMBRETTE SEED OIL&lt;br /&gt;&amp;diams; OILS, AMBRETTE&lt;br /&gt;&amp;diams; HIBISCUS ABELMOSCHUS SEED OIL</t>
  </si>
  <si>
    <t xml:space="preserve"> 977017-78-9</t>
  </si>
  <si>
    <t xml:space="preserve"> AMBRETTE, TINCTURE (HIBISCUS ABELMOSCHUS L.)</t>
  </si>
  <si>
    <t xml:space="preserve"> &amp;diams; AMBRETTE TINCTURE&lt;br /&gt;&amp;diams; HIBISCUS ABELMOSCHUS TINCTURE</t>
  </si>
  <si>
    <t xml:space="preserve"> 78-96-6</t>
  </si>
  <si>
    <t xml:space="preserve"> 1-AMINO-2-PROPANOL</t>
  </si>
  <si>
    <t xml:space="preserve"> &amp;diams; 1-AMINO-2-PROPANOL&lt;br /&gt;&amp;diams; MONOISOPROPANOLAMINE&lt;br /&gt;&amp;diams; 2-PROPANOL, 1-AMINO-&lt;br /&gt;&amp;diams; 2-AMINO-1-METHYLETHANOL&lt;br /&gt;&amp;diams; 2-HYDROXY-1-PROPYLAMINE&lt;br /&gt;&amp;diams; 1-AMINO-2-PROPANOL, DL-&lt;br /&gt;&amp;diams; ALPHA-AMINOISOPROPYL ALCOHOL&lt;br /&gt;&amp;diams; BETA-AMINOISOPROPANOL&lt;br /&gt;&amp;diams; 1-AMINO-2-HYDROXYPROPANE&lt;br /&gt;&amp;diams; 1-METHYL-2-AMINOETHANOL&lt;br /&gt;&amp;diams; 1-AMINO-2-PROPANOL, (RS)-&lt;br /&gt;&amp;diams; THREAMINE&lt;br /&gt;&amp;diams; InChI=1S/C3H9NO/c1-3(5)2-4/h3,5H,2,4H2,1H3&lt;br /&gt;&amp;diams; InChIKey:HXKKHQJGJAFBHI-UHFFFAOYSA-N</t>
  </si>
  <si>
    <t xml:space="preserve"> 551-93-9</t>
  </si>
  <si>
    <t xml:space="preserve"> 2'-AMINOACETOPHENONE</t>
  </si>
  <si>
    <t xml:space="preserve"> &amp;diams; 2'-AMINOACETOPHENONE&lt;br /&gt;&amp;diams; AMINOACETOPHENONE, O-&lt;br /&gt;&amp;diams; 1-(2-AMINOPHENYL)ETHANONE&lt;br /&gt;&amp;diams; ETHANONE, 1-(2-AMINOPHENYL)-&lt;br /&gt;&amp;diams; ACETOPHENONE, 2'-AMINO-&lt;br /&gt;&amp;diams; 2-ACETYLANILINE&lt;br /&gt;&amp;diams; 1-ACETYL-2-AMINOBENZENE&lt;br /&gt;&amp;diams; ACETYLANILINE, O-&lt;br /&gt;&amp;diams; 2-ACETYLPHENYLAMINE&lt;br /&gt;&amp;diams; AMINOACETYLBENZENE, O-&lt;br /&gt;&amp;diams; 2-AMINOPHENYL METHYL KETONE&lt;br /&gt;&amp;diams; AMINOPHENYL METHYL KETONE, O-&lt;br /&gt;&amp;diams; METHYL 2-AMINOPHENYL KETONE</t>
  </si>
  <si>
    <t xml:space="preserve"> 150-13-0</t>
  </si>
  <si>
    <t xml:space="preserve"> P-AMINOBENZOIC ACID</t>
  </si>
  <si>
    <t xml:space="preserve"> &amp;diams; 4-AMINOBENZOIC ACID&lt;br /&gt;&amp;diams; AMINOBENZOIC ACID, P-&lt;br /&gt;&amp;diams; BENZOIC ACID, 4-AMINO-&lt;br /&gt;&amp;diams; BENZOIC ACID, P-AMINO-&lt;br /&gt;&amp;diams; 4-Carboxyaniline&lt;br /&gt;&amp;diams; Carboxyaniline, p-&lt;br /&gt;&amp;diams; Carboxyphenylamine, p-&lt;br /&gt;&amp;diams; Vitamin Bx&lt;br /&gt;&amp;diams; Vitamin H'</t>
  </si>
  <si>
    <t xml:space="preserve"> 56-12-2</t>
  </si>
  <si>
    <t xml:space="preserve"> 4-AMINOBUTYRIC ACID</t>
  </si>
  <si>
    <t xml:space="preserve"> &amp;diams; GAMMA-AMINOBUTYRIC ACID&lt;br /&gt;&amp;diams; BUTANOIC ACID, 4-AMINO-&lt;br /&gt;&amp;diams; BUTYRIC ACID, 4-AMINO-&lt;br /&gt;&amp;diams; GABA&lt;br /&gt;&amp;diams; 4-AMINOBUTYRIC ACID&lt;br /&gt;&amp;diams; 4-AMINOBUTANOIC ACID&lt;br /&gt;&amp;diams; 3-carboxypropylamine&lt;br /&gt;&amp;diams; InChI=1S/C4H9NO2/c5-3-1-2-4(6)7/h1-3,5H2,(H,6,7)&lt;br /&gt;&amp;diams; InChIKey: BTCSSZJGUNDROE-UHFFFAOYSA-N</t>
  </si>
  <si>
    <t xml:space="preserve"> 3493-12-7</t>
  </si>
  <si>
    <t xml:space="preserve"> DL-(3-AMINO-3-CARBOXYPROPYL)DIMETHYLSULFONIUM CHLORIDE</t>
  </si>
  <si>
    <t xml:space="preserve"> &amp;diams; METHYLMETHIONINE SULFONIUM CHLORIDE, DL-&lt;br /&gt;&amp;diams; (3-AMINO-3-CARBOXYPROPYL)DIMETHYLSULFONIUM CHLORIDE, DL-&lt;br /&gt;&amp;diams; METHIONINE METHYLSULFONIUM CHLORIDE, DL-&lt;br /&gt;&amp;diams; SULFONIUM, (3-AMINO-3-CARBOXYPROPYL)DIMETHYL-, CHLORIDE, (+-)-</t>
  </si>
  <si>
    <t xml:space="preserve"> 121746-18-7</t>
  </si>
  <si>
    <t xml:space="preserve"> 4-AMINO-5,6-DIMETHYLTHIENO[2,3-D]PYRIMIDIN-2(1H)-ONE</t>
  </si>
  <si>
    <t xml:space="preserve"> &amp;diams; 4-AMINO-5,6-DIMETHYLTHIENO(2,3-D)PYRIMIDINE-2(1H)-ONE&lt;br /&gt;&amp;diams; thieno(2,3-d)pyrimidin-2(1H)-one, 4-amino-5,6-dimethyl-</t>
  </si>
  <si>
    <t xml:space="preserve"> 1033366-59-4</t>
  </si>
  <si>
    <t xml:space="preserve"> 4-AMINO-5,6-DIMETHYLTHIENO[2,3-D]PYRIMIDIN-2(1H)-ONE HYDROCHLORIDE</t>
  </si>
  <si>
    <t xml:space="preserve"> &amp;diams; 4-AMINO-5,6-DIMETHYLTHIENO(2,3-D)PYRIMIDINE-2(1H)-ONE HYDROCHLORIDE (1:1)&lt;br /&gt;&amp;diams; thieno(2,3-d)pyrimidin-2(1H)-one, 4-amino-5,6-dimethyl-, hydrochloride (1:1)&lt;br /&gt;&amp;diams; 4-amino-5,6-dimethylthieno(2,3-d)pyrimidine-2(1H)-one hydrochloride</t>
  </si>
  <si>
    <t xml:space="preserve"> 1093200-92-0</t>
  </si>
  <si>
    <t xml:space="preserve"> 3-[(4-AMINO-2,2-DIOXIDO-1H-2,1,3-BENZOTHIADIAZIN-5-YL)OXY]-2,2-DIMETHYL-N-PROPYLPROPANAMIDE</t>
  </si>
  <si>
    <t xml:space="preserve"> &amp;diams; 3-((4-AMINO-2,2-DIOXIDO-1H-2,1,3-BENZOTHIADIAZIN-5-YL)OXY)-2,2-DIMETHYL-N-PROPYLPROPANAMIDE&lt;br /&gt;&amp;diams; propanamide, 3-((4-amino-2,2-dioxido-1H-2,1,3-benzothiadiazin-5-yl)oxy)-2,2-dimethyl-N-propyl-</t>
  </si>
  <si>
    <t xml:space="preserve"> 58943-39-8</t>
  </si>
  <si>
    <t xml:space="preserve"> AMINOGLYCOSIDE 3'-PHOSPHOTRANSFERASE II</t>
  </si>
  <si>
    <t xml:space="preserve"> &amp;diams; AMINOGLYCOSIDE 3'-PHOSPHOTRANSFERASE II&lt;br /&gt;&amp;diams; APH(3')II&lt;br /&gt;&amp;diams; AMINOGLYCOSIDE 3'-O-PHOSPHOTRANSFERASE TYPE II&lt;br /&gt;&amp;diams; KANAMYCIN PHOSPHOTRANSFERASE II&lt;br /&gt;&amp;diams; KANAMYCIN-NEOMYCIN PHOSPHOTRANSFERASE II&lt;br /&gt;&amp;diams; PHOSPHOTRANSFERASE, AMINOGLYCOSIDE 3'-, II&lt;br /&gt;&amp;diams; NEOMYCIN PHOSPHOTRANSFERASE II&lt;br /&gt;&amp;diams; PHOSPHOTRANSFERASE, KANAMYCIN, II&lt;br /&gt;&amp;diams; NPTII</t>
  </si>
  <si>
    <t xml:space="preserve"> 977172-57-8</t>
  </si>
  <si>
    <t xml:space="preserve"> AMINOPEPTIDASE FROM LACTOCOCCUS LACTIS</t>
  </si>
  <si>
    <t xml:space="preserve"> &amp;diams; AMINOPEPTIDASE, LACTOCOCCUS LACTIS</t>
  </si>
  <si>
    <t xml:space="preserve"> 20592-85-2</t>
  </si>
  <si>
    <t xml:space="preserve"> AMINO TRI(METHYLENE PHOSPHONIC ACID), SODIUM SALT</t>
  </si>
  <si>
    <t xml:space="preserve"> &amp;diams; SODIUM AMINOTRIS(METHYLENEPHOSPHONATE)&lt;br /&gt;&amp;diams; PHOSPHONIC ACID, (NITRILOTRIS(METHYLENE))TRIS-, SODIUM SALT&lt;br /&gt;&amp;diams; PHOSPHONIC ACID, (NITRILOTRIS(METHYLENE))TRI-, SODIUM SALT&lt;br /&gt;&amp;diams; SODIUM (NITRILOTRIS(METHYLENE))TRIS(PHOSPHONATE)&lt;br /&gt;&amp;diams; SODIUM (NITRILOTRIS(METHYLENE))TRIPHOSPHONATE</t>
  </si>
  <si>
    <t xml:space="preserve"> 977188-02-5</t>
  </si>
  <si>
    <t xml:space="preserve"> AMMONIA (ALSO INCLUDES AMMONIUM CHLORIDE)</t>
  </si>
  <si>
    <t xml:space="preserve"> &amp;diams; AMMONIA/AMMONIUM CHLORIDE MIXTURE&lt;br /&gt;&amp;diams; ammonia, mixture with ammonium chloride&lt;br /&gt;&amp;diams; ammonium chloride, mixture with ammonia</t>
  </si>
  <si>
    <t xml:space="preserve"> 631-61-8</t>
  </si>
  <si>
    <t xml:space="preserve"> AMMONIUM ACETATE</t>
  </si>
  <si>
    <t xml:space="preserve"> &amp;diams; AMMONIUM ACETATE&lt;br /&gt;&amp;diams; ACETIC ACID, AMMONIUM SALT</t>
  </si>
  <si>
    <t xml:space="preserve"> 1066-33-7</t>
  </si>
  <si>
    <t xml:space="preserve"> AMMONIUM BICARBONATE</t>
  </si>
  <si>
    <t xml:space="preserve"> &amp;diams; AMMONIUM BICARBONATE&lt;br /&gt;&amp;diams; AMMONIUM ACID CARBONATE&lt;br /&gt;&amp;diams; AMMONIUM HYDROGEN CARBONATE&lt;br /&gt;&amp;diams; CARBONIC ACID, MONOAMMONIUM SALT&lt;br /&gt;&amp;diams; MONOAMMONIUM CARBONATE</t>
  </si>
  <si>
    <t xml:space="preserve"> DOUGH STRENGTHENER,&lt;br /&gt; LEAVENING AGENT,&lt;br /&gt; PH CONTROL AGENT,&lt;br /&gt; TEXTURIZER</t>
  </si>
  <si>
    <t xml:space="preserve"> 163.110 ,  163.111 ,  163.112</t>
  </si>
  <si>
    <t xml:space="preserve"> 8000-73-5</t>
  </si>
  <si>
    <t xml:space="preserve"> AMMONIUM CARBONATE</t>
  </si>
  <si>
    <t xml:space="preserve"> &amp;diams; AMMONIUM CARBONATE CARBAMATE&lt;br /&gt;&amp;diams; AMMONIUM SESQUICARBONATE&lt;br /&gt;&amp;diams; AMMONIUM BICARBONATE, MIXT. WITH AMMONIUM CARBAMATE&lt;br /&gt;&amp;diams; AMMONIUM CARBAMATE, MIXT. WITH AMMONIUM BICARBONATE&lt;br /&gt;&amp;diams; AMMONIUM CARBONATE&lt;br /&gt;&amp;diams; CRYSTAL AMMONIA&lt;br /&gt;&amp;diams; CARBONIC ACID, AMMONIUM SALT&lt;br /&gt;&amp;diams; HARTSHORN&lt;br /&gt;&amp;diams; carbonic acid, monoammonium salt, mixt. with carbamic acid monoammonium salt</t>
  </si>
  <si>
    <t xml:space="preserve"> LEAVENING AGENT,&lt;br /&gt; PH CONTROL AGENT</t>
  </si>
  <si>
    <t xml:space="preserve"> 9005-42-9</t>
  </si>
  <si>
    <t xml:space="preserve"> AMMONIUM CASEINATE</t>
  </si>
  <si>
    <t xml:space="preserve"> &amp;diams; AMMONIUM CASEINATE&lt;br /&gt;&amp;diams; CASEINS, AMMONIUM COMPLEXES&lt;br /&gt;&amp;diams; CASEINATE, AMMONIUM</t>
  </si>
  <si>
    <t xml:space="preserve"> 135.110 ,  135.140</t>
  </si>
  <si>
    <t xml:space="preserve"> 12125-02-9</t>
  </si>
  <si>
    <t xml:space="preserve"> AMMONIUM CHLORIDE</t>
  </si>
  <si>
    <t xml:space="preserve"> &amp;diams; AMMONIUM CHLORIDE&lt;br /&gt;&amp;diams; AMMONIUM CHLORIDE ((NH4)CL)&lt;br /&gt;&amp;diams; SALMIAC&lt;br /&gt;&amp;diams; SAL AMMONIAC</t>
  </si>
  <si>
    <t xml:space="preserve"> DOUGH STRENGTHENER,&lt;br /&gt; FLAVORING AGENT OR ADJUVANT,&lt;br /&gt; LEAVENING AGENT,&lt;br /&gt; PROCESSING AID</t>
  </si>
  <si>
    <t xml:space="preserve"> 3012-65-5</t>
  </si>
  <si>
    <t xml:space="preserve"> AMMONIUM CITRATE, DIBASIC</t>
  </si>
  <si>
    <t xml:space="preserve"> &amp;diams; AMMONIUM CITRATE, DIBASIC&lt;br /&gt;&amp;diams; DIAMMONIUM 2-HYDROXY-1,2,3-PROPANETRICARBOXYLATE&lt;br /&gt;&amp;diams; CITRIC ACID, DIAMMONIUM SALT&lt;br /&gt;&amp;diams; 1,2,3-PROPANETRICARBOXYLIC ACID, 2-HYDROXY-, DIAMMONIUM SALT&lt;br /&gt;&amp;diams; ammonium citrate ((NH4)2O7C6H6)&lt;br /&gt;&amp;diams; diammonium hydrogen citrate</t>
  </si>
  <si>
    <t xml:space="preserve"> LUBRICANT OR RELEASE AGENT</t>
  </si>
  <si>
    <t xml:space="preserve"> 2554-04-3</t>
  </si>
  <si>
    <t xml:space="preserve"> AMMONIUM GLUCONATE</t>
  </si>
  <si>
    <t xml:space="preserve"> &amp;diams; AMMONIUM GLUCONATE&lt;br /&gt;&amp;diams; GLUCONIC ACID, MONOAMMONIUM SALT&lt;br /&gt;&amp;diams; MONOAMMONIUM GLUCONATE</t>
  </si>
  <si>
    <t xml:space="preserve"> 1336-21-6</t>
  </si>
  <si>
    <t xml:space="preserve"> AMMONIUM HYDROXIDE</t>
  </si>
  <si>
    <t xml:space="preserve"> &amp;diams; AMMONIUM HYDROXIDE&lt;br /&gt;&amp;diams; AQUA AMMONIA&lt;br /&gt;&amp;diams; AMMONIUM HYDROXIDE ((NH4)(OH))&lt;br /&gt;&amp;diams; AMMONIUM WATER</t>
  </si>
  <si>
    <t xml:space="preserve"> LEAVENING AGENT,&lt;br /&gt; PH CONTROL AGENT,&lt;br /&gt; SURFACE-FINISHING AGENT</t>
  </si>
  <si>
    <t xml:space="preserve"> 7563-33-9</t>
  </si>
  <si>
    <t xml:space="preserve"> AMMONIUM ISOVALERATE</t>
  </si>
  <si>
    <t xml:space="preserve"> &amp;diams; AMMONIUM ISOVALERATE&lt;br /&gt;&amp;diams; AMMONIUM ISOVALERIANATE&lt;br /&gt;&amp;diams; BUTANOIC ACID, 3-METHYL-, AMMONIUM SALT&lt;br /&gt;&amp;diams; AMMONIUM 3-METHYLBUTANOATE&lt;br /&gt;&amp;diams; ISOVALERIC ACID, AMMONIUM SALT</t>
  </si>
  <si>
    <t xml:space="preserve"> 83046-90-6</t>
  </si>
  <si>
    <t xml:space="preserve"> AMMONIUM PECTINATE</t>
  </si>
  <si>
    <t xml:space="preserve"> &amp;diams; AMMONIUM PECTINATE&lt;br /&gt;&amp;diams; PECTIN, AMMONIUM SALT</t>
  </si>
  <si>
    <t xml:space="preserve"> 7727-54-0</t>
  </si>
  <si>
    <t xml:space="preserve"> AMMONIUM PERSULFATE</t>
  </si>
  <si>
    <t xml:space="preserve"> &amp;diams; AMMONIUM PEROXYDISULFATE&lt;br /&gt;&amp;diams; DIAMMONIUM PEROXYDISULFATE&lt;br /&gt;&amp;diams; PEROXYDISULFURIC ACID (((HO)S(O)2)2O2), DIAMMONIUM SALT</t>
  </si>
  <si>
    <t xml:space="preserve"> ANTIMICROBIAL AGENT,&lt;br /&gt; FUMIGANT</t>
  </si>
  <si>
    <t xml:space="preserve"> 7783-28-0</t>
  </si>
  <si>
    <t xml:space="preserve"> AMMONIUM PHOSPHATE, DIBASIC</t>
  </si>
  <si>
    <t xml:space="preserve"> &amp;diams; AMMONIUM PHOSPHATE, DIBASIC&lt;br /&gt;&amp;diams; AMMONIUM MONOHYDROGEN ORTHOPHOSPHATE&lt;br /&gt;&amp;diams; AMMONIUM PHOSPHATE, SECONDARY&lt;br /&gt;&amp;diams; DIAMMONIUM PHOSPHATE&lt;br /&gt;&amp;diams; DIAMMONIUM ORTHOPHOSPHATE&lt;br /&gt;&amp;diams; DIAMMONIUM HYDROGEN PHOSPHATE&lt;br /&gt;&amp;diams; DIAMMONIUM HYDROGEN ORTHOPHOSPHATE&lt;br /&gt;&amp;diams; PHOSPHORIC ACID, DIAMMONIUM SALT</t>
  </si>
  <si>
    <t xml:space="preserve"> FIRMING AGENT,&lt;br /&gt; FLAVOR ENHANCER,&lt;br /&gt; FLAVORING AGENT OR ADJUVANT,&lt;br /&gt; LEAVENING AGENT,&lt;br /&gt; MALTING OR FERMENTING AID,&lt;br /&gt; NUTRIENT SUPPLEMENT,&lt;br /&gt; PH CONTROL AGENT</t>
  </si>
  <si>
    <t xml:space="preserve"> 7722-76-1</t>
  </si>
  <si>
    <t xml:space="preserve"> AMMONIUM PHOSPHATE, MONOBASIC</t>
  </si>
  <si>
    <t xml:space="preserve"> &amp;diams; AMMONIUM PHOSPHATE, MONOBASIC&lt;br /&gt;&amp;diams; AMMONIUM DIHYDROGEN PHOSPHATE&lt;br /&gt;&amp;diams; AMMONIUM MONOPHOSPHATE&lt;br /&gt;&amp;diams; AMMONIUM BIPHOSPHATE&lt;br /&gt;&amp;diams; AMMONIUM PHOSPHATE, PRIMARY&lt;br /&gt;&amp;diams; MONOAMMONIUM PHOSPHATE&lt;br /&gt;&amp;diams; PHOSPHORIC ACID, MONOAMMONIUM SALT</t>
  </si>
  <si>
    <t xml:space="preserve"> LEAVENING AGENT,&lt;br /&gt; MALTING OR FERMENTING AID,&lt;br /&gt; PH CONTROL AGENT</t>
  </si>
  <si>
    <t xml:space="preserve"> 7783-20-2</t>
  </si>
  <si>
    <t xml:space="preserve"> AMMONIUM SULFATE</t>
  </si>
  <si>
    <t xml:space="preserve"> &amp;diams; AMMONIUM SULFATE&lt;br /&gt;&amp;diams; DIAMMONIUM SULFATE&lt;br /&gt;&amp;diams; SULFURIC ACID, DIAMMONIUM SALT&lt;br /&gt;&amp;diams; SULFATE, AMMONIUM</t>
  </si>
  <si>
    <t xml:space="preserve"> DOUGH STRENGTHENER,&lt;br /&gt; FIRMING AGENT,&lt;br /&gt; FLAVOR ENHANCER,&lt;br /&gt; FLAVORING AGENT OR ADJUVANT,&lt;br /&gt; FLOUR TREATING AGENT,&lt;br /&gt; LEAVENING AGENT,&lt;br /&gt; MALTING OR FERMENTING AID,&lt;br /&gt; PROCESSING AID</t>
  </si>
  <si>
    <t xml:space="preserve"> 12135-76-1</t>
  </si>
  <si>
    <t xml:space="preserve"> AMMONIUM SULFIDE</t>
  </si>
  <si>
    <t xml:space="preserve"> &amp;diams; AMMONIUM SULFIDE&lt;br /&gt;&amp;diams; AMMONIUM MONOSULFIDE&lt;br /&gt;&amp;diams; DIAMMONIUM SULFIDE&lt;br /&gt;&amp;diams; AMMONIUM SULFIDE ((NH4)2S)&lt;br /&gt;&amp;diams; AMMONIUM SULFIDE, TRUE</t>
  </si>
  <si>
    <t xml:space="preserve"> ANTIOXIDANT,&lt;br /&gt; FLAVOR ENHANCER,&lt;br /&gt; FLAVORING AGENT OR ADJUVANT</t>
  </si>
  <si>
    <t xml:space="preserve"> 10196-04-0</t>
  </si>
  <si>
    <t xml:space="preserve"> AMMONIUM SULFITE</t>
  </si>
  <si>
    <t xml:space="preserve"> &amp;diams; AMMONIUM SULFITE&lt;br /&gt;&amp;diams; SULFUROUS ACID, DIAMMONIUM SALT&lt;br /&gt;&amp;diams; DIAMMONIUM SULFITE</t>
  </si>
  <si>
    <t xml:space="preserve"> COLOR OR COLORING ADJUNCT</t>
  </si>
  <si>
    <t xml:space="preserve"> 71-41-0</t>
  </si>
  <si>
    <t xml:space="preserve"> AMYL ALCOHOL</t>
  </si>
  <si>
    <t xml:space="preserve"> &amp;diams; AMYL ALCOHOL&lt;br /&gt;&amp;diams; PENTYL ALCOHOL&lt;br /&gt;&amp;diams; 1-PENTANOL&lt;br /&gt;&amp;diams; PENTANOL&lt;br /&gt;&amp;diams; BUTYLCARBINOL</t>
  </si>
  <si>
    <t xml:space="preserve"> 98002-53-0</t>
  </si>
  <si>
    <t xml:space="preserve"> ALPHA-AMYLASE ENZYME PREPARATION FROM BACILLUS STEAROTHERMOPHILUS</t>
  </si>
  <si>
    <t xml:space="preserve"> &amp;diams; ALPHA-AMYLASE, BACILLUS STEAROTHERMOPHILUS&lt;br /&gt;&amp;diams; BACILLUS STEAROTHERMOPHILUS ALPHA-AMYLASE&lt;br /&gt;&amp;diams; AMYLASE, ALPHA-, BACILLUS STEAROTHERMOPHILUS&lt;br /&gt;&amp;diams; AMYLASE, ALPHA-, (BACILLUS STEAROTHERMOPHILUS)</t>
  </si>
  <si>
    <t xml:space="preserve"> 977032-05-5</t>
  </si>
  <si>
    <t xml:space="preserve"> AMYLASE FROM ASPERGILLUS FLAVUS</t>
  </si>
  <si>
    <t xml:space="preserve"> &amp;diams; AMYLASE, ASPERGILLUS FLAVUS-ORYZAE&lt;br /&gt;&amp;diams; ASPERGILLUS FLAVUS-ORYZAE AMYLASE</t>
  </si>
  <si>
    <t xml:space="preserve"> ENZYME,&lt;br /&gt; FLAVOR ENHANCER,&lt;br /&gt; FLAVORING AGENT OR ADJUVANT,&lt;br /&gt; LEAVENING AGENT,&lt;br /&gt; PROCESSING AID</t>
  </si>
  <si>
    <t xml:space="preserve"> 977031-46-1</t>
  </si>
  <si>
    <t xml:space="preserve"> AMYLASE FROM ASPERGILLUS NIGER</t>
  </si>
  <si>
    <t xml:space="preserve"> &amp;diams; ALPHA-AMYLASE, ASPERGILLUS NIGER&lt;br /&gt;&amp;diams; AMYLASE, ASPERGILLUS NIGER&lt;br /&gt;&amp;diams; AMYLASE, ALPHA-, ASPERGILLUS NIGER&lt;br /&gt;&amp;diams; ASPERGILLUS NIGER ALPHA-AMYLASE</t>
  </si>
  <si>
    <t xml:space="preserve"> 977082-95-3</t>
  </si>
  <si>
    <t xml:space="preserve"> AMYLASE FROM ASPERGILLUS ORYZAE</t>
  </si>
  <si>
    <t xml:space="preserve"> &amp;diams; AMYLASE, ASPERGILLUS ORYZAE&lt;br /&gt;&amp;diams; ASPERGILLUS ORYASE DIASTASE&lt;br /&gt;&amp;diams; ASPERGILLUS ORYZAE AMYLASE&lt;br /&gt;&amp;diams; KOJI</t>
  </si>
  <si>
    <t xml:space="preserve"> 137.105 ,  137.200</t>
  </si>
  <si>
    <t xml:space="preserve"> 977028-31-1</t>
  </si>
  <si>
    <t xml:space="preserve"> AMYLASE FROM BACILLUS SUBTILIS</t>
  </si>
  <si>
    <t xml:space="preserve"> &amp;diams; AMYLASE, BACILLUS SUBTILIS&lt;br /&gt;&amp;diams; BACILLUS SUBTILIS AMYLASE</t>
  </si>
  <si>
    <t xml:space="preserve"> 540-18-1</t>
  </si>
  <si>
    <t xml:space="preserve"> AMYL BUTYRATE</t>
  </si>
  <si>
    <t xml:space="preserve"> &amp;diams; AMYL BUTYRATE&lt;br /&gt;&amp;diams; AMYL BUTANOATE&lt;br /&gt;&amp;diams; PENTYL BUTYRATE&lt;br /&gt;&amp;diams; BUTANOIC ACID, PENTYL ESTER&lt;br /&gt;&amp;diams; PENTYL BUTANOATE&lt;br /&gt;&amp;diams; BUTYRIC ACID, PENTYL ESTER</t>
  </si>
  <si>
    <t xml:space="preserve"> 122-40-7</t>
  </si>
  <si>
    <t xml:space="preserve"> ALPHA-AMYLCINNAMALDEHYDE</t>
  </si>
  <si>
    <t xml:space="preserve"> &amp;diams; AMYLCINNAMALDEHYDE&lt;br /&gt;&amp;diams; ALPHA-AMYLCINNAMALDEHYDE&lt;br /&gt;&amp;diams; AMYLCINNAMAL&lt;br /&gt;&amp;diams; AMYLCINNAMIC ALDEHYDE&lt;br /&gt;&amp;diams; ALPHA-AMYL-BETA-PHENYLACROLEIN&lt;br /&gt;&amp;diams; ALPHA-PENTYLCINNAMALDEHYDE&lt;br /&gt;&amp;diams; ALPHA-PENTYL-BETA-PHENYLACROLEIN&lt;br /&gt;&amp;diams; JASMINE ALDEHYDE&lt;br /&gt;&amp;diams; JASMONAL&lt;br /&gt;&amp;diams; HEPTANAL, 2-(PHENYLMETHYLENE)-&lt;br /&gt;&amp;diams; 2-(PHENYLMETHYLENE)HEPTANAL&lt;br /&gt;&amp;diams; CINNAMALDEHYDE, ALPHA-PENTYL-&lt;br /&gt;&amp;diams; 2-BENZYLIDENEHEPTANAL&lt;br /&gt;&amp;diams; AMYLCINNAMIC ACID ALDEHYDE</t>
  </si>
  <si>
    <t xml:space="preserve"> 91-87-2</t>
  </si>
  <si>
    <t xml:space="preserve"> ALPHA-AMYLCINNAMALDEHYDE DIMETHYL ACETAL</t>
  </si>
  <si>
    <t xml:space="preserve"> &amp;diams; AMYLCINNAMALDEHYDE DIMETHYL ACETAL&lt;br /&gt;&amp;diams; (2-(DIMETHOXYMETHYL)-1-HEPTENYL)BENZENE&lt;br /&gt;&amp;diams; ALPHA-AMYL-BETA-PHENYLACROLEIN DIMETHYL ACETAL&lt;br /&gt;&amp;diams; ALPHA-PENTYLCINNAMALDEHYDE DIMETHYL ACETAL&lt;br /&gt;&amp;diams; ALPHA-PENTYL CINNAMALDEHYDE DIMETHYL ACETAL&lt;br /&gt;&amp;diams; BENZENE, (2-(DIMETHOXYMETHYL)-1-HEPTENYL)-&lt;br /&gt;&amp;diams; ALPHA-AMYLCINNAMALDEHYDE DIMETHYL ACETAL&lt;br /&gt;&amp;diams; ALPHA-AMYLCINNAMIC ALDEHYDE DIMETHYL ACETAL&lt;br /&gt;&amp;diams; CINNAMALDEHYDE, ALPHA-PENTYL-, DIMETHYL ACETAL&lt;br /&gt;&amp;diams; 1,1-DIMETHOXY-2-AMYL-3-PHENYL-2-PROPENE&lt;br /&gt;&amp;diams; 1,1-DIMETHOXY-2-BENZYLIDENEHEPTANE</t>
  </si>
  <si>
    <t xml:space="preserve"> 7493-78-9</t>
  </si>
  <si>
    <t xml:space="preserve"> ALPHA-AMYLCINNAMYL ACETATE</t>
  </si>
  <si>
    <t xml:space="preserve"> &amp;diams; ALPHA-AMYLCINNAMYL ACETATE&lt;br /&gt;&amp;diams; ALPHA-PENTYLCINNAMYL ACETATE&lt;br /&gt;&amp;diams; ALPHA-AMYL-BETA-PHENYLACRYL ACETATE&lt;br /&gt;&amp;diams; 1-HEPTANOL, 2-(PHENYLMETHYLENE)-, ACETATE&lt;br /&gt;&amp;diams; 2-(PHENYLMETHYLENE)-1-HEPTYL ACETATE&lt;br /&gt;&amp;diams; 1-HEPTANOL, 2-BENZYLIDENE-, ACETATE&lt;br /&gt;&amp;diams; 2-BENZYLIDENE-1-HEPTYL ACETATE</t>
  </si>
  <si>
    <t xml:space="preserve"> 101-85-9</t>
  </si>
  <si>
    <t xml:space="preserve"> ALPHA-AMYLCINNAMYL ALCOHOL</t>
  </si>
  <si>
    <t xml:space="preserve"> &amp;diams; ALPHA-AMYLCINNAMYL ALCOHOL&lt;br /&gt;&amp;diams; ALPHA-PENTYLCINNAMYL ALCOHOL&lt;br /&gt;&amp;diams; AMYLCINNAMIC ALCOHOL&lt;br /&gt;&amp;diams; 2-BENZYLIDENEHEPTANOL&lt;br /&gt;&amp;diams; 2-AMYL-3-PHENYL-2-PROPEN-1-OL&lt;br /&gt;&amp;diams; 1-HEPTANOL, 2-(PHENYLMETHYLENE)-&lt;br /&gt;&amp;diams; 2-(PHENYLMETHYLENE)-1-HEPTANOL&lt;br /&gt;&amp;diams; 1-HEPTANOL, 2-BENZYLIDENE-&lt;br /&gt;&amp;diams; 2-BENZYLIDENE-1-HEPTANOL</t>
  </si>
  <si>
    <t xml:space="preserve"> 7493-79-0</t>
  </si>
  <si>
    <t xml:space="preserve"> ALPHA-AMYLCINNAMYL FORMATE</t>
  </si>
  <si>
    <t xml:space="preserve"> &amp;diams; ALPHA-AMYLCINNAMYL FORMATE&lt;br /&gt;&amp;diams; ALPHA-AMYL-BETA-PHENYLACRYL ISOVALERATE&lt;br /&gt;&amp;diams; ALPHA-PENTYLCINNAMYL FORMATE&lt;br /&gt;&amp;diams; 1-HEPTANOL, 2-(PHENYLMETHYLENE)-, FORMATE&lt;br /&gt;&amp;diams; 2-(PHENYLMETHYLENE)-1-HEPTYL FORMATE&lt;br /&gt;&amp;diams; 1-HEPTANOL, 2-BENZYLIDENE-, FORMATE&lt;br /&gt;&amp;diams; 2-BENZYLIDENE-1-HEPTYL FORMATE</t>
  </si>
  <si>
    <t xml:space="preserve"> 5933-87-9</t>
  </si>
  <si>
    <t xml:space="preserve"> AMYL DECANOATE</t>
  </si>
  <si>
    <t xml:space="preserve"> &amp;diams; AMYL DECANOATE&lt;br /&gt;&amp;diams; AMYL CAPRATE&lt;br /&gt;&amp;diams; PENTYL DECANOATE&lt;br /&gt;&amp;diams; AMYL CAPRINATE&lt;br /&gt;&amp;diams; DECANOIC ACID, PENTYL ESTER</t>
  </si>
  <si>
    <t xml:space="preserve"> 638-49-3</t>
  </si>
  <si>
    <t xml:space="preserve"> AMYL FORMATE</t>
  </si>
  <si>
    <t xml:space="preserve"> &amp;diams; AMYL FORMATE&lt;br /&gt;&amp;diams; AMYL FORMIATE&lt;br /&gt;&amp;diams; AMYL METHANOATE&lt;br /&gt;&amp;diams; PENTYL FORMATE&lt;br /&gt;&amp;diams; PENTYL METHANOATE&lt;br /&gt;&amp;diams; FORMIC ACID, PENTYL ESTER</t>
  </si>
  <si>
    <t xml:space="preserve"> 4996-48-9</t>
  </si>
  <si>
    <t xml:space="preserve"> AMYL 2-FUROATE</t>
  </si>
  <si>
    <t xml:space="preserve"> &amp;diams; AMYL 2-FUROATE&lt;br /&gt;&amp;diams; PENTYL 2-FUROATE&lt;br /&gt;&amp;diams; AMYL FURAN-2-CARBOXYLATE&lt;br /&gt;&amp;diams; PENTYL FURAN-2-CARBOXYLATE&lt;br /&gt;&amp;diams; 2-FURANCARBOXYLIC ACID, PENTYL ESTER&lt;br /&gt;&amp;diams; PENTYL 2-FURANCARBOXYLATE&lt;br /&gt;&amp;diams; 2-FUROIC ACID, PENTYL ESTER</t>
  </si>
  <si>
    <t xml:space="preserve"> 7493-82-5</t>
  </si>
  <si>
    <t xml:space="preserve"> AMYL HEPTANOATE</t>
  </si>
  <si>
    <t xml:space="preserve"> &amp;diams; AMYL HEPTANOATE&lt;br /&gt;&amp;diams; AMYL OENANTHATE&lt;br /&gt;&amp;diams; AMYL HEPTOATE&lt;br /&gt;&amp;diams; AMYL HEPTYLATE&lt;br /&gt;&amp;diams; PENTYL HEPTANOATE&lt;br /&gt;&amp;diams; HEPTANOIC ACID, PENTYL ESTER</t>
  </si>
  <si>
    <t xml:space="preserve"> 540-07-8</t>
  </si>
  <si>
    <t xml:space="preserve"> AMYL HEXANOATE</t>
  </si>
  <si>
    <t xml:space="preserve"> &amp;diams; AMYL HEXANOATE&lt;br /&gt;&amp;diams; AMYL CAPROATE&lt;br /&gt;&amp;diams; PENTYL HEXANOATE&lt;br /&gt;&amp;diams; HEXANOIC ACID, PENTYL ESTER&lt;br /&gt;&amp;diams; AMYL CAPRONATE&lt;br /&gt;&amp;diams; PENTYL CAPROATE</t>
  </si>
  <si>
    <t xml:space="preserve"> 629-12-9</t>
  </si>
  <si>
    <t xml:space="preserve"> AMYL ISOTHIOCYANATE</t>
  </si>
  <si>
    <t xml:space="preserve"> &amp;diams; AMYL ISOTHIOCYANATE&lt;br /&gt;&amp;diams; pentane, 1-isothiocyanato-&lt;br /&gt;&amp;diams; 1-isothiocyanatopentane&lt;br /&gt;&amp;diams; isothiocyanic acid, pentyl ester&lt;br /&gt;&amp;diams; pentyl isothiocyanate&lt;br /&gt;&amp;diams; InChI=1S/C6H11NS/c1-2-3-4-5-7-6-8/h2-5H2,1H3&lt;br /&gt;&amp;diams; InChIKey: SGHJUJBYMSVAJY-UHFFFAOYSA-N</t>
  </si>
  <si>
    <t xml:space="preserve"> 72437-68-4</t>
  </si>
  <si>
    <t xml:space="preserve"> AMYL METHYL DISULFIDE</t>
  </si>
  <si>
    <t xml:space="preserve"> &amp;diams; AMYL METHYL DISULFIDE&lt;br /&gt;&amp;diams; disulfide, methyl pentyl&lt;br /&gt;&amp;diams; methyl pentyl disulfide&lt;br /&gt;&amp;diams; 2,3-dithiaoctane&lt;br /&gt;&amp;diams; 1-methyldisulfanylpentane</t>
  </si>
  <si>
    <t xml:space="preserve"> 638-25-5</t>
  </si>
  <si>
    <t xml:space="preserve"> AMYL OCTANOATE</t>
  </si>
  <si>
    <t xml:space="preserve"> &amp;diams; AMYL OCTANOATE&lt;br /&gt;&amp;diams; AMYL CAPRYLATE&lt;br /&gt;&amp;diams; AMYL OCTYLATE&lt;br /&gt;&amp;diams; PENTYL OCTANOATE&lt;br /&gt;&amp;diams; PENTYL OCTYLATE&lt;br /&gt;&amp;diams; OCTANOIC ACID, PENTYL ESTER</t>
  </si>
  <si>
    <t xml:space="preserve"> 977080-40-2</t>
  </si>
  <si>
    <t xml:space="preserve"> AMYLOGLUCOSIDASE FROM RHIZOPUS NIVEUS</t>
  </si>
  <si>
    <t xml:space="preserve"> &amp;diams; GLUCOAMYLASE, RHIZOPUS NIVEUS&lt;br /&gt;&amp;diams; AMYLOGLUCOSIDASE, RHIZOPUS NIVEUS</t>
  </si>
  <si>
    <t xml:space="preserve"> ENZYME,&lt;br /&gt; MALTING OR FERMENTING AID,&lt;br /&gt; PROCESSING AID</t>
  </si>
  <si>
    <t xml:space="preserve"> 65504-96-3</t>
  </si>
  <si>
    <t xml:space="preserve"> 2-AMYL-5 OR 6-KETO-1,4-DIOXANE</t>
  </si>
  <si>
    <t xml:space="preserve"> &amp;diams; 5(OR 6)-PENTYL-P-DIOXAN-2-ONE&lt;br /&gt;&amp;diams; 2-AMYL-5(OR 6)-KETO-1,4-DIOXANE&lt;br /&gt;&amp;diams; 1,4-DIOXAN-2-ONE, 5(OR 6)-PENTYL-&lt;br /&gt;&amp;diams; 5(OR 6)-PENTYL-1,4-DIOXAN-2-ONE</t>
  </si>
  <si>
    <t xml:space="preserve"> 2050-08-0</t>
  </si>
  <si>
    <t xml:space="preserve"> AMYL SALICYLATE</t>
  </si>
  <si>
    <t xml:space="preserve"> &amp;diams; AMYL SALICYLATE&lt;br /&gt;&amp;diams; BENZOIC ACID, 2-HYDROXY-, PENTYL ESTER&lt;br /&gt;&amp;diams; PENTYL 2-HYDROXYBENZOATE&lt;br /&gt;&amp;diams; SALICYLIC ACID, PENTYL ESTER&lt;br /&gt;&amp;diams; PENTYL SALICYLATE</t>
  </si>
  <si>
    <t xml:space="preserve"> 977059-69-0</t>
  </si>
  <si>
    <t xml:space="preserve"> AMYRIS (AMYRIS BALSAMIFERA L.)</t>
  </si>
  <si>
    <t xml:space="preserve"> &amp;diams; AMYRIS&lt;br /&gt;&amp;diams; SANDALWOOD, WEST INDIAN&lt;br /&gt;&amp;diams; AMYRIS BALSAMIFERA&lt;br /&gt;&amp;diams; WEST INDIAN SANDALWOOD</t>
  </si>
  <si>
    <t xml:space="preserve"> 8015-65-4</t>
  </si>
  <si>
    <t xml:space="preserve"> AMYRIS, OIL (AMYRIS BALSAMIFERA L.)</t>
  </si>
  <si>
    <t xml:space="preserve"> &amp;diams; AMYRIS OIL&lt;br /&gt;&amp;diams; AMYRIS BALSAMIFERA OIL&lt;br /&gt;&amp;diams; OILS, AMYRIS</t>
  </si>
  <si>
    <t xml:space="preserve"> 27939-60-2</t>
  </si>
  <si>
    <t xml:space="preserve"> (2,4)- AND (3,5)- AND (3,6)-DIMETHYL-3-CYCLOHEXENYLCARBALDEHYDE</t>
  </si>
  <si>
    <t xml:space="preserve"> &amp;diams; DIMETHYL-3-CYCLOHEXENE-1-CARBOXALDEHYDE&lt;br /&gt;&amp;diams; 3-cyclohexene-1-carboxaldehyde, dimethl-</t>
  </si>
  <si>
    <t xml:space="preserve"> 4180-23-8</t>
  </si>
  <si>
    <t xml:space="preserve"> TRANS-ANETHOLE</t>
  </si>
  <si>
    <t xml:space="preserve"> &amp;diams; ANETHOLE, TRANS-&lt;br /&gt;&amp;diams; 1-P-METHOXYPHENYLPROPENE, TRANS-&lt;br /&gt;&amp;diams; BENZENE, 1-METHOXY-4-(1-PROPENYL)-, (E)-&lt;br /&gt;&amp;diams; 1-METHOXY-4-(1-PROPENYL)BENZENE, (E)-&lt;br /&gt;&amp;diams; ANISOLE, P-PROPENYL-, (E)-&lt;br /&gt;&amp;diams; PROPENYLANISOLE, P-, (E)-&lt;br /&gt;&amp;diams; METHOXY-BETA-METHYLSTYRENE, TRANS-P-</t>
  </si>
  <si>
    <t xml:space="preserve"> 977050-05-7</t>
  </si>
  <si>
    <t xml:space="preserve"> ANGELICA (ANGELICA SPP.)</t>
  </si>
  <si>
    <t xml:space="preserve"> &amp;diams; ANGELICA&lt;br /&gt;&amp;diams; ANGELICA HERB&lt;br /&gt;&amp;diams; ANGELICA LEAF&lt;br /&gt;&amp;diams; ANGELICA ARCHANGELICA&lt;br /&gt;&amp;diams; ANGELIQUE (ANGELICA OFFICINALIS OU ARCHANGELICA)&lt;br /&gt;&amp;diams; ARCHANGEL&lt;br /&gt;&amp;diams; WILD PARSNIP</t>
  </si>
  <si>
    <t xml:space="preserve"> 591-11-7</t>
  </si>
  <si>
    <t xml:space="preserve"> BETA-ANGELICALACTONE</t>
  </si>
  <si>
    <t xml:space="preserve"> &amp;diams; 4-HYDROXY-2-PENTENOIC ACID GAMMA-LACTONE&lt;br /&gt;&amp;diams; ANGELICA LACTONE, BETA-&lt;br /&gt;&amp;diams; beta-angelica lactone&lt;br /&gt;&amp;diams; 2-pentenoic acid, 4-hydroxy-, gamma-lactone&lt;br /&gt;&amp;diams; 2(5H)-furanone, 5-methyl-&lt;br /&gt;&amp;diams; 5-methyl-2(5H)-furanone&lt;br /&gt;&amp;diams; 5-methyl-5H-furan-2-one&lt;br /&gt;&amp;diams; InChI=1/C5H6O2/c1-4-2-3-5(6)7-4/h2-4H,1H3&lt;br /&gt;&amp;diams; InChIKey: BGLUXFNVVSVEET-UHFFFAOYSA-N</t>
  </si>
  <si>
    <t xml:space="preserve"> 977050-06-8</t>
  </si>
  <si>
    <t xml:space="preserve"> ANGELICA ROOT (ANGELICA SPP.)</t>
  </si>
  <si>
    <t xml:space="preserve"> &amp;diams; ANGELICA ROOT&lt;br /&gt;&amp;diams; ANGELICA RADIX</t>
  </si>
  <si>
    <t xml:space="preserve"> 977032-49-7</t>
  </si>
  <si>
    <t xml:space="preserve"> ANGELICA ROOT, EXTRACT (ANGELICA ARCHANGELICA L.)</t>
  </si>
  <si>
    <t xml:space="preserve"> &amp;diams; ANGELICA ROOT EXTRACT&lt;br /&gt;&amp;diams; ANGELICA ARCHANGELICA ROOT EXTRACT</t>
  </si>
  <si>
    <t xml:space="preserve"> 8015-64-3</t>
  </si>
  <si>
    <t xml:space="preserve"> ANGELICA ROOT, OIL (ANGELICA ARCHANGELICA L.)</t>
  </si>
  <si>
    <t xml:space="preserve"> &amp;diams; ANGELICA ROOT OIL&lt;br /&gt;&amp;diams; ANGELICA ARCHANGELICA ROOT OIL&lt;br /&gt;&amp;diams; OILS, ANGELICA</t>
  </si>
  <si>
    <t xml:space="preserve"> 977050-07-9</t>
  </si>
  <si>
    <t xml:space="preserve"> ANGELICA SEED (ANGELICA SPP.)</t>
  </si>
  <si>
    <t xml:space="preserve"> &amp;diams; ANGELICA SEED</t>
  </si>
  <si>
    <t xml:space="preserve"> 977032-50-0</t>
  </si>
  <si>
    <t xml:space="preserve"> ANGELICA SEED, EXTRACT (ANGELICA ARCHANGELICA L.)</t>
  </si>
  <si>
    <t xml:space="preserve"> &amp;diams; ANGELICA SEED EXTRACT&lt;br /&gt;&amp;diams; ANGELICA ARCHANGELICA SEED EXTRACT</t>
  </si>
  <si>
    <t xml:space="preserve"> 977050-08-0</t>
  </si>
  <si>
    <t xml:space="preserve"> ANGELICA SEED, OIL (ANGELICA ARCHANGELICA L.)</t>
  </si>
  <si>
    <t xml:space="preserve"> &amp;diams; ANGELICA SEED OIL&lt;br /&gt;&amp;diams; ANGELICA ARCHANGELICA SEED OIL</t>
  </si>
  <si>
    <t xml:space="preserve"> 977032-48-6</t>
  </si>
  <si>
    <t xml:space="preserve"> ANGELICA STEM, OIL (ANGELICA ARCHANGELICA L.)</t>
  </si>
  <si>
    <t xml:space="preserve"> &amp;diams; ANGELICA STEM OIL&lt;br /&gt;&amp;diams; ANGELICA ARCHANGELICA STEM OIL</t>
  </si>
  <si>
    <t xml:space="preserve"> 977038-44-0</t>
  </si>
  <si>
    <t xml:space="preserve"> ANGOLA WEED (ROCCELLA FUCIFORMIS ACH.)</t>
  </si>
  <si>
    <t xml:space="preserve"> &amp;diams; ANGOLA WEED&lt;br /&gt;&amp;diams; ROCCELLA FUCIFORMIS</t>
  </si>
  <si>
    <t xml:space="preserve"> 977000-22-8</t>
  </si>
  <si>
    <t xml:space="preserve"> ANGOSTURA (GALIPEA OFFINCINALIS HANCOCK)</t>
  </si>
  <si>
    <t xml:space="preserve"> &amp;diams; ANGOSTURA BARK&lt;br /&gt;&amp;diams; CUSPARIA BARK&lt;br /&gt;&amp;diams; GALIPEA CUSPARIA</t>
  </si>
  <si>
    <t xml:space="preserve"> 68916-12-1</t>
  </si>
  <si>
    <t xml:space="preserve"> ANGOSTURA, EXTRACT (GALIPEA OFFICINALIS HANCOCK)</t>
  </si>
  <si>
    <t xml:space="preserve"> &amp;diams; ANGOSTURA BARK EXTRACT&lt;br /&gt;&amp;diams; ANGOSTURA EXTRACT&lt;br /&gt;&amp;diams; ANGOSTURA OIL&lt;br /&gt;&amp;diams; CUSPARIA BARK EXTRACT&lt;br /&gt;&amp;diams; GALIPEA OFFICINALIS BARK EXTRACT&lt;br /&gt;&amp;diams; OILS, ANGOSTURA</t>
  </si>
  <si>
    <t xml:space="preserve"> 6414-32-0</t>
  </si>
  <si>
    <t xml:space="preserve"> ANISALDEHYDE PROPYLENEGLYCOL ACETAL</t>
  </si>
  <si>
    <t xml:space="preserve"> &amp;diams; ANISALDEHYDE PROPYLENE GLYCOL ACETAL&lt;br /&gt;&amp;diams; 1,3-dioxolane, 2-(4-methoxyphenyl)-4-methyl-&lt;br /&gt;&amp;diams; 2-(4-methoxyphenyl)-4-methyl-1,3-dioxolane&lt;br /&gt;&amp;diams; 1,3-dioxolane, 2-(p-methoxyphenyl)-4-methyl-&lt;br /&gt;&amp;diams; 2-(p-methoxyphenyl)-4-methyl-1,3-dioxolane</t>
  </si>
  <si>
    <t xml:space="preserve"> 977007-65-0</t>
  </si>
  <si>
    <t xml:space="preserve"> ANISE (PIMPINELLA ANISUM L.)</t>
  </si>
  <si>
    <t xml:space="preserve"> &amp;diams; ANISE&lt;br /&gt;&amp;diams; PIMPINELLA ANISUM&lt;br /&gt;&amp;diams; ANISE, COMMON&lt;br /&gt;&amp;diams; ANISEED&lt;br /&gt;&amp;diams; ANIS VERT (PIMPINELLA ANISUM)&lt;br /&gt;&amp;diams; Anisum vulgare</t>
  </si>
  <si>
    <t xml:space="preserve"> 8007-70-3</t>
  </si>
  <si>
    <t xml:space="preserve"> ANISE, OIL (PIMPINELLA ANISUM L.)</t>
  </si>
  <si>
    <t xml:space="preserve"> &amp;diams; ANISE OIL&lt;br /&gt;&amp;diams; ANISEED OIL&lt;br /&gt;&amp;diams; OILS, ANISE&lt;br /&gt;&amp;diams; PIMPINELLA ANISUM OIL</t>
  </si>
  <si>
    <t xml:space="preserve"> 977052-16-6</t>
  </si>
  <si>
    <t xml:space="preserve"> ANISE, STAR (ILLICIUM VERUM HOOK, F.)</t>
  </si>
  <si>
    <t xml:space="preserve"> &amp;diams; STAR ANISE&lt;br /&gt;&amp;diams; ANISE, STAR&lt;br /&gt;&amp;diams; ILLICIUM VERUM&lt;br /&gt;&amp;diams; ANIS ETOILE (ILLICIUM VERUM)&lt;br /&gt;&amp;diams; Illicium verum&lt;br /&gt;&amp;diams; Chinese star anise</t>
  </si>
  <si>
    <t xml:space="preserve"> 68952-43-2</t>
  </si>
  <si>
    <t xml:space="preserve"> ANISE, STAR, OIL (ILLICIUM VERUM HOOK, F.)</t>
  </si>
  <si>
    <t xml:space="preserve"> &amp;diams; STAR ANISE OIL&lt;br /&gt;&amp;diams; OILS, STAR ANISE&lt;br /&gt;&amp;diams; ILLICIUM VERUM OIL&lt;br /&gt;&amp;diams; ANISE OIL, STAR</t>
  </si>
  <si>
    <t xml:space="preserve"> 1335-08-6</t>
  </si>
  <si>
    <t xml:space="preserve"> ANISIC ACID</t>
  </si>
  <si>
    <t xml:space="preserve"> &amp;diams; METHOXYBENZOIC ACID&lt;br /&gt;&amp;diams; ANISIC ACID&lt;br /&gt;&amp;diams; BENZOIC ACID, METHOXY-</t>
  </si>
  <si>
    <t xml:space="preserve"> 100-66-3</t>
  </si>
  <si>
    <t xml:space="preserve"> ANISOLE</t>
  </si>
  <si>
    <t xml:space="preserve"> &amp;diams; ANISOLE&lt;br /&gt;&amp;diams; METHOXYBENZENE&lt;br /&gt;&amp;diams; METHYL PHENYL ETHER&lt;br /&gt;&amp;diams; PHENYL METHYL ETHER&lt;br /&gt;&amp;diams; BENZENE, METHOXY-&lt;br /&gt;&amp;diams; PHENOXYMETHANE</t>
  </si>
  <si>
    <t xml:space="preserve"> 104-21-2</t>
  </si>
  <si>
    <t xml:space="preserve"> ANISYL ACETATE</t>
  </si>
  <si>
    <t xml:space="preserve"> &amp;diams; ANISYL ACETATE&lt;br /&gt;&amp;diams; METHOXYBENZYL ACETATE, P-&lt;br /&gt;&amp;diams; CASSIE KETONE&lt;br /&gt;&amp;diams; 4-METHOXYBENZYL ACETATE&lt;br /&gt;&amp;diams; BENZENEMETHANOL, 4-METHOXY-, ACETATE&lt;br /&gt;&amp;diams; 4-METHOXYBENZENENEMETHYL ACETATE&lt;br /&gt;&amp;diams; BENZYL ALCOHOL, P-METHOXY-, ACETATE</t>
  </si>
  <si>
    <t xml:space="preserve"> 105-13-5</t>
  </si>
  <si>
    <t xml:space="preserve"> ANISYL ALCOHOL</t>
  </si>
  <si>
    <t xml:space="preserve"> &amp;diams; ANISYL ALCOHOL&lt;br /&gt;&amp;diams; ANISIC ALCOHOL&lt;br /&gt;&amp;diams; ANISE ALCOHOL&lt;br /&gt;&amp;diams; METHOXYBENZYL ALCOHOL, P-&lt;br /&gt;&amp;diams; 4-METHOXYBENZYL ALCOHOL&lt;br /&gt;&amp;diams; BENZENEMETHANOL, 4-METHOXY-&lt;br /&gt;&amp;diams; 4-METHOXYBENZENEMETHANOL&lt;br /&gt;&amp;diams; BENZYL ALCOHOL, P-METHOXY-&lt;br /&gt;&amp;diams; ANISALCOHOL, P-</t>
  </si>
  <si>
    <t xml:space="preserve"> 6963-56-0</t>
  </si>
  <si>
    <t xml:space="preserve"> ANISYL BUTYRATE</t>
  </si>
  <si>
    <t xml:space="preserve"> &amp;diams; ANISYL BUTYRATE&lt;br /&gt;&amp;diams; METHOXYBENZYL BUTYRATE, P-&lt;br /&gt;&amp;diams; BUTANOIC ACID, (4-METHOXYPHENYL)METHYL ESTER&lt;br /&gt;&amp;diams; (4-METHOXYPHENYL)METHYL BUTANOATE&lt;br /&gt;&amp;diams; BENZYL ALCOHOL, P-METHOXY-, BUTYRATE&lt;br /&gt;&amp;diams; METHOXYBENZYL ALCOHOL BUTYRATE, P-&lt;br /&gt;&amp;diams; 4-METHOXYBENZYL BUTYRATE</t>
  </si>
  <si>
    <t xml:space="preserve"> 122-91-8</t>
  </si>
  <si>
    <t xml:space="preserve"> ANISYL FORMATE</t>
  </si>
  <si>
    <t xml:space="preserve"> &amp;diams; ANISYL FORMATE&lt;br /&gt;&amp;diams; ANISYL METHANOATE&lt;br /&gt;&amp;diams; METHOXYBENZYL FORMATE, P-&lt;br /&gt;&amp;diams; METHOXYBENZYL METHANOATE, P-&lt;br /&gt;&amp;diams; 4-METHOXYBENZYL FORMATE&lt;br /&gt;&amp;diams; BENZENEMETHANOL, 4-METHOXY-, FORMATE&lt;br /&gt;&amp;diams; 4-METHOXYBENZENEMETHYL FORMATE&lt;br /&gt;&amp;diams; BENZYL ALCOHOL, P-METHOXY-, FORMATE</t>
  </si>
  <si>
    <t xml:space="preserve"> 102-17-0</t>
  </si>
  <si>
    <t xml:space="preserve"> ANISYL PHENYLACETATE</t>
  </si>
  <si>
    <t xml:space="preserve"> &amp;diams; ANISYL PHENYLACETATE&lt;br /&gt;&amp;diams; ANISYL ALPHA-TOLUATE&lt;br /&gt;&amp;diams; METHOXYBENZYL PHENYLACETATE, P-&lt;br /&gt;&amp;diams; BENZENEACETIC ACID, (4-METHOXYPHENYL)METHYL ESTER&lt;br /&gt;&amp;diams; (4-METHOXYPHENYL)METHYL BENZENEACETATE&lt;br /&gt;&amp;diams; ACETIC ACID, PHENYL-, P-METHOXYBENZYL ESTER</t>
  </si>
  <si>
    <t xml:space="preserve"> 7549-33-9</t>
  </si>
  <si>
    <t xml:space="preserve"> ANISYL PROPIONATE</t>
  </si>
  <si>
    <t xml:space="preserve"> &amp;diams; ANISYL PROPIONATE&lt;br /&gt;&amp;diams; METHOXYBENZYL PROPIONATE, P-&lt;br /&gt;&amp;diams; BENZENEMETHANOL, 4-METHOXY-, PROPANOATE&lt;br /&gt;&amp;diams; 4-METHOXYBENZENEMETHYL PROPANOATE&lt;br /&gt;&amp;diams; BENZYL ALCOHOL, P-METHOXY-, PROPIONATE</t>
  </si>
  <si>
    <t xml:space="preserve"> 1393-63-1</t>
  </si>
  <si>
    <t xml:space="preserve"> ANNATTO, EXTRACT (BIXA ORELLANA L.)</t>
  </si>
  <si>
    <t xml:space="preserve"> &amp;diams; ANNATTO EXTRACT&lt;br /&gt;&amp;diams; COLOR, ANNATTO&lt;br /&gt;&amp;diams; C.I. NATURAL ORANGE 4&lt;br /&gt;&amp;diams; ANNOTTA EXTRACT&lt;br /&gt;&amp;diams; ARNOTTA EXTRACT&lt;br /&gt;&amp;diams; ANNATTO (COLOR)&lt;br /&gt;&amp;diams; BIXA ORELLANA EXTRACT&lt;br /&gt;&amp;diams; NATURAL ORANGE 4&lt;br /&gt;&amp;diams; EXTRACT, ANNATTO</t>
  </si>
  <si>
    <t xml:space="preserve"> COLOR OR COLORING ADJUNCT,&lt;br /&gt; FLAVOR ENHANCER,&lt;br /&gt; FLAVORING AGENT OR ADJUVANT,&lt;br /&gt; FORMULATION AID,&lt;br /&gt; PROCESSING AID,&lt;br /&gt; SURFACE-FINISHING AGENT</t>
  </si>
  <si>
    <t xml:space="preserve"> 60837-57-2</t>
  </si>
  <si>
    <t xml:space="preserve"> ANOXOMER</t>
  </si>
  <si>
    <t xml:space="preserve"> &amp;diams; ANOXOMER&lt;br /&gt;&amp;diams; POLY(BISPHENOL A-CO-TERT-BUTYLHYDROQUINONE-CO-4-TERT-BUTYLPHENOL-CO-DIVINYLBENZENE-CO-4-METHOXYPHENOL-CO-4-METHYLPHENOL)&lt;br /&gt;&amp;diams; 1,4-BENZENEDIOL, 2-(1,1-DIMETHYLETHYL)-, POLYMER WITH DIETHENYLBENZENE, 4-(1,1-DIMETHYLETHYL)PHENOL, 4-METHOXYPHENOL, 4,4'-(1-METHYLETHYLIDENE)BIS(PHENOL) AND 4-METHYLPHENOL</t>
  </si>
  <si>
    <t xml:space="preserve"> ANTIOXIDANT</t>
  </si>
  <si>
    <t xml:space="preserve"> 69013-20-3</t>
  </si>
  <si>
    <t xml:space="preserve"> ANTHRACITE COAL, SULFONATED</t>
  </si>
  <si>
    <t xml:space="preserve"> &amp;diams; COAL, SULFONATED&lt;br /&gt;&amp;diams; SULFONATED ANTHRACITE COAL&lt;br /&gt;&amp;diams; SULFONATED COAL&lt;br /&gt;&amp;diams; ANTHRACITE COAL, SULFONATED</t>
  </si>
  <si>
    <t xml:space="preserve"> 1107-26-2</t>
  </si>
  <si>
    <t xml:space="preserve"> BETA-APO-8'-CAROTENAL</t>
  </si>
  <si>
    <t xml:space="preserve"> &amp;diams; 8'-APO-BETA-CAROTENAL&lt;br /&gt;&amp;diams; APO-8'-CAROTENAL, BETA-&lt;br /&gt;&amp;diams; BETA-APO-8'-CAROTENAL (C30)&lt;br /&gt;&amp;diams; BETA-APO-8'-CAROTENAL&lt;br /&gt;&amp;diams; C.I. FOOD ORANGE 6&lt;br /&gt;&amp;diams; C.I. 40820&lt;br /&gt;&amp;diams; 8'-APO-BETA,PSI-CAROTENAL&lt;br /&gt;&amp;diams; 8'-APO-BETA-CAROTENAL, ALL-TRANS-&lt;br /&gt;&amp;diams; 8'-APO-BETA-CAROTEN-8'-AL</t>
  </si>
  <si>
    <t xml:space="preserve"> 977090-73-5</t>
  </si>
  <si>
    <t xml:space="preserve"> APPLE ESSENCE, NATURAL</t>
  </si>
  <si>
    <t xml:space="preserve"> &amp;diams; APPLE ESSENCE, NATURAL</t>
  </si>
  <si>
    <t xml:space="preserve"> 72869-69-3</t>
  </si>
  <si>
    <t xml:space="preserve"> APRICOT KERNEL, OIL (PRUNUS ARMENIACA L.)</t>
  </si>
  <si>
    <t xml:space="preserve"> &amp;diams; APRICOT KERNEL OIL&lt;br /&gt;&amp;diams; PRUNUS ARMENIACA KERNEL OIL&lt;br /&gt;&amp;diams; APRICOT OIL&lt;br /&gt;&amp;diams; OILS, APRICOT</t>
  </si>
  <si>
    <t xml:space="preserve"> 9036-66-2</t>
  </si>
  <si>
    <t xml:space="preserve"> ARABINOGALACTAN</t>
  </si>
  <si>
    <t xml:space="preserve"> &amp;diams; ARABINOGALACTAN&lt;br /&gt;&amp;diams; GALACTOARABINAN&lt;br /&gt;&amp;diams; D-GALACTO-L-ARABINAN&lt;br /&gt;&amp;diams; GALACTO-L-ARABINAN, L-&lt;br /&gt;&amp;diams; LARCH GUM</t>
  </si>
  <si>
    <t xml:space="preserve"> EMULSIFIER OR EMULSIFIER SALT,&lt;br /&gt; FLAVORING AGENT OR ADJUVANT,&lt;br /&gt; FORMULATION AID,&lt;br /&gt; HUMECTANT,&lt;br /&gt; NUTRIENT SUPPLEMENT,&lt;br /&gt; PROCESSING AID,&lt;br /&gt; STABILIZER OR THICKENER,&lt;br /&gt; SYNERGIST,&lt;br /&gt; TEXTURIZER</t>
  </si>
  <si>
    <t xml:space="preserve"> 5328-37-0</t>
  </si>
  <si>
    <t xml:space="preserve"> L-ARABINOSE</t>
  </si>
  <si>
    <t xml:space="preserve"> &amp;diams; ARABINOSE, L-&lt;br /&gt;&amp;diams; PECTIN SUGAR&lt;br /&gt;&amp;diams; PECTINOSE&lt;br /&gt;&amp;diams; L-ARABINOSE&lt;br /&gt;&amp;diams; ARABINOSE, L-(+)-</t>
  </si>
  <si>
    <t xml:space="preserve"> 74-79-3</t>
  </si>
  <si>
    <t xml:space="preserve"> L-ARGININE</t>
  </si>
  <si>
    <t xml:space="preserve"> &amp;diams; ARGININE&lt;br /&gt;&amp;diams; ARGININE, L-&lt;br /&gt;&amp;diams; GUANIDINE AMINOVALERIC ACID&lt;br /&gt;&amp;diams; 1-AMINO-4-GUANIDOVALERIC ACID&lt;br /&gt;&amp;diams; L-ARGININE&lt;br /&gt;&amp;diams; 2-AMINO-5-((AMINOIMINOMETHYL)AMINO)PENTANOIC ACID, (S)-&lt;br /&gt;&amp;diams; 2-AMINO-5-GUANIDINOVALERIC ACID, (S)-&lt;br /&gt;&amp;diams; ARGININE, L-(+)-&lt;br /&gt;&amp;diams; AMINO-DELTA-GUANIDINOVALERIC ACID, L-ALPHA-&lt;br /&gt;&amp;diams; 5-((AMINOIMINOMETHYL)AMINO)-L-NORVALINE&lt;br /&gt;&amp;diams; N5-(AMINOIMINOMETHYL)-L-ORNITHINE</t>
  </si>
  <si>
    <t xml:space="preserve"> 977000-27-3</t>
  </si>
  <si>
    <t xml:space="preserve"> ARNICA FLOWERS (ARNICA SPP.)</t>
  </si>
  <si>
    <t xml:space="preserve"> &amp;diams; ARNICA&lt;br /&gt;&amp;diams; ARNICA FLOWER&lt;br /&gt;&amp;diams; LEOPARD'S BANE&lt;br /&gt;&amp;diams; MOUNTAIN TOBACCO&lt;br /&gt;&amp;diams; ARNICA MONTANA&lt;br /&gt;&amp;diams; FLORES ARNICAE&lt;br /&gt;&amp;diams; ARNICA LATIFOLIA&lt;br /&gt;&amp;diams; WOLF'S BANE</t>
  </si>
  <si>
    <t xml:space="preserve"> 977000-09-1</t>
  </si>
  <si>
    <t xml:space="preserve"> ARROWROOT STARCH</t>
  </si>
  <si>
    <t xml:space="preserve"> &amp;diams; STARCH, ARROWROOT</t>
  </si>
  <si>
    <t xml:space="preserve"> STABILIZER OR THICKENER</t>
  </si>
  <si>
    <t xml:space="preserve"> 977052-73-5</t>
  </si>
  <si>
    <t xml:space="preserve"> ARTEMISIA (ARTEMISIA SPP.)</t>
  </si>
  <si>
    <t xml:space="preserve"> &amp;diams; ARTEMISIA&lt;br /&gt;&amp;diams; WORMWOOD&lt;br /&gt;&amp;diams; ABSINTHE&lt;br /&gt;&amp;diams; ARMOISE&lt;br /&gt;&amp;diams; ARTEMISIA ABSINTHIUM&lt;br /&gt;&amp;diams; MADDERWORT&lt;br /&gt;&amp;diams; ASSENZIO&lt;br /&gt;&amp;diams; ABSINTH&lt;br /&gt;&amp;diams; HERB ABSINTHII&lt;br /&gt;&amp;diams; MAGENKRAUT&lt;br /&gt;&amp;diams; MINGWORT&lt;br /&gt;&amp;diams; WARMOT&lt;br /&gt;&amp;diams; WERMUTH</t>
  </si>
  <si>
    <t xml:space="preserve"> 977032-37-3</t>
  </si>
  <si>
    <t xml:space="preserve"> ARTEMISIA EXTRACT</t>
  </si>
  <si>
    <t xml:space="preserve"> &amp;diams; ARTEMISIA EXTRACT&lt;br /&gt;&amp;diams; WORMWOOD EXTRACT&lt;br /&gt;&amp;diams; ARTEMISIA ABSINTHIUM EXTRACT&lt;br /&gt;&amp;diams; ABSINTHIUM EXTRACT</t>
  </si>
  <si>
    <t xml:space="preserve"> 8008-93-3</t>
  </si>
  <si>
    <t xml:space="preserve"> ARTEMISIA OIL</t>
  </si>
  <si>
    <t xml:space="preserve"> &amp;diams; ARTEMISIA OIL&lt;br /&gt;&amp;diams; WORMWOOD OIL&lt;br /&gt;&amp;diams; ABSINTHIUM OIL&lt;br /&gt;&amp;diams; OILS, WORMWOOD&lt;br /&gt;&amp;diams; ARTEMISIA ABSINTHIUM OIL</t>
  </si>
  <si>
    <t xml:space="preserve"> 977038-45-1</t>
  </si>
  <si>
    <t xml:space="preserve"> ARTICHOKE LEAVES (CYNARA SCOLYMUS L.)</t>
  </si>
  <si>
    <t xml:space="preserve"> &amp;diams; ARTICHOKE LEAF&lt;br /&gt;&amp;diams; CYNARA SCOLYMUS LEAF</t>
  </si>
  <si>
    <t xml:space="preserve"> 977038-46-2</t>
  </si>
  <si>
    <t xml:space="preserve"> ASAFETIDA, FLUID EXTRACT (FERULA ASSAFOETIDA L.)</t>
  </si>
  <si>
    <t xml:space="preserve"> &amp;diams; ASAFETIDA FLUIDEXTRACT&lt;br /&gt;&amp;diams; FERULA ASSA-FOETIDA FLUIDEXTRACT</t>
  </si>
  <si>
    <t xml:space="preserve"> 9000-04-8</t>
  </si>
  <si>
    <t xml:space="preserve"> ASAFETIDA, GUM (FERULA ASSAFOETIDA L.)</t>
  </si>
  <si>
    <t xml:space="preserve"> &amp;diams; ASAFETIDA&lt;br /&gt;&amp;diams; GUM ASAFETIDA&lt;br /&gt;&amp;diams; FERULA RESIN&lt;br /&gt;&amp;diams; FERULA ASSA-FOETIDA&lt;br /&gt;&amp;diams; ASAFETIDA GUM&lt;br /&gt;&amp;diams; HING&lt;br /&gt;&amp;diams; HEENG&lt;br /&gt;&amp;diams; ASAFOETIDA&lt;br /&gt;&amp;diams; SHEINGHO&lt;br /&gt;&amp;diams; PERUNKAYAN&lt;br /&gt;&amp;diams; FERULA FOETIDA&lt;br /&gt;&amp;diams; DEVIL'S DUNG&lt;br /&gt;&amp;diams; DUNG, DEVIL'S&lt;br /&gt;&amp;diams; asant&lt;br /&gt;&amp;diams; giant fennel</t>
  </si>
  <si>
    <t xml:space="preserve"> 72869-70-6</t>
  </si>
  <si>
    <t xml:space="preserve"> ASAFETIDA, OIL (FERULA ASSAFOETIDA L.)</t>
  </si>
  <si>
    <t xml:space="preserve"> &amp;diams; ASAFETIDA OIL&lt;br /&gt;&amp;diams; OILS, ASAFETIDA&lt;br /&gt;&amp;diams; FERULA ASSA-FOETIDA OIL</t>
  </si>
  <si>
    <t xml:space="preserve"> 137-66-6</t>
  </si>
  <si>
    <t xml:space="preserve"> ASCORBYL PALMITATE</t>
  </si>
  <si>
    <t xml:space="preserve"> &amp;diams; ASCORBYL PALMITATE&lt;br /&gt;&amp;diams; ASCORBYL 6-PALMITATE&lt;br /&gt;&amp;diams; PALMITOYL L-ASCORBIC ACID&lt;br /&gt;&amp;diams; L-ASCORBIC ACID, 6-HEXADECANOATE&lt;br /&gt;&amp;diams; L-ASCORBIC ACID, 6-PALMITATE&lt;br /&gt;&amp;diams; ASCORBYL 6-HEXADECANOATE, L-&lt;br /&gt;&amp;diams; 6-PALMITOYL-L-ASCORBIC ACID&lt;br /&gt;&amp;diams; ASCORBOYL PALMITATE&lt;br /&gt;&amp;diams; ASCORBYL PALMITATE, L-&lt;br /&gt;&amp;diams; L-ASCORBYL PALMITATE&lt;br /&gt;&amp;diams; Cetyl ascorbate</t>
  </si>
  <si>
    <t xml:space="preserve"> 25395-66-8</t>
  </si>
  <si>
    <t xml:space="preserve"> ASCORBYL STEARATE</t>
  </si>
  <si>
    <t xml:space="preserve"> &amp;diams; ASCORBYL STEARATE&lt;br /&gt;&amp;diams; L-ASCORBIC ACID, MONOOCTADECANOATE&lt;br /&gt;&amp;diams; L-ASCORBIC ACID, MONOSTEARATE&lt;br /&gt;&amp;diams; ASCORBYL MONOSTEARATE, L-&lt;br /&gt;&amp;diams; ASCORBYL MONOOCTADECANOATE, L-&lt;br /&gt;&amp;diams; ASCORBYL STEARATE, L-&lt;br /&gt;&amp;diams; L-ASCORBYL STEARATE</t>
  </si>
  <si>
    <t xml:space="preserve"> 70-47-3</t>
  </si>
  <si>
    <t xml:space="preserve"> L-ASPARAGINE</t>
  </si>
  <si>
    <t xml:space="preserve"> &amp;diams; ASPARAGINE, L-&lt;br /&gt;&amp;diams; 2-AMINOSUCCINAMIC ACID, L-&lt;br /&gt;&amp;diams; L-ASPARAGINE&lt;br /&gt;&amp;diams; 2,4-DIAMINO-4-OXOBUTANOIC ACID, (S)-&lt;br /&gt;&amp;diams; ALPHA-AMINOSUCCINAMIC ACID&lt;br /&gt;&amp;diams; asparagine, (-)-</t>
  </si>
  <si>
    <t xml:space="preserve"> 977082-96-4</t>
  </si>
  <si>
    <t xml:space="preserve"> ASPARAGUS, SEED AND ROOT, EXTRACT</t>
  </si>
  <si>
    <t xml:space="preserve"> &amp;diams; ASPARAGUS SEED AND ROOT EXTRACT</t>
  </si>
  <si>
    <t xml:space="preserve"> 22839-47-0</t>
  </si>
  <si>
    <t xml:space="preserve"> ASPARTAME</t>
  </si>
  <si>
    <t xml:space="preserve"> &amp;diams; ASPARTAME&lt;br /&gt;&amp;diams; METHYL ASPARTYLPHENYLALANATE&lt;br /&gt;&amp;diams; METHYL L-ALPHA-ASPARTYL-L-PHENYLALANATE&lt;br /&gt;&amp;diams; METHYL L-ASPARTYL-L-PHENYLALANINE&lt;br /&gt;&amp;diams; ASPARTAME, L,L-ALPHA-&lt;br /&gt;&amp;diams; 1-METHYL N-L-ALPHA-ASPARTYL-L-PHENYLALANINE&lt;br /&gt;&amp;diams; L-PHENYLALANINE, N-L-ALPHA-ASPARTYL-, 1-METHYL ESTER&lt;br /&gt;&amp;diams; 1-METHYL N-L-ALPHA-ASPARTYL-L-PHENYLALANATE&lt;br /&gt;&amp;diams; ASP-PHE-OME</t>
  </si>
  <si>
    <t xml:space="preserve"> FLAVOR ENHANCER,&lt;br /&gt; NON-NUTRITIVE SWEETENER</t>
  </si>
  <si>
    <t xml:space="preserve"> 56-84-8</t>
  </si>
  <si>
    <t xml:space="preserve"> L-ASPARTIC ACID</t>
  </si>
  <si>
    <t xml:space="preserve"> &amp;diams; ASPARTIC ACID, L-&lt;br /&gt;&amp;diams; AMINOSUCCINIC ACID&lt;br /&gt;&amp;diams; L-ASPARTIC ACID&lt;br /&gt;&amp;diams; AMINOBUTANEDIOIC ACID, (S)-&lt;br /&gt;&amp;diams; ASPARAGINIC ACID, L-</t>
  </si>
  <si>
    <t xml:space="preserve"> 9001-23-4</t>
  </si>
  <si>
    <t xml:space="preserve"> ASPERGILLUS NIGER FOR FERMENTATION PRODUCTION OF CITRIC ACID</t>
  </si>
  <si>
    <t xml:space="preserve"> &amp;diams; ENZYME, ASPERGILLUS NIGER&lt;br /&gt;&amp;diams; ASPERGILLUS NIGER ENZYME EXTRACT&lt;br /&gt;&amp;diams; ASPERGILLUS NIGER FOR FERMENTATION PRODUCTION OF CITRIC ACID&lt;br /&gt;&amp;diams; ENZYME ASPERGILLUS NIGER</t>
  </si>
  <si>
    <t xml:space="preserve"> SOLVENT OR VEHICLE</t>
  </si>
  <si>
    <t xml:space="preserve"> 472-61-7</t>
  </si>
  <si>
    <t xml:space="preserve"> ASTAXANTHIN</t>
  </si>
  <si>
    <t xml:space="preserve"> &amp;diams; ASTAXANTHIN&lt;br /&gt;&amp;diams; OVOESTER&lt;br /&gt;&amp;diams; 3,3'-DIHYDROXY-BETA,BETA-CAROTENE-4,4'-DIONE, (3S,3'S)-&lt;br /&gt;&amp;diams; BETA,BETA-CAROTENE-4,4'-DIONE, 3,3'-DIHYDROXY-, (3S,3'S)-&lt;br /&gt;&amp;diams; ASTAXANTHIN, ALL-TRANS-, (3S,3'S)-&lt;br /&gt;&amp;diams; ASTAXANTHIN, (3S,3'S)-</t>
  </si>
  <si>
    <t xml:space="preserve"> 123-77-3</t>
  </si>
  <si>
    <t xml:space="preserve"> AZODICARBONAMIDE</t>
  </si>
  <si>
    <t xml:space="preserve"> &amp;diams; AZODICARBONAMIDE&lt;br /&gt;&amp;diams; DIAZENEDICARBOXAMIDE&lt;br /&gt;&amp;diams; FORMAMIDE, 1,1'-AZOBIS-&lt;br /&gt;&amp;diams; 1,1'-AZOBIS(FORMAMIDE)&lt;br /&gt;&amp;diams; 1,1'-BIUREA, DELTA-&lt;br /&gt;&amp;diams; AZODICARBOXAMIDE</t>
  </si>
  <si>
    <t xml:space="preserve"> DOUGH STRENGTHENER,&lt;br /&gt; FLOUR TREATING AGENT</t>
  </si>
  <si>
    <t xml:space="preserve"> 136.110 ,  137.105 ,  137.200</t>
  </si>
  <si>
    <t xml:space="preserve"> 977050-35-3</t>
  </si>
  <si>
    <t xml:space="preserve"> BACTERIAL CATALASE FROM MICROCOCCUS LYSODEIKTICUS</t>
  </si>
  <si>
    <t xml:space="preserve"> &amp;diams; CATALASE, MICROCOCCUS LYSODEIKTICUS&lt;br /&gt;&amp;diams; CATALASE, MICROCOCCUS LUTEUS</t>
  </si>
  <si>
    <t xml:space="preserve"> 8013-01-2</t>
  </si>
  <si>
    <t xml:space="preserve"> BAKERS YEAST EXTRACT</t>
  </si>
  <si>
    <t xml:space="preserve"> &amp;diams; YEAST EXTRACT&lt;br /&gt;&amp;diams; YEAST, EXT.</t>
  </si>
  <si>
    <t xml:space="preserve"> FLAVOR ENHANCER,&lt;br /&gt; FLAVORING AGENT OR ADJUVANT,&lt;br /&gt; MALTING OR FERMENTING AID,&lt;br /&gt; NUTRIENT SUPPLEMENT</t>
  </si>
  <si>
    <t xml:space="preserve"> 977014-12-2</t>
  </si>
  <si>
    <t xml:space="preserve"> BAKER'S YEAST GLYCAN</t>
  </si>
  <si>
    <t xml:space="preserve"> &amp;diams; BAKERS YEAST GLYCAN&lt;br /&gt;&amp;diams; YEAST GLYCAN, BAKERS</t>
  </si>
  <si>
    <t xml:space="preserve"> EMULSIFIER OR EMULSIFIER SALT,&lt;br /&gt; STABILIZER OR THICKENER,&lt;br /&gt; TEXTURIZER</t>
  </si>
  <si>
    <t xml:space="preserve"> 977014-13-3</t>
  </si>
  <si>
    <t xml:space="preserve"> BAKER'S YEAST PROTEIN</t>
  </si>
  <si>
    <t xml:space="preserve"> &amp;diams; BAKERS YEAST PROTEIN&lt;br /&gt;&amp;diams; YEAST PROTEIN, BAKERS</t>
  </si>
  <si>
    <t xml:space="preserve"> LEAVENING AGENT</t>
  </si>
  <si>
    <t xml:space="preserve"> 977051-08-3</t>
  </si>
  <si>
    <t xml:space="preserve"> BALM (MELISSA OFFICINALIS L.)</t>
  </si>
  <si>
    <t xml:space="preserve"> &amp;diams; BALM, LEMON&lt;br /&gt;&amp;diams; MELISSA&lt;br /&gt;&amp;diams; BALM&lt;br /&gt;&amp;diams; MELISSA OFFICINALIS</t>
  </si>
  <si>
    <t xml:space="preserve"> 977090-74-6</t>
  </si>
  <si>
    <t xml:space="preserve"> BALM LEAVES (MELISSA OFFICINALIS L.)</t>
  </si>
  <si>
    <t xml:space="preserve"> &amp;diams; BALM LEAF, LEMON&lt;br /&gt;&amp;diams; BALM LEAF&lt;br /&gt;&amp;diams; LEMON BALM LEAF&lt;br /&gt;&amp;diams; MELISSA LEAF</t>
  </si>
  <si>
    <t xml:space="preserve"> 84082-61-1</t>
  </si>
  <si>
    <t xml:space="preserve"> BALM LEAVES, EXTRACT (MELISSA OFFICINALIS L.)</t>
  </si>
  <si>
    <t xml:space="preserve"> &amp;diams; BALM EXTRACT&lt;br /&gt;&amp;diams; MELISSA EXTRACT&lt;br /&gt;&amp;diams; LEMON BALM EXTRACT&lt;br /&gt;&amp;diams; BALM LEAF EXTRACT&lt;br /&gt;&amp;diams; BALM EXTRACT, LEMON&lt;br /&gt;&amp;diams; MELISSA OFFICINALIS, EXT.</t>
  </si>
  <si>
    <t xml:space="preserve"> 8014-71-9</t>
  </si>
  <si>
    <t xml:space="preserve"> BALM, OIL (MELISSA OFFICINALIS L.)</t>
  </si>
  <si>
    <t xml:space="preserve"> &amp;diams; BALM OIL, LEMON&lt;br /&gt;&amp;diams; LEMON BALM OIL&lt;br /&gt;&amp;diams; MELISSA OIL&lt;br /&gt;&amp;diams; BALM OIL&lt;br /&gt;&amp;diams; OILS, MELISSA OFFICINALIS&lt;br /&gt;&amp;diams; MELISSA OFFICINALIS OIL</t>
  </si>
  <si>
    <t xml:space="preserve"> 977107-97-3</t>
  </si>
  <si>
    <t xml:space="preserve"> FIR, BALSAM, NEEDLES AND TWIGS (ABIES BALSAMEA (L.) MILL.)</t>
  </si>
  <si>
    <t xml:space="preserve"> &amp;diams; BALSAM FIR NEEDLE AND TWIG&lt;br /&gt;&amp;diams; ABIES BALSAMEA NEEDLE AND TWIG</t>
  </si>
  <si>
    <t xml:space="preserve"> 8024-15-5</t>
  </si>
  <si>
    <t xml:space="preserve"> BALSAM FIR, OIL (ABIES BALSAMEA (L.) MILL.)</t>
  </si>
  <si>
    <t xml:space="preserve"> &amp;diams; BALSAM FIR OIL&lt;br /&gt;&amp;diams; OILS, CANADA BALSAM&lt;br /&gt;&amp;diams; CANADA BALSAM OIL</t>
  </si>
  <si>
    <t xml:space="preserve"> 977017-81-4</t>
  </si>
  <si>
    <t xml:space="preserve"> BALSAM FIR, OLEORESIN (ABIES BALSAMEA (L.) MILL.)</t>
  </si>
  <si>
    <t xml:space="preserve"> &amp;diams; BALSAM FIR OLEORESIN&lt;br /&gt;&amp;diams; ABIES BALSAMEA OLEORESIN</t>
  </si>
  <si>
    <t xml:space="preserve"> 8007-00-9</t>
  </si>
  <si>
    <t xml:space="preserve"> BALSAM, PERU (MYROXYLON PEREIRAE KLOTZSCH)</t>
  </si>
  <si>
    <t xml:space="preserve"> &amp;diams; BALSAM PERU&lt;br /&gt;&amp;diams; BALSAM OF PERU&lt;br /&gt;&amp;diams; MYROXYLON PEREIRAE OLEORESIN&lt;br /&gt;&amp;diams; PERUVIAN BALSAM&lt;br /&gt;&amp;diams; BALSAMS, PERU&lt;br /&gt;&amp;diams; MYROXYLON BALSAMUM VAR. PEREIRAE</t>
  </si>
  <si>
    <t xml:space="preserve"> 977136-92-7</t>
  </si>
  <si>
    <t xml:space="preserve"> BALSAM, PERU, OIL (MYROXYLON PEREIRAE KLOTZSCH)</t>
  </si>
  <si>
    <t xml:space="preserve"> &amp;diams; BALSAM PERU OIL&lt;br /&gt;&amp;diams; MYROXYLON PEREIRAE OIL&lt;br /&gt;&amp;diams; PERUVIAN BALSAM OIL</t>
  </si>
  <si>
    <t xml:space="preserve"> 977050-14-8</t>
  </si>
  <si>
    <t xml:space="preserve"> BASIL (OCIMUM BASILICUM L.)</t>
  </si>
  <si>
    <t xml:space="preserve"> &amp;diams; BASIL, SWEET&lt;br /&gt;&amp;diams; BASIL&lt;br /&gt;&amp;diams; SWEET BASIL&lt;br /&gt;&amp;diams; OCIMUM BASILICUM&lt;br /&gt;&amp;diams; BASILIC (OCIMUM BASILICUM)</t>
  </si>
  <si>
    <t xml:space="preserve"> 977051-55-0</t>
  </si>
  <si>
    <t xml:space="preserve"> BASIL BUSH (OCIMUM MINIMUM L.)</t>
  </si>
  <si>
    <t xml:space="preserve"> &amp;diams; BASIL, BUSH&lt;br /&gt;&amp;diams; OCIMUM MINIMUM</t>
  </si>
  <si>
    <t xml:space="preserve"> 84775-71-3</t>
  </si>
  <si>
    <t xml:space="preserve"> BASIL, EXTRACT (OCIMUM BASILICUM L.)</t>
  </si>
  <si>
    <t xml:space="preserve"> &amp;diams; BASIL EXTRACT&lt;br /&gt;&amp;diams; OCIMUM BASILICUM, EXT.&lt;br /&gt;&amp;diams; OCIMUM BASILICUM EXTRACT</t>
  </si>
  <si>
    <t xml:space="preserve"> 8015-73-4</t>
  </si>
  <si>
    <t xml:space="preserve"> BASIL, OIL (OCIMUM BASILICUM L.)</t>
  </si>
  <si>
    <t xml:space="preserve"> &amp;diams; BASIL OIL&lt;br /&gt;&amp;diams; OILS, BASIL&lt;br /&gt;&amp;diams; OCIMUM BASILICUM OIL</t>
  </si>
  <si>
    <t xml:space="preserve"> EMULSIFIER OR EMULSIFIER SALT,&lt;br /&gt; FLAVORING AGENT OR ADJUVANT</t>
  </si>
  <si>
    <t xml:space="preserve"> 977017-82-5</t>
  </si>
  <si>
    <t xml:space="preserve"> BASIL, OLEORESIN (OCIMUM BASILICUM L.)</t>
  </si>
  <si>
    <t xml:space="preserve"> &amp;diams; BASIL OLEORESIN, SWEET&lt;br /&gt;&amp;diams; BASIL OLEORESIN&lt;br /&gt;&amp;diams; OCIMUM BASILICUM OLEORESIN</t>
  </si>
  <si>
    <t xml:space="preserve"> 977050-15-9</t>
  </si>
  <si>
    <t xml:space="preserve"> BAY (LAURUS NOBILIS L.)</t>
  </si>
  <si>
    <t xml:space="preserve"> &amp;diams; BAY&lt;br /&gt;&amp;diams; BAY LAUREL LEAF&lt;br /&gt;&amp;diams; BAY LEAF&lt;br /&gt;&amp;diams; LAUREL&lt;br /&gt;&amp;diams; LAUREL LEAF&lt;br /&gt;&amp;diams; LAURUS NOBILIS&lt;br /&gt;&amp;diams; SWEET BAY&lt;br /&gt;&amp;diams; LAURIER (LAURUS NOBILIS)&lt;br /&gt;&amp;diams; BAY, SWEET&lt;br /&gt;&amp;diams; GRECIAN LAUREL&lt;br /&gt;&amp;diams; LAUREL, GRECIAN</t>
  </si>
  <si>
    <t xml:space="preserve"> 101.22 ,  139.110 ,  139.150</t>
  </si>
  <si>
    <t xml:space="preserve"> 84603-73-6</t>
  </si>
  <si>
    <t xml:space="preserve"> BAY LEAVES, SWEET, EXTRACT (LAURUS NOBILIS L.)</t>
  </si>
  <si>
    <t xml:space="preserve"> &amp;diams; BAY EXTRACT, SWEET&lt;br /&gt;&amp;diams; BAY LEAF EXTRACT, SWEET&lt;br /&gt;&amp;diams; SWEET BAY EXTRACT&lt;br /&gt;&amp;diams; LAUREL LEAF EXTRACT&lt;br /&gt;&amp;diams; LAURUS NOBILIS LEAF EXTRACT&lt;br /&gt;&amp;diams; LAURUS NOBILIS, EXT.</t>
  </si>
  <si>
    <t xml:space="preserve"> 8007-48-5</t>
  </si>
  <si>
    <t xml:space="preserve"> BAY LEAVES, SWEET, OIL (LAURUS NOBILIS L.)</t>
  </si>
  <si>
    <t xml:space="preserve"> &amp;diams; BAY OIL, SWEET&lt;br /&gt;&amp;diams; SWEET BAY OIL&lt;br /&gt;&amp;diams; LAURUS NOBILIS OIL&lt;br /&gt;&amp;diams; OILS, SWEET BAY</t>
  </si>
  <si>
    <t xml:space="preserve"> 977090-77-9</t>
  </si>
  <si>
    <t xml:space="preserve"> BAY LEAVES, WEST INDIAN, EXTRACT (PIMENTA ACRIS KOSTEL)</t>
  </si>
  <si>
    <t xml:space="preserve"> &amp;diams; MYRCIA EXTRACT&lt;br /&gt;&amp;diams; BAY LEAF EXTRACT, WEST INDIAN&lt;br /&gt;&amp;diams; PIMENTA ACRIS EXTRACT</t>
  </si>
  <si>
    <t xml:space="preserve"> 8006-78-8</t>
  </si>
  <si>
    <t xml:space="preserve"> BAY LEAVES, WEST INDIAN, OIL (PIMENTA RACEMOSA (MILL.) J.W. MOORE)</t>
  </si>
  <si>
    <t xml:space="preserve"> &amp;diams; MYRCIA OIL&lt;br /&gt;&amp;diams; BAY LEAF OIL, WEST INDIAN&lt;br /&gt;&amp;diams; BAY OIL, WEST INDIAN&lt;br /&gt;&amp;diams; PIMENTA ACRIS OIL&lt;br /&gt;&amp;diams; PIMENTA RACEMOSA OIL&lt;br /&gt;&amp;diams; OILS, BAY</t>
  </si>
  <si>
    <t xml:space="preserve"> 977090-78-0</t>
  </si>
  <si>
    <t xml:space="preserve"> BAY LEAVES, WEST INDIAN, OLEORESIN (PIMENTA ACRIS KOSTEL)</t>
  </si>
  <si>
    <t xml:space="preserve"> &amp;diams; MYRCIA OLEORESIN&lt;br /&gt;&amp;diams; BAY LEAF OLEORESIN, WEST INDIAN&lt;br /&gt;&amp;diams; PIMENTA ACRIS OLEORESIN</t>
  </si>
  <si>
    <t xml:space="preserve"> 8021-39-4</t>
  </si>
  <si>
    <t xml:space="preserve"> BEECHWOOD, CREOSOTE (FAGUS SPP.)</t>
  </si>
  <si>
    <t xml:space="preserve"> &amp;diams; CREOSOTE&lt;br /&gt;&amp;diams; CREOSOTE, BEECHWOOD&lt;br /&gt;&amp;diams; BEECHWOOD CREOSOTE&lt;br /&gt;&amp;diams; WOOD CREOSOTE&lt;br /&gt;&amp;diams; CREOSOTE, WOOD</t>
  </si>
  <si>
    <t xml:space="preserve"> 8012-89-3</t>
  </si>
  <si>
    <t xml:space="preserve"> BEESWAX</t>
  </si>
  <si>
    <t xml:space="preserve"> &amp;diams; WAX, YELLOW&lt;br /&gt;&amp;diams; BEESWAX&lt;br /&gt;&amp;diams; BEE CAPPINGS&lt;br /&gt;&amp;diams; YELLOW BEESWAX&lt;br /&gt;&amp;diams; YELLOW WAX</t>
  </si>
  <si>
    <t xml:space="preserve"> FLAVORING AGENT OR ADJUVANT,&lt;br /&gt; LUBRICANT OR RELEASE AGENT,&lt;br /&gt; SURFACE-FINISHING AGENT</t>
  </si>
  <si>
    <t xml:space="preserve"> 8006-40-4</t>
  </si>
  <si>
    <t xml:space="preserve"> BEESWAX, BLEACHED</t>
  </si>
  <si>
    <t xml:space="preserve"> &amp;diams; WAX, WHITE&lt;br /&gt;&amp;diams; BEESWAX, BLEACHED&lt;br /&gt;&amp;diams; BLEACHED YELLOW WAX&lt;br /&gt;&amp;diams; CIRE D'ABEILLE ABSOLUTE&lt;br /&gt;&amp;diams; WHITE BEESWAX&lt;br /&gt;&amp;diams; WHITE WAX</t>
  </si>
  <si>
    <t xml:space="preserve"> 1302-78-9</t>
  </si>
  <si>
    <t xml:space="preserve"> BENTONITE</t>
  </si>
  <si>
    <t xml:space="preserve"> &amp;diams; BENTONITE</t>
  </si>
  <si>
    <t xml:space="preserve"> DOUGH STRENGTHENER,&lt;br /&gt; FLOUR TREATING AGENT,&lt;br /&gt; OXIDIZING OR REDUCING AGENT,&lt;br /&gt; PROCESSING AID,&lt;br /&gt; STABILIZER OR THICKENER</t>
  </si>
  <si>
    <t xml:space="preserve"> 100-52-7</t>
  </si>
  <si>
    <t xml:space="preserve"> BENZALDEHYDE</t>
  </si>
  <si>
    <t xml:space="preserve"> &amp;diams; BENZALDEHYDE&lt;br /&gt;&amp;diams; BENZENE CARBOXALDEHYDE&lt;br /&gt;&amp;diams; BENZENECARBONAL&lt;br /&gt;&amp;diams; BENZENEMETHYLAL&lt;br /&gt;&amp;diams; BENZOIC ALDEHYDE&lt;br /&gt;&amp;diams; BITTER ALMOND OIL, SYNTHETIC</t>
  </si>
  <si>
    <t xml:space="preserve"> 1125-88-8</t>
  </si>
  <si>
    <t xml:space="preserve"> BENZALDEHYDE DIMETHYL ACETAL</t>
  </si>
  <si>
    <t xml:space="preserve"> &amp;diams; BENZALDEHYDE DIMETHYL ACETAL&lt;br /&gt;&amp;diams; ALPHA,ALPHA-DIMETHOXYTOLUENE&lt;br /&gt;&amp;diams; BENZENE, (DIMETHOXYMETHYL)-&lt;br /&gt;&amp;diams; (DIMETHOXYMETHYL)BENZENE&lt;br /&gt;&amp;diams; BENZALDEHYDE, DIMETHYL ACETAL&lt;br /&gt;&amp;diams; DIMETHOXYMETHYLBENZENE&lt;br /&gt;&amp;diams; DIMETHOXYPHENYLMETHANE</t>
  </si>
  <si>
    <t xml:space="preserve"> 1319-88-6</t>
  </si>
  <si>
    <t xml:space="preserve"> BENZALDEHYDE GLYCERYL ACETAL</t>
  </si>
  <si>
    <t xml:space="preserve"> &amp;diams; BENZALDEHYDE GLYCERYL ACETAL&lt;br /&gt;&amp;diams; BENZAL GLYCERAL ACETAL&lt;br /&gt;&amp;diams; BENZALDEHYDE, CYCLIC ACETAL WITH GLYCEROL&lt;br /&gt;&amp;diams; BENZALDEHYDE, CYCLIC ACETAL WITH 1,2,3-PROPANETRIOL&lt;br /&gt;&amp;diams; BENZALGLYCERIN&lt;br /&gt;&amp;diams; BENZALDEHYDE 1,2,3-PROPANETRIOL CYCLIC ACETAL&lt;br /&gt;&amp;diams; BENZALDEHYDE GLYCEROL CYCLIC ACETAL&lt;br /&gt;&amp;diams; BENZYLIDENEGLYCEROL</t>
  </si>
  <si>
    <t xml:space="preserve"> 2568-25-4</t>
  </si>
  <si>
    <t xml:space="preserve"> BENZALDEHYDE PROPYLENE GLYCOL ACETAL</t>
  </si>
  <si>
    <t xml:space="preserve"> &amp;diams; BENZALDEHYDE PROPYLENE GLYCOL ACETAL&lt;br /&gt;&amp;diams; 1,3-DIOXOLANE, 4-METHYL-2-PHENYL-&lt;br /&gt;&amp;diams; 4-METHYL-2-PHENYL-1,3-DIOXOLANE&lt;br /&gt;&amp;diams; 4-METHYL-2-PHENYL-M-DIOXOLANE</t>
  </si>
  <si>
    <t xml:space="preserve"> 71-43-2</t>
  </si>
  <si>
    <t xml:space="preserve"> BENZENE</t>
  </si>
  <si>
    <t xml:space="preserve"> &amp;diams; BENZENE&lt;br /&gt;&amp;diams; COAL NAPHTHA&lt;br /&gt;&amp;diams; BENZOL&lt;br /&gt;&amp;diams; BENZENE, UNREFINED&lt;br /&gt;&amp;diams; BENZENE, CRUDE&lt;br /&gt;&amp;diams; CYCLOHEXATRIENE&lt;br /&gt;&amp;diams; InChI=1/C6H6/c1-2-4-6-5-3-1/h1-6H&lt;br /&gt;&amp;diams; InChIKey: UHOVQNZJYSORNB-UHFFFAOYSA-N</t>
  </si>
  <si>
    <t xml:space="preserve"> 108-98-5</t>
  </si>
  <si>
    <t xml:space="preserve"> BENZENETHIOL</t>
  </si>
  <si>
    <t xml:space="preserve"> &amp;diams; BENZENETHIOL&lt;br /&gt;&amp;diams; THIOPHENOL&lt;br /&gt;&amp;diams; MERCAPTOBENZENE</t>
  </si>
  <si>
    <t xml:space="preserve"> 4265-16-1</t>
  </si>
  <si>
    <t xml:space="preserve"> 2-BENZOFURANCARBOXALDEHYDE</t>
  </si>
  <si>
    <t xml:space="preserve"> &amp;diams; 2-BENZOFURANCARBOXALDEHYDE&lt;br /&gt;&amp;diams; BENZOFURAN-2-ALDEHYDE&lt;br /&gt;&amp;diams; BENZO(B)-2-FURFURAL&lt;br /&gt;&amp;diams; COUMARILALDEHYDE&lt;br /&gt;&amp;diams; 2-FORMYLBENZOFURAN&lt;br /&gt;&amp;diams; 2-BENZOFURANCARBALDEHYDE</t>
  </si>
  <si>
    <t xml:space="preserve"> 119-53-9</t>
  </si>
  <si>
    <t xml:space="preserve"> BENZOIN</t>
  </si>
  <si>
    <t xml:space="preserve"> &amp;diams; BENZOIN&lt;br /&gt;&amp;diams; ALPHA-HYDROXY-ALPHA-PHENYLACETOPHENONE&lt;br /&gt;&amp;diams; 2-HYDROXY-2-PHENYLACETOPHENONE&lt;br /&gt;&amp;diams; ETHANONE, 2-HYDROXY-1,2-DIPHENYL-&lt;br /&gt;&amp;diams; 2-HYDROXY-1,2-DIPHENYLETHANONE&lt;br /&gt;&amp;diams; ALPHA-HYDROXYBENZYL PHENYL KETONE</t>
  </si>
  <si>
    <t xml:space="preserve"> 9000-05-9</t>
  </si>
  <si>
    <t xml:space="preserve"> BENZOIN, RESIN (STYRAX SPP.)</t>
  </si>
  <si>
    <t xml:space="preserve"> &amp;diams; BENZOIN USP&lt;br /&gt;&amp;diams; GUM BENZOIN&lt;br /&gt;&amp;diams; BENZOIN RESIN&lt;br /&gt;&amp;diams; GUM BENJAMIN&lt;br /&gt;&amp;diams; benzoinum</t>
  </si>
  <si>
    <t xml:space="preserve"> 95-16-9</t>
  </si>
  <si>
    <t xml:space="preserve"> BENZOTHIAZOLE</t>
  </si>
  <si>
    <t xml:space="preserve"> &amp;diams; BENZOTHIAZOLE&lt;br /&gt;&amp;diams; 1-THIA-3-AZAINDENE&lt;br /&gt;&amp;diams; BENZOSULFONAZOLE&lt;br /&gt;&amp;diams; InChI=1/C7H5NS/c1-2-4-7-6(3-1)8-5-9-7/h1-5H&lt;br /&gt;&amp;diams; InChIKey: IOJUPLGTWVMSFF-UHFFFAOYSA-N</t>
  </si>
  <si>
    <t xml:space="preserve"> 579-93-1</t>
  </si>
  <si>
    <t xml:space="preserve"> N-BENZOYLANTHRANILIC ACID</t>
  </si>
  <si>
    <t xml:space="preserve"> &amp;diams; N-BENZOYLANTHRANILIC ACID&lt;br /&gt;&amp;diams; benzoic acid, 2-(benzoylamino)-&lt;br /&gt;&amp;diams; anthranilic acid, N-benzoyl-&lt;br /&gt;&amp;diams; 2-(benzoylamino)benzoic acid&lt;br /&gt;&amp;diams; N-(2-carboxyphenyl)benzamide</t>
  </si>
  <si>
    <t xml:space="preserve"> 94-36-0</t>
  </si>
  <si>
    <t xml:space="preserve"> BENZOYL PEROXIDE</t>
  </si>
  <si>
    <t xml:space="preserve"> &amp;diams; BENZOYL PEROXIDE&lt;br /&gt;&amp;diams; DIBENZOYL PEROXIDE&lt;br /&gt;&amp;diams; BENZOYL SUPEROXIDE&lt;br /&gt;&amp;diams; PEROXIDE, DIBENZOYL&lt;br /&gt;&amp;diams; BENZOPEROXIDE</t>
  </si>
  <si>
    <t xml:space="preserve"> COLOR OR COLORING ADJUNCT,&lt;br /&gt; FLOUR TREATING AGENT</t>
  </si>
  <si>
    <t xml:space="preserve"> 140-11-4</t>
  </si>
  <si>
    <t xml:space="preserve"> BENZYL ACETATE</t>
  </si>
  <si>
    <t xml:space="preserve"> &amp;diams; BENZYL ACETATE&lt;br /&gt;&amp;diams; PHENYLMETHYL ACETATE&lt;br /&gt;&amp;diams; BENZYL ETHANOATE&lt;br /&gt;&amp;diams; ACETIC ACID, PHENYLMETHYL ESTER&lt;br /&gt;&amp;diams; ACETIC ACID, BENZYL ESTER&lt;br /&gt;&amp;diams; PHENYLMETHYL ETHANOATE&lt;br /&gt;&amp;diams; (acetoxymethyl)benzene</t>
  </si>
  <si>
    <t xml:space="preserve"> 5396-89-4</t>
  </si>
  <si>
    <t xml:space="preserve"> BENZYL ACETOACETATE</t>
  </si>
  <si>
    <t xml:space="preserve"> &amp;diams; BENZYL ACETOACETATE&lt;br /&gt;&amp;diams; BENZYL ACETYLACETATE&lt;br /&gt;&amp;diams; BENZYL BETA-KETOBUTYRATE&lt;br /&gt;&amp;diams; BENZYL 3-OXOBUTANOATE&lt;br /&gt;&amp;diams; BUTANOIC ACID, 3-OXO-, PHENYLMETHYL ESTER&lt;br /&gt;&amp;diams; PHENYLMETHYL 3-OXOBUTANOATE&lt;br /&gt;&amp;diams; ACETOACETIC ACID, BENZYL ESTER</t>
  </si>
  <si>
    <t xml:space="preserve"> 100-51-6</t>
  </si>
  <si>
    <t xml:space="preserve"> BENZYL ALCOHOL</t>
  </si>
  <si>
    <t xml:space="preserve"> &amp;diams; BENZYL ALCOHOL&lt;br /&gt;&amp;diams; ALPHA-HYDROXYTOLUENE&lt;br /&gt;&amp;diams; PHENYLCARBINOL&lt;br /&gt;&amp;diams; PHENYLMETHANOL&lt;br /&gt;&amp;diams; PHENYLMETHYL ALCOHOL&lt;br /&gt;&amp;diams; BENZENEMETHANOL&lt;br /&gt;&amp;diams; BENZENECARBINOL&lt;br /&gt;&amp;diams; (hydroxymethyl)benzene&lt;br /&gt;&amp;diams; toluenol, alpha-</t>
  </si>
  <si>
    <t xml:space="preserve"> 120-51-4</t>
  </si>
  <si>
    <t xml:space="preserve"> BENZYL BENZOATE</t>
  </si>
  <si>
    <t xml:space="preserve"> &amp;diams; BENZYL BENZOATE&lt;br /&gt;&amp;diams; BENZYL BENZENECARBOXYLATE&lt;br /&gt;&amp;diams; BENZYL PHENYLFORMATE&lt;br /&gt;&amp;diams; BENZOIC ACID, PHENYLMETHYL ESTER&lt;br /&gt;&amp;diams; PHENYLMETHYL BENZOATE&lt;br /&gt;&amp;diams; BENZOIC ACID, BENZYL ESTER</t>
  </si>
  <si>
    <t xml:space="preserve"> 588-67-0</t>
  </si>
  <si>
    <t xml:space="preserve"> BENZYL BUTYL ETHER</t>
  </si>
  <si>
    <t xml:space="preserve"> &amp;diams; BENZYL BUTYL ETHER&lt;br /&gt;&amp;diams; BUTYL BENZYL ETHER&lt;br /&gt;&amp;diams; BENZENE, (BUTOXYMETHYL)-&lt;br /&gt;&amp;diams; (BUTOXYMETHYL)BENZENE&lt;br /&gt;&amp;diams; ETHER, BENZYL BUTYL</t>
  </si>
  <si>
    <t xml:space="preserve"> 103-37-7</t>
  </si>
  <si>
    <t xml:space="preserve"> BENZYL BUTYRATE</t>
  </si>
  <si>
    <t xml:space="preserve"> &amp;diams; BENZYL BUTYRATE&lt;br /&gt;&amp;diams; PHENYLMETHYL BUTYRATE&lt;br /&gt;&amp;diams; BENZYL BUTANOATE&lt;br /&gt;&amp;diams; BUTANOIC ACID, PHENYLMETHYL ESTER&lt;br /&gt;&amp;diams; BUTYRIC ACID, BENZYL ESTER&lt;br /&gt;&amp;diams; PHENYLMETHYL BUTANOATE</t>
  </si>
  <si>
    <t xml:space="preserve"> 103-41-3</t>
  </si>
  <si>
    <t xml:space="preserve"> BENZYL CINNAMATE</t>
  </si>
  <si>
    <t xml:space="preserve"> &amp;diams; BENZYL CINNAMATE&lt;br /&gt;&amp;diams; BENZYL GAMMA-PHENYLACRYLATE&lt;br /&gt;&amp;diams; BENZYL 3-PHENYLPROPENOATE&lt;br /&gt;&amp;diams; CINNAMEIN&lt;br /&gt;&amp;diams; PHENYLMETHYL 3-PHENYL-2-PROPENOATE&lt;br /&gt;&amp;diams; 2-PROPENOIC ACID, 3-PHENYL-, PHENYLMETHYL ESTER&lt;br /&gt;&amp;diams; CINNAMIC ACID, BENZYL ESTER</t>
  </si>
  <si>
    <t xml:space="preserve"> 7492-69-5</t>
  </si>
  <si>
    <t xml:space="preserve"> BENZYL 2,3-DIMETHYLCROTONATE</t>
  </si>
  <si>
    <t xml:space="preserve"> &amp;diams; BENZYL 2,3-DIMETHYLCROTONATE&lt;br /&gt;&amp;diams; BENZYL METHYLTIGLATE&lt;br /&gt;&amp;diams; BENZYL 2,3-DIMETHYL-2-BUTENOATE&lt;br /&gt;&amp;diams; CROTONIC ACID, 2,3-DIMETHYL-, BENZYL ESTER&lt;br /&gt;&amp;diams; PHENYLMETHYL 2,3-DIMETHYL-2-BUTENOATE&lt;br /&gt;&amp;diams; 2-BUTENOIC ACID, 2,3-DIMETHYL-, PHENYLMETHYL ESTER</t>
  </si>
  <si>
    <t xml:space="preserve"> 150-60-7</t>
  </si>
  <si>
    <t xml:space="preserve"> BENZYL DISULFIDE</t>
  </si>
  <si>
    <t xml:space="preserve"> &amp;diams; BENZYL DISULFIDE&lt;br /&gt;&amp;diams; DIBENZYL DISULFIDE&lt;br /&gt;&amp;diams; ALPHA-(BENZYLDITHIO)TOLUENE&lt;br /&gt;&amp;diams; BDS&lt;br /&gt;&amp;diams; DI(PHENYLMETHYL) DISULFIDE&lt;br /&gt;&amp;diams; 1,4-DIPHENYL-2,3-DITHIOBUTANE&lt;br /&gt;&amp;diams; DISULFIDE, BIS(PHENYLMETHYL)&lt;br /&gt;&amp;diams; BIS(PHENYLMETHYL) DISULFIDE&lt;br /&gt;&amp;diams; BENZYL BISULFIDE</t>
  </si>
  <si>
    <t xml:space="preserve"> 539-30-0</t>
  </si>
  <si>
    <t xml:space="preserve"> BENZYL ETHYL ETHER</t>
  </si>
  <si>
    <t xml:space="preserve"> &amp;diams; BENZYL ETHYL ETHER&lt;br /&gt;&amp;diams; ETHYL BENZYL ETHER&lt;br /&gt;&amp;diams; BENZENE, (ETHOXYMETHYL)-&lt;br /&gt;&amp;diams; (ETHOXYMETHYL)BENZENE&lt;br /&gt;&amp;diams; ETHER, BENZYL ETHYL&lt;br /&gt;&amp;diams; benzyl ethyl oxide</t>
  </si>
  <si>
    <t xml:space="preserve"> 104-57-4</t>
  </si>
  <si>
    <t xml:space="preserve"> BENZYL FORMATE</t>
  </si>
  <si>
    <t xml:space="preserve"> &amp;diams; BENZYL FORMATE&lt;br /&gt;&amp;diams; PHENYLMETHYL FORMATE&lt;br /&gt;&amp;diams; BENZYL METHANOATE&lt;br /&gt;&amp;diams; FORMIC ACID, PHENYLMETHYL ESTER&lt;br /&gt;&amp;diams; FORMIC ACID, BENZYL ESTER&lt;br /&gt;&amp;diams; benzyl alcohol formate</t>
  </si>
  <si>
    <t xml:space="preserve"> 7492-37-7</t>
  </si>
  <si>
    <t xml:space="preserve"> 3-BENZYL-4-HEPTANONE</t>
  </si>
  <si>
    <t xml:space="preserve"> &amp;diams; 3-BENZYL-4-HEPTANONE&lt;br /&gt;&amp;diams; BENZYL DIPROPYL KETONE&lt;br /&gt;&amp;diams; MORELLONE&lt;br /&gt;&amp;diams; 4-HEPTANONE, 3-(PHENYLMETHYL)-&lt;br /&gt;&amp;diams; 3-(PHENYLMETHYL)-4-HEPTANONE&lt;br /&gt;&amp;diams; 4-HEPTANONE, 3-BENZYL-&lt;br /&gt;&amp;diams; 1-BENZYLDIPROPYL KETONE</t>
  </si>
  <si>
    <t xml:space="preserve"> 6938-45-0</t>
  </si>
  <si>
    <t xml:space="preserve"> BENZYL HEXANOATE</t>
  </si>
  <si>
    <t xml:space="preserve"> &amp;diams; BENZYL HEXANOATE&lt;br /&gt;&amp;diams; hexanoic acid, phenylmethyl ester&lt;br /&gt;&amp;diams; hexanoic acid, benzyl ester&lt;br /&gt;&amp;diams; benzyl caproate</t>
  </si>
  <si>
    <t xml:space="preserve"> 103-28-6</t>
  </si>
  <si>
    <t xml:space="preserve"> BENZYL ISOBUTYRATE</t>
  </si>
  <si>
    <t xml:space="preserve"> &amp;diams; BENZYL ISOBUTYRATE&lt;br /&gt;&amp;diams; BENZYL 2-METHYLPROPANOATE&lt;br /&gt;&amp;diams; PROPANOIC ACID, 2-METHYL-, PHENYLMETHYL ESTER&lt;br /&gt;&amp;diams; PHENYLMETHYL 2-METHYLPROPANOATE&lt;br /&gt;&amp;diams; ISOBUTYRIC ACID, BENZYL ESTER&lt;br /&gt;&amp;diams; BENZYL ISOBUTANOATE&lt;br /&gt;&amp;diams; BENZYL 2-METHYLPROPIONATE</t>
  </si>
  <si>
    <t xml:space="preserve"> 622-78-6</t>
  </si>
  <si>
    <t xml:space="preserve"> BENZYL ISOTHIOCYANATE</t>
  </si>
  <si>
    <t xml:space="preserve"> &amp;diams; BENZYL ISOTHIOCYANATE&lt;br /&gt;&amp;diams; BENZYL MUSTARD OIL&lt;br /&gt;&amp;diams; BENZENE, (ISOTHIOCYANATOMETHYL)-&lt;br /&gt;&amp;diams; (ISOTHIOCYANATOMETHYL)BENZENE&lt;br /&gt;&amp;diams; ISOTHIOCYANIC ACID, BENZYL ESTER&lt;br /&gt;&amp;diams; PHENYLMETHYL ISOTHIOCYANATE&lt;br /&gt;&amp;diams; InChI=1S/C8H7NS/c10-7-9-6-8-4-2-1-3-5-8/h1-5H,6H2&lt;br /&gt;&amp;diams; InChIKey: MDKCFLQDBWCQCV-UHFFFAOYSA-N</t>
  </si>
  <si>
    <t xml:space="preserve"> 103-38-8</t>
  </si>
  <si>
    <t xml:space="preserve"> BENZYL ISOVALERATE</t>
  </si>
  <si>
    <t xml:space="preserve"> &amp;diams; BENZYL ISOVALERATE&lt;br /&gt;&amp;diams; BENZYL ISOPENTANOATE&lt;br /&gt;&amp;diams; BENZYL ISOVALERIANATE&lt;br /&gt;&amp;diams; BENZYL 3-METHYLBUTANOATE&lt;br /&gt;&amp;diams; BENZYL 3-METHYLBUTYRATE&lt;br /&gt;&amp;diams; BUTANOIC ACID, 3-METHYL-, PHENYLMETHYL ESTER&lt;br /&gt;&amp;diams; PHENYLMETHYL 3-METHYLBUTANOATE&lt;br /&gt;&amp;diams; ISOVALERIC ACID, BENZYL ESTER</t>
  </si>
  <si>
    <t xml:space="preserve"> 6939-75-9</t>
  </si>
  <si>
    <t xml:space="preserve"> BENZYL LEVULINATE</t>
  </si>
  <si>
    <t xml:space="preserve"> &amp;diams; BENZYL LEVULINATE&lt;br /&gt;&amp;diams; pentanoic acid, 4-oxo-, phenylmethyl ester&lt;br /&gt;&amp;diams; phenylmethyl 4-oxopentanoate&lt;br /&gt;&amp;diams; benzyl 4-oxovalerate</t>
  </si>
  <si>
    <t xml:space="preserve"> 100-53-8</t>
  </si>
  <si>
    <t xml:space="preserve"> BENZYL MERCAPTAN</t>
  </si>
  <si>
    <t xml:space="preserve"> &amp;diams; THIOBENZYL ALCOHOL&lt;br /&gt;&amp;diams; ALPHA-TOLUENETHIOL&lt;br /&gt;&amp;diams; BENZENEMETHANETHIOL&lt;br /&gt;&amp;diams; BENZYL HYDROSULFIDE&lt;br /&gt;&amp;diams; BENZYLTHIOL&lt;br /&gt;&amp;diams; ALPHA-MERCAPTOTOLUENE&lt;br /&gt;&amp;diams; PHENYLMETHANETHIOL&lt;br /&gt;&amp;diams; BENZYL MERCAPTAN&lt;br /&gt;&amp;diams; PHENYLMETHYL MERCAPTAN</t>
  </si>
  <si>
    <t xml:space="preserve"> 7492-39-9</t>
  </si>
  <si>
    <t xml:space="preserve"> BENZYL METHOXYETHYL ACETAL</t>
  </si>
  <si>
    <t xml:space="preserve"> &amp;diams; BENZYL 2-METHOXYETHYL ACETAL&lt;br /&gt;&amp;diams; ACETALDEHYDE BENZYL BETA-METHOXYETHYL ACETAL&lt;br /&gt;&amp;diams; BENZYL METHOXYETHYL ACETAL&lt;br /&gt;&amp;diams; BENZENE, ((1-(2-METHOXYETHOXY)ETHOXY)METHYL)-&lt;br /&gt;&amp;diams; ((1-(2-METHOXYETHOXY)ETHOXY)METHYL)BENZENE&lt;br /&gt;&amp;diams; ACETALDEHYDE, BENZYL 2-METHOXYETHYL ACETAL&lt;br /&gt;&amp;diams; ACETALDEHYDE BENZYL 2-METHOXYETHYL ACETAL&lt;br /&gt;&amp;diams; 1-BENZOXY-1-(2-METHOXYETHOXY)ETHANE&lt;br /&gt;&amp;diams; 1-BENZYLOXY-1-(BETA-METHOXY)ETHOXYETHANE</t>
  </si>
  <si>
    <t xml:space="preserve"> 37526-88-8</t>
  </si>
  <si>
    <t xml:space="preserve"> BENZYL TRANS-2-METHYL-2-BUTENOATE</t>
  </si>
  <si>
    <t xml:space="preserve"> &amp;diams; BENZYL TIGLATE&lt;br /&gt;&amp;diams; BENZYL TRANS-2-METHYL-2-BUTENOATE&lt;br /&gt;&amp;diams; 2-BUTENOIC ACID, 2-METHYL-, PHENYLMETHYL ESTER, (E)-&lt;br /&gt;&amp;diams; PHENYLMETHYL 2-METHYL-2-BUTENOATE, (E)-&lt;br /&gt;&amp;diams; BENZYL TRANS-2,3-DIMETHYLACRYLATE&lt;br /&gt;&amp;diams; BENZYL TRANS-2-METHYLCROTONATE</t>
  </si>
  <si>
    <t xml:space="preserve"> 766-92-7</t>
  </si>
  <si>
    <t xml:space="preserve"> BENZYL METHYL SULFIDE</t>
  </si>
  <si>
    <t xml:space="preserve"> &amp;diams; BENZYL METHYL SULFIDE&lt;br /&gt;&amp;diams; ALPHA-(METHYLTHIO)TOLUENE&lt;br /&gt;&amp;diams; BENZENE, ((METHYLTHIO)METHYL)-&lt;br /&gt;&amp;diams; ((METHYLTHIO)METHYL)BENZENE&lt;br /&gt;&amp;diams; METHYL BENZYL SULFIDE&lt;br /&gt;&amp;diams; METHYLTHIOMETHYLBENZENE&lt;br /&gt;&amp;diams; SULFIDE, BENZYL METHYL&lt;br /&gt;&amp;diams; 1-PHENYL-2-THIAPROPANE</t>
  </si>
  <si>
    <t xml:space="preserve"> 6471-66-5</t>
  </si>
  <si>
    <t xml:space="preserve"> BENZYL NONANOATE</t>
  </si>
  <si>
    <t xml:space="preserve"> &amp;diams; BENZYL NONANOATE&lt;br /&gt;&amp;diams; nonanoic acid, phenylmethyl ester&lt;br /&gt;&amp;diams; phenylmethyl nonanoate&lt;br /&gt;&amp;diams; nonanoic acid, benzyl ester</t>
  </si>
  <si>
    <t xml:space="preserve"> 102-16-9</t>
  </si>
  <si>
    <t xml:space="preserve"> BENZYL PHENYLACETATE</t>
  </si>
  <si>
    <t xml:space="preserve"> &amp;diams; BENZYL PHENYLACETATE&lt;br /&gt;&amp;diams; BENZYL ALPHA-TOLUATE&lt;br /&gt;&amp;diams; BENZENEACETIC ACID, PHENYLMETHYL ESTER&lt;br /&gt;&amp;diams; PHENYLMETHYL BENZENEACETATE&lt;br /&gt;&amp;diams; ACETIC ACID, PHENYL-, BENZYL ESTER&lt;br /&gt;&amp;diams; BENZYL BENZENEACETATE</t>
  </si>
  <si>
    <t xml:space="preserve"> 122-63-4</t>
  </si>
  <si>
    <t xml:space="preserve"> BENZYL PROPIONATE</t>
  </si>
  <si>
    <t xml:space="preserve"> &amp;diams; BENZYL PROPIONATE&lt;br /&gt;&amp;diams; PHENYLMETHYL PROPIONATE&lt;br /&gt;&amp;diams; BENZYL PROPANOATE&lt;br /&gt;&amp;diams; PROPANOIC ACID, PHENYLMETHYL ESTER&lt;br /&gt;&amp;diams; PHENYLMETHYL PROPANOATE&lt;br /&gt;&amp;diams; PROPIONIC ACID, BENZYL ESTER</t>
  </si>
  <si>
    <t xml:space="preserve"> 118-58-1</t>
  </si>
  <si>
    <t xml:space="preserve"> BENZYL SALICYLATE</t>
  </si>
  <si>
    <t xml:space="preserve"> &amp;diams; BENZYL SALICYLATE&lt;br /&gt;&amp;diams; BENZYL O-HYDROXYBENZOATE&lt;br /&gt;&amp;diams; BENZOIC ACID, 2-HYDROXY-, PHENYLMETHYL ESTER&lt;br /&gt;&amp;diams; PHENYLMETHYL 2-HYDROXYBENZOATE&lt;br /&gt;&amp;diams; SALICYCLIC ACID, BENZYL ESTER</t>
  </si>
  <si>
    <t xml:space="preserve"> 8007-75-8</t>
  </si>
  <si>
    <t xml:space="preserve"> BERGAMOT, OIL (CITRUS AURANTIUM L. SUBSP. BERGAMIA WRIGHT ET ARN.)</t>
  </si>
  <si>
    <t xml:space="preserve"> &amp;diams; BERGAMOT OIL&lt;br /&gt;&amp;diams; BERGAMOT ORANGE OIL&lt;br /&gt;&amp;diams; OILS, BERGAMOT&lt;br /&gt;&amp;diams; CITRUS AURANTIUM BERGAMIA OIL</t>
  </si>
  <si>
    <t xml:space="preserve"> 107-43-7</t>
  </si>
  <si>
    <t xml:space="preserve"> BETAINE</t>
  </si>
  <si>
    <t xml:space="preserve"> &amp;diams; BETAINE&lt;br /&gt;&amp;diams; METHANAMINIUM, 1-CARBOXY-N,N,N-TRIMETHYL-, INNER SALT&lt;br /&gt;&amp;diams; 1-CARBOXY-N,N,N-TRIMETHYLMETHANAMINIUM HYDROXIDE INNER SALT&lt;br /&gt;&amp;diams; (CARBOXYMETHYL)TRIMETHYLAMMONIUM HYDROXIDE INNER SALT&lt;br /&gt;&amp;diams; GLYCINE BETAINE&lt;br /&gt;&amp;diams; GLYCOCOLL BETAINE&lt;br /&gt;&amp;diams; LYCINE&lt;br /&gt;&amp;diams; OXYNEURINE&lt;br /&gt;&amp;diams; TRIMETHYLGLYCINE&lt;br /&gt;&amp;diams; BETAINE, ANHYDROUS&lt;br /&gt;&amp;diams; ammonium compounds, substituted, (carboxymethyl)trimethyl-, hydroxide, inner salt&lt;br /&gt;&amp;diams; (trimethylammonio)acetate&lt;br /&gt;&amp;diams; glycylbetaine&lt;br /&gt;&amp;diams; N,N,N-trimethylglycine&lt;br /&gt;&amp;diams; trimethylglycocoll&lt;br /&gt;&amp;diams; InChI=1S/C5H11NO2/c1-6(2,3)4-5(7)8/h4H2,1-3H3&lt;br /&gt;&amp;diams; InChIKey: KWIUHFFTVRNATP-UHFFFAOYSA-N &lt;br /&gt;&amp;diams;</t>
  </si>
  <si>
    <t xml:space="preserve"> 58-85-5</t>
  </si>
  <si>
    <t xml:space="preserve"> BIOTIN</t>
  </si>
  <si>
    <t xml:space="preserve"> &amp;diams; BIOTIN&lt;br /&gt;&amp;diams; BIOTIN, D-&lt;br /&gt;&amp;diams; COENZYME R&lt;br /&gt;&amp;diams; TETRAHYDRO-2-OXOTHIENO(3,4-D)IMIDAZOLINE-4-VALERIC ACID, CIS-&lt;br /&gt;&amp;diams; VITAMIN H&lt;br /&gt;&amp;diams; BIOTIN, (+)-&lt;br /&gt;&amp;diams; 1H-THIENO(3,4-D)IMIDAZOLE-4-PENTANOIC ACID, HEXAHYDRO-2-OXO-, (3AS-(3AALPHA,4BETA,6AALPHA))-&lt;br /&gt;&amp;diams; HEXAHYDRO-2-OXO-1H-THIENO(3,4-D)IMIDAZOLE-4-PENTANOIC ACID, (3AS-(3AALPHA,4BETA,6AALPHA))-</t>
  </si>
  <si>
    <t xml:space="preserve"> NUTRIENT SUPPLEMENT,&lt;br /&gt; SEQUESTRANT</t>
  </si>
  <si>
    <t xml:space="preserve"> 101.9 ,  107.100</t>
  </si>
  <si>
    <t xml:space="preserve"> 92-52-4</t>
  </si>
  <si>
    <t xml:space="preserve"> BIPHENYL</t>
  </si>
  <si>
    <t xml:space="preserve"> &amp;diams; BIPHENYL&lt;br /&gt;&amp;diams; DIPHENYL&lt;br /&gt;&amp;diams; PHENYLBENZENE&lt;br /&gt;&amp;diams; 1,1'-BIPHENYL&lt;br /&gt;&amp;diams; 1,1'-DIPHENYL&lt;br /&gt;&amp;diams; BIBENZENE</t>
  </si>
  <si>
    <t xml:space="preserve"> 68917-50-0</t>
  </si>
  <si>
    <t xml:space="preserve"> BIRCH, SWEET, OIL (BETULA LENTA L.)</t>
  </si>
  <si>
    <t xml:space="preserve"> &amp;diams; SWEET BIRCH OIL&lt;br /&gt;&amp;diams; BIRCH OIL, SWEET&lt;br /&gt;&amp;diams; OILS, SWEET BIRCH&lt;br /&gt;&amp;diams; BETULA LENTA OIL&lt;br /&gt;&amp;diams; BLACK BIRCH OIL&lt;br /&gt;&amp;diams; BIRCH, SWEET, OIL</t>
  </si>
  <si>
    <t xml:space="preserve"> 8001-88-5</t>
  </si>
  <si>
    <t xml:space="preserve"> BIRCH TAR, OIL (BETULA PENDULA ROTH AND RELATED BETULA SPP.)</t>
  </si>
  <si>
    <t xml:space="preserve"> &amp;diams; BIRCH TAR OIL&lt;br /&gt;&amp;diams; BIRCH TAR OIL, RECTIFIED&lt;br /&gt;&amp;diams; BETULA PENDULA OIL&lt;br /&gt;&amp;diams; OILS, BIRCH-TAR</t>
  </si>
  <si>
    <t xml:space="preserve"> 495-62-5</t>
  </si>
  <si>
    <t xml:space="preserve"> BISABOLENE</t>
  </si>
  <si>
    <t xml:space="preserve"> &amp;diams; BISABOLENE&lt;br /&gt;&amp;diams; BISABOLENE, GAMMA-&lt;br /&gt;&amp;diams; CYCLOHEXENE, 4-(1,5-DIMETHYL-4-HEXENYLIDENE)-1-METHYL-&lt;br /&gt;&amp;diams; 4-(1,5-DIMETHYL-4-HEXENYLIDENE)-1-METHYLCYCLOHEXENE&lt;br /&gt;&amp;diams; 2-HEPTENE, 2-METHYL-6-(4-METHYL-3-CYCLOHEXEN-1-YLIDENE)-&lt;br /&gt;&amp;diams; 2-METHYL-6-(4-METHYL-3-CYCLOHEXEN-1-YLIDENE)-2-HEPTENE&lt;br /&gt;&amp;diams; 1-METHYL-4-(1,5-DIMETHYL-4-HEXENYLIDENE)-1-CYCLOHEXENE</t>
  </si>
  <si>
    <t xml:space="preserve"> ANTIMICROBIAL AGENT,&lt;br /&gt; FLAVOR ENHANCER,&lt;br /&gt; FLAVORING AGENT OR ADJUVANT</t>
  </si>
  <si>
    <t xml:space="preserve"> 28588-73-0</t>
  </si>
  <si>
    <t xml:space="preserve"> BIS(2,5-DIMETHYL-3-FURYL) DISULFIDE</t>
  </si>
  <si>
    <t xml:space="preserve"> &amp;diams; BIS(2,5-DIMETHYL-3-FURYL) DISULFIDE&lt;br /&gt;&amp;diams; FURAN, 3,3'-DITHIOBIS(2,5-DIMETHYL-&lt;br /&gt;&amp;diams; 3,3'-DITHIOBIS(2,5-DIMETHYLFURAN)</t>
  </si>
  <si>
    <t xml:space="preserve"> 53897-60-2</t>
  </si>
  <si>
    <t xml:space="preserve"> BIS(1-MERCAPTOPROPYL)SULFIDE</t>
  </si>
  <si>
    <t xml:space="preserve"> &amp;diams; BIS(1-MERCAPTOPROPYL) SULFIDE&lt;br /&gt;&amp;diams; 1-propanethiol, 1,1'-thiobis-&lt;br /&gt;&amp;diams; 1,1'-thiobis-1-propanethiol&lt;br /&gt;&amp;diams; InChI=1/C6H14S3/c1-3-5(7)9-6(8)4-2/h5-8H,3-4H2,1-2H3&lt;br /&gt;&amp;diams; InChIKey: MPDULAQZHPFPOG-UHFFFAOYSA-N</t>
  </si>
  <si>
    <t xml:space="preserve"> 1618-26-4</t>
  </si>
  <si>
    <t xml:space="preserve"> BIS-(METHYLTHIO)METHANE</t>
  </si>
  <si>
    <t xml:space="preserve"> &amp;diams; BIS(METHYLTHIO)METHANE&lt;br /&gt;&amp;diams; BIS(METHYLMERCAPTO)METHANE&lt;br /&gt;&amp;diams; FORMALDEHYDE DIMETHYL DITHIOACETAL&lt;br /&gt;&amp;diams; FORMALDEHYDE DIMETHYL MERCAPTAL&lt;br /&gt;&amp;diams; METHANE, BIS(METHYLTHIO)-&lt;br /&gt;&amp;diams; METHYLENE BIS(METHYL SULFIDE)&lt;br /&gt;&amp;diams; THIOFORMALDEHYDE DIMETHYL ACETAL&lt;br /&gt;&amp;diams; 2,4-DITHIAPENTANE</t>
  </si>
  <si>
    <t xml:space="preserve"> 28588-75-2</t>
  </si>
  <si>
    <t xml:space="preserve"> BIS(2-METHYL-3-FURYL) DISULFIDE</t>
  </si>
  <si>
    <t xml:space="preserve"> &amp;diams; BIS(2-METHYL-3-FURYL) DISULFIDE&lt;br /&gt;&amp;diams; FURAN, 3,3'-DITHIOBIS(2-METHYL-&lt;br /&gt;&amp;diams; 2-METHYL-3-FURYL DISULFIDE&lt;br /&gt;&amp;diams; 3,3'-DITHIO-2,2'-DIMETHYLDIFURAN&lt;br /&gt;&amp;diams; 3,3'-DITHIOBIS(2-METHYLFURAN)</t>
  </si>
  <si>
    <t xml:space="preserve"> 4032-80-8</t>
  </si>
  <si>
    <t xml:space="preserve"> BIS(2-METHYLPHENYL) DISULFIDE</t>
  </si>
  <si>
    <t xml:space="preserve"> &amp;diams; O-TOLYL DISULFIDE&lt;br /&gt;&amp;diams; bis(2-methylphenyl) disulfide&lt;br /&gt;&amp;diams; di-o-tolyl disulfide&lt;br /&gt;&amp;diams; disulfide, bis(2-methylphenyl)</t>
  </si>
  <si>
    <t xml:space="preserve"> 28588-76-3</t>
  </si>
  <si>
    <t xml:space="preserve"> BIS(2-METHYL-3-FURYL) TETRASULFIDE</t>
  </si>
  <si>
    <t xml:space="preserve"> &amp;diams; BIS(2-METHYL-3-FURYL) TETRASULFIDE&lt;br /&gt;&amp;diams; FURAN, 3,3'-TETRATHIOBIS(2-METHYL-&lt;br /&gt;&amp;diams; 2-METHYL-3-FURYL TETRASULFIDE&lt;br /&gt;&amp;diams; 3,3'-TETRATHIOBIS(2-METHYLFURAN)</t>
  </si>
  <si>
    <t xml:space="preserve"> 977047-53-2</t>
  </si>
  <si>
    <t xml:space="preserve"> BLACKBERRY BARK, EXTRACT (RUBUS, SPP. OF SECTION EUBATUS)</t>
  </si>
  <si>
    <t xml:space="preserve"> &amp;diams; BLACKBERRY BARK EXTRACT</t>
  </si>
  <si>
    <t xml:space="preserve"> 84787-69-9</t>
  </si>
  <si>
    <t xml:space="preserve"> BLACKBERRY FRUIT EXTRACT</t>
  </si>
  <si>
    <t xml:space="preserve"> &amp;diams; BLACKBERRY EXTRACT&lt;br /&gt;&amp;diams; BLACKBERRY FRUIT EXTRACT&lt;br /&gt;&amp;diams; RUBUS FRUTICOSUS, EXT.</t>
  </si>
  <si>
    <t xml:space="preserve"> 8015-77-8</t>
  </si>
  <si>
    <t xml:space="preserve"> BOIS DE ROSE, OIL (ANIBA ROSAEODORA DUCKE)</t>
  </si>
  <si>
    <t xml:space="preserve"> &amp;diams; BOIS DE ROSE OIL&lt;br /&gt;&amp;diams; ANIBA ROSAEODORA OIL&lt;br /&gt;&amp;diams; OILS, BOIS DE ROSE</t>
  </si>
  <si>
    <t xml:space="preserve"> 977052-75-7</t>
  </si>
  <si>
    <t xml:space="preserve"> BOLDUS LEAVES (PEUMUS BOLDUS MOL.)</t>
  </si>
  <si>
    <t xml:space="preserve"> &amp;diams; BOLDO&lt;br /&gt;&amp;diams; BOLDUS&lt;br /&gt;&amp;diams; BOLDUS LEAF&lt;br /&gt;&amp;diams; BOLDO LEAF&lt;br /&gt;&amp;diams; PEUMUS BOLDUS</t>
  </si>
  <si>
    <t xml:space="preserve"> 977138-71-8</t>
  </si>
  <si>
    <t xml:space="preserve"> BONITO, DRIED</t>
  </si>
  <si>
    <t xml:space="preserve"> &amp;diams; BONITO, DRIED</t>
  </si>
  <si>
    <t xml:space="preserve"> 10043-35-3</t>
  </si>
  <si>
    <t xml:space="preserve"> BORIC ACID</t>
  </si>
  <si>
    <t xml:space="preserve"> &amp;diams; BORIC ACID&lt;br /&gt;&amp;diams; BORACIC ACID&lt;br /&gt;&amp;diams; BORIC ACID (H3BO3)&lt;br /&gt;&amp;diams; BORON TRIHYDROXIDE&lt;br /&gt;&amp;diams; TRIHYDROXYBORANE&lt;br /&gt;&amp;diams; ORTHOBORIC ACID</t>
  </si>
  <si>
    <t xml:space="preserve"> 507-70-0</t>
  </si>
  <si>
    <t xml:space="preserve"> BORNEOL</t>
  </si>
  <si>
    <t xml:space="preserve"> &amp;diams; BORNEOL&lt;br /&gt;&amp;diams; BAROS&lt;br /&gt;&amp;diams; BORNEOCAMPHOR&lt;br /&gt;&amp;diams; BORNYL ALCOHOL&lt;br /&gt;&amp;diams; CAMPHOL&lt;br /&gt;&amp;diams; 2-BORNANOL, ENDO-&lt;br /&gt;&amp;diams; 2-CAMPHANOL, ENDO-&lt;br /&gt;&amp;diams; 2-HYDROXYCAMPHANE, ENDO-&lt;br /&gt;&amp;diams; 1,7,7-TRIMETHYLBICYCLO(2.2.1)HEPTAN-2-OL&lt;br /&gt;&amp;diams; 2-BORNANOL&lt;br /&gt;&amp;diams; 2-CAMPHANOL&lt;br /&gt;&amp;diams; 2-HYDROXYBORNANE&lt;br /&gt;&amp;diams; 2-HYDROXYCAMPHANE&lt;br /&gt;&amp;diams; BICYCLO(2.2.1)HEPTAN-2-OL, 1,7,7-TRIMETHYL-, (1R,2S,4R)-REL-&lt;br /&gt;&amp;diams; 1,7,7-TRIMETHYLBICYCLO(2.2.1)HEPTAN-2-OL, ENDO-&lt;br /&gt;&amp;diams; 2-HYDROXY-1,7,7-TRIMETHYLNORBORNANE, ENDO-&lt;br /&gt;&amp;diams; 2-ENDO-BORNYL ALCOHOL&lt;br /&gt;&amp;diams; BORNEOL, (+-)-&lt;br /&gt;&amp;diams; BORNEOL, DL-&lt;br /&gt;&amp;diams;</t>
  </si>
  <si>
    <t xml:space="preserve"> 76-49-3</t>
  </si>
  <si>
    <t xml:space="preserve"> BORNYL ACETATE</t>
  </si>
  <si>
    <t xml:space="preserve"> &amp;diams; BORNYL ACETATE&lt;br /&gt;&amp;diams; BORNEOL, ACETATE&lt;br /&gt;&amp;diams; BORNYL ETHANOATE&lt;br /&gt;&amp;diams; 2-CAMPHANYL ACETATE&lt;br /&gt;&amp;diams; BICYCLO(2.2.1)HEPTAN-2-OL, 1,7,7-TRIMETHYL-, ACETATE, ENDO-&lt;br /&gt;&amp;diams; 1,7,7-TRIMETHYLBICYCLO(2.2.1)HEPTAN-2-YL ACETATE, ENDO-&lt;br /&gt;&amp;diams; 2-ENDO-BORNYL ACETATE&lt;br /&gt;&amp;diams; BORNYL ACETATE, ENDO-</t>
  </si>
  <si>
    <t xml:space="preserve"> 5655-61-8</t>
  </si>
  <si>
    <t xml:space="preserve"> L-BORNYL ACETATE</t>
  </si>
  <si>
    <t xml:space="preserve"> &amp;diams; BORNYL ACETATE, L-&lt;br /&gt;&amp;diams; BORNEOL, ACETATE, (1S,2R,4S)-(-)-&lt;br /&gt;&amp;diams; BICYCLO(2.2.1)HEPTAN-2-OL, 1,7,7-TRIMETHYL-, ACETATE, (1S-ENDO)-&lt;br /&gt;&amp;diams; 1,7,7-TRIMETHYLBICYCLO(2.2.1)HEPTAN-2-YL ACETATE, (1S-ENDO)-&lt;br /&gt;&amp;diams; bicyclo(2.2.1)heptan-2-ol, 1,7,7-trimethyl-, acetate, (1S,2R,4S)-&lt;br /&gt;&amp;diams; bornyl acetate, (-)-</t>
  </si>
  <si>
    <t xml:space="preserve"> 13109-70-1</t>
  </si>
  <si>
    <t xml:space="preserve"> BORNYL BUTYRATE</t>
  </si>
  <si>
    <t xml:space="preserve"> &amp;diams; BORNYL BUTYRATE&lt;br /&gt;&amp;diams; BORNEOL, BUTYRATE&lt;br /&gt;&amp;diams; BUTYRIC ACID, 2-BORNYL ESTER&lt;br /&gt;&amp;diams; BUTANOIC ACID, (1R,2S,4R)-1,7,7-TRIMETHYLBICYCLO(2.2.1)HEPT-2-YL ESTER, REL-&lt;br /&gt;&amp;diams; 1,7,7-TRIMETHYLBICYCLO(2.2.1)HEPT-2-YL BUTANOATE, ENDO-&lt;br /&gt;&amp;diams; BORNYL BUTANOATE</t>
  </si>
  <si>
    <t xml:space="preserve"> 7492-41-3</t>
  </si>
  <si>
    <t xml:space="preserve"> BORNYL FORMATE</t>
  </si>
  <si>
    <t xml:space="preserve"> &amp;diams; BORNYL FORMATE&lt;br /&gt;&amp;diams; 2-BORNANYL FORMATE, ENDO-&lt;br /&gt;&amp;diams; BORNEOL, FORMATE&lt;br /&gt;&amp;diams; BORNYL METHANOATE&lt;br /&gt;&amp;diams; 2-CAMPHANYL FORMATE&lt;br /&gt;&amp;diams; BICYCLO(2.2.1)HEPTAN-2-OL, 1,7,7-TRIMETHYL-, FORMATE, ENDO-&lt;br /&gt;&amp;diams; 1,7,7-TRIMETHYLBICYCLO(2.2.1)HEPTAN-2-YL FORMATE, ENDO-</t>
  </si>
  <si>
    <t xml:space="preserve"> 76-50-6</t>
  </si>
  <si>
    <t xml:space="preserve"> BORNYL ISOVALERATE</t>
  </si>
  <si>
    <t xml:space="preserve"> &amp;diams; BORNYL ISOVALERATE&lt;br /&gt;&amp;diams; 2-BORNYL ISOVALERATE&lt;br /&gt;&amp;diams; BORNYL ISOPENTANOATE&lt;br /&gt;&amp;diams; BORNYL ISOVALERIANATE&lt;br /&gt;&amp;diams; BORNYL 3-METHYLBUTANOATE&lt;br /&gt;&amp;diams; BORNYVAL&lt;br /&gt;&amp;diams; ISOVALERIC ACID, 2-BORNYL ESTER&lt;br /&gt;&amp;diams; BUTANOIC ACID, 3-METHYL-, 1,7,7-TRIMETHYLBICYCLO(2.2.1)HEPT-2-YL ESTER, ENDO-&lt;br /&gt;&amp;diams; 1,7,7-TRIMETHYLBICYCLO(2.2.1)HEPT-2-YL 3-METHYLBUTANOATE, ENDO-</t>
  </si>
  <si>
    <t xml:space="preserve"> 7549-41-9</t>
  </si>
  <si>
    <t xml:space="preserve"> BORNYL VALERATE</t>
  </si>
  <si>
    <t xml:space="preserve"> &amp;diams; BORNYL VALERATE&lt;br /&gt;&amp;diams; 2-BORNYL VALERATE&lt;br /&gt;&amp;diams; BORNYL PENTANOATE&lt;br /&gt;&amp;diams; BORNYL VALERIANATE&lt;br /&gt;&amp;diams; 2-BORNYL VALERATE, ENDO-&lt;br /&gt;&amp;diams; 2-CAMPHANYL VALERATE, ENDO-&lt;br /&gt;&amp;diams; VALERIC ACID, 2-BORNYL ESTER, ENDO-&lt;br /&gt;&amp;diams; PENTANOIC ACID, 1,7,7-TRIMETHYLBICYCLO(2.2.1)HEPT-2-YL ESTER, ENDO-&lt;br /&gt;&amp;diams; 1,7,7-TRIMETHYLBICYCLO(2.2.1)HEPT-2-YL PENTANOATE, ENDO-</t>
  </si>
  <si>
    <t xml:space="preserve"> 8053-33-6</t>
  </si>
  <si>
    <t xml:space="preserve"> BORONIA, ABSOLUTE (BORONIA MEGASTIGMA NEES)</t>
  </si>
  <si>
    <t xml:space="preserve"> &amp;diams; BORONIA FLOWER OIL&lt;br /&gt;&amp;diams; BORONIA ABSOLUTE&lt;br /&gt;&amp;diams; BORONIA MEGASTIGMA OIL&lt;br /&gt;&amp;diams; OILS, BORONIA</t>
  </si>
  <si>
    <t xml:space="preserve"> 977090-81-5</t>
  </si>
  <si>
    <t xml:space="preserve"> BOUILLON, VEGETABLE, SMOKE</t>
  </si>
  <si>
    <t xml:space="preserve"> &amp;diams; BOUILLON, VEGETABLE, SMOKE</t>
  </si>
  <si>
    <t xml:space="preserve"> 5208-59-3</t>
  </si>
  <si>
    <t xml:space="preserve"> BETA-BOURBONENE</t>
  </si>
  <si>
    <t xml:space="preserve"> &amp;diams; BETA-BOURBONENE&lt;br /&gt;&amp;diams; DECAHYDROISOPROPYLMETHYLMETHYLENECYCLOBUTA(1,2:3,4)DICYCLOPENTENE&lt;br /&gt;&amp;diams; BOURBONENE, (-)-BETA-&lt;br /&gt;&amp;diams; CYCLOBUTA(1,2:3,4)DICYCLOPENTENE, DECAHYDRO-3A-METHYL-6-METHYLENE-1-(1-METHYLETHYL)-, (1S-(1ALPHA,3AALPHA,3BBETA,6ABETA,6BALPHA))-&lt;br /&gt;&amp;diams; DECAHYDRO-3A-METHYL-6-METHYLENE-1-(1-METHYLETHYL)CYCLOBUTA(1,2:3,4)DICYCLOPENTENE, (1S-(1ALPHA,3AALPHA,3BBETA,6ABETA,6BALPHA))-&lt;br /&gt;&amp;diams; CYCLOBUTA(1,2:3,4)DICYCLOPENTENE, 1,2,3,3A,3BBETA,4,5,6,6ABETA,6BALPHA-DECAHYDRO-1ALPHA-ISOPROPYL-3AALPHA-METHYL-6-METHYLENE-&lt;br /&gt;&amp;diams; 1,2,3,3A,3BBETA,4,5,6,6ABETA,6BALPHA-DECAHYDRO-1ALPHA-ISOPROPYL-3AALPHA-METHYL-6-METHYLENECYCLOBUTA(1,2:3,4)DICYCLOPENTENE</t>
  </si>
  <si>
    <t xml:space="preserve"> 9001-00-7</t>
  </si>
  <si>
    <t xml:space="preserve"> BROMELAIN</t>
  </si>
  <si>
    <t xml:space="preserve"> &amp;diams; BROMELAIN&lt;br /&gt;&amp;diams; BROMELIN&lt;br /&gt;&amp;diams; EXTRANASE&lt;br /&gt;&amp;diams; PINEAPPLE PROTEASE&lt;br /&gt;&amp;diams; PINEAPPLE PROTEASE AND MILK CLOTTING ENZYME&lt;br /&gt;&amp;diams; TRAUMANASE&lt;br /&gt;&amp;diams; BROMELAIN, JUICE&lt;br /&gt;&amp;diams; BROMELAIN JUICE</t>
  </si>
  <si>
    <t xml:space="preserve"> ENZYME,&lt;br /&gt; FLAVOR ENHANCER,&lt;br /&gt; FLAVORING AGENT OR ADJUVANT,&lt;br /&gt; PROCESSING AID,&lt;br /&gt; TEXTURIZER</t>
  </si>
  <si>
    <t xml:space="preserve"> 8016-94-2</t>
  </si>
  <si>
    <t xml:space="preserve"> BROMINATED VEGETABLE OIL</t>
  </si>
  <si>
    <t xml:space="preserve"> 977000-49-9</t>
  </si>
  <si>
    <t xml:space="preserve"> BRYONIA ROOT (BRYONIA SPP.)</t>
  </si>
  <si>
    <t xml:space="preserve"> &amp;diams; BRYONIA ROOT</t>
  </si>
  <si>
    <t xml:space="preserve"> 977000-50-2</t>
  </si>
  <si>
    <t xml:space="preserve"> BUCHU LEAVES (BAROSMA BETULINA AND CRENULATA)</t>
  </si>
  <si>
    <t xml:space="preserve"> &amp;diams; BUCHU&lt;br /&gt;&amp;diams; BAROSMA LEAF&lt;br /&gt;&amp;diams; BUCHU LEAF</t>
  </si>
  <si>
    <t xml:space="preserve"> 977009-82-7</t>
  </si>
  <si>
    <t xml:space="preserve"> BUCHU LEAVES EXTRACT</t>
  </si>
  <si>
    <t xml:space="preserve"> &amp;diams; BUCHU EXTRACT&lt;br /&gt;&amp;diams; BUCHU LEAF EXTRACT</t>
  </si>
  <si>
    <t xml:space="preserve"> 68650-46-4</t>
  </si>
  <si>
    <t xml:space="preserve"> BUCHU LEAVES, OIL (BAROSMA SPP.)</t>
  </si>
  <si>
    <t xml:space="preserve"> &amp;diams; BUCHU OIL&lt;br /&gt;&amp;diams; BUCHU LEAF OIL&lt;br /&gt;&amp;diams; OILS, BUCHU</t>
  </si>
  <si>
    <t xml:space="preserve"> 977038-51-9</t>
  </si>
  <si>
    <t xml:space="preserve"> BUCKBEAN LEAVES (MENYANTHES TRIFOLIATA L.)</t>
  </si>
  <si>
    <t xml:space="preserve"> &amp;diams; BUCKBEAN LEAF&lt;br /&gt;&amp;diams; MENYANTHES TRIFOLIATA LEAF</t>
  </si>
  <si>
    <t xml:space="preserve"> 977038-52-0</t>
  </si>
  <si>
    <t xml:space="preserve"> BUCKBEAN LEAVES, EXTRACT (MENYANTHES TRIFOLIATA L.)</t>
  </si>
  <si>
    <t xml:space="preserve"> &amp;diams; BUCKBEAN LEAF EXTRACT&lt;br /&gt;&amp;diams; MENYANTHES TRIFOLIATA LEAF EXTRACT</t>
  </si>
  <si>
    <t xml:space="preserve"> 9003-55-8</t>
  </si>
  <si>
    <t xml:space="preserve"> BUTADIENE-STYRENE RUBBER</t>
  </si>
  <si>
    <t xml:space="preserve"> &amp;diams; POLY(BUTADIENE-CO-STYRENE)&lt;br /&gt;&amp;diams; BUTADIENE-STYRENE COPOLYMER&lt;br /&gt;&amp;diams; BUTADIENE-STYRENE RUBBER&lt;br /&gt;&amp;diams; BENZENE, ETHENYL-, POLYMER WITH 1,3-BUTADIENE&lt;br /&gt;&amp;diams; BUTADIENE-STYROL COPOLYMER&lt;br /&gt;&amp;diams; POLYSTYRENE-POLYBUTADIENE&lt;br /&gt;&amp;diams; POLY(1,3-BUTADIENE-CO-ETHENYLBENZENE)&lt;br /&gt;&amp;diams; POLY(1,3-BUTADIENE-CO-STYRENE)&lt;br /&gt;&amp;diams; STYRENE POLYMER WITH 1,3-BUTADIENE&lt;br /&gt;&amp;diams; STYRENE-BUTADIENE COPOLYMER&lt;br /&gt;&amp;diams; STYRENE, POLYMER WITH 1,3-BUTADIENE&lt;br /&gt;&amp;diams; RUBBER, BUTADIENE-STYRENE&lt;br /&gt;&amp;diams; 1,3-BUTADIENE-ETHENYLBENZENE COPOLYMER&lt;br /&gt;&amp;diams; 1,3-BUTADIENE, POLYMER WITH STYRENE&lt;br /&gt;&amp;diams; 1,3-BUTADIENE-STYRENE COPOLYMER&lt;br /&gt;&amp;diams; InChI=1S/C8H8.C4H6/c1-2-8-6-4-3-5-7-8&lt;br /&gt;&amp;diams; 1-3-4-2/h2-7H,1H2&lt;br /&gt;&amp;diams; 3-4H,1-2H2</t>
  </si>
  <si>
    <t xml:space="preserve"> MASTICATORY SUBSTANCE</t>
  </si>
  <si>
    <t xml:space="preserve"> 42919-64-2</t>
  </si>
  <si>
    <t xml:space="preserve"> 4-(METHYLTHIO)BUTANAL</t>
  </si>
  <si>
    <t xml:space="preserve"> &amp;diams; 4-(METHYLTHIO)BUTANAL&lt;br /&gt;&amp;diams; BUTANAL, 4-(METHYLTHIO)-&lt;br /&gt;&amp;diams; GAMMA-(METHYLTHIO)BUTYRALDEHYDE&lt;br /&gt;&amp;diams; GAMMA-(METHYLMERCAPTO)BUTYRALDEHYDE&lt;br /&gt;&amp;diams; 4-(METHYLTHIO)BUTYRALDEHYDE</t>
  </si>
  <si>
    <t xml:space="preserve"> 101780-73-8</t>
  </si>
  <si>
    <t xml:space="preserve"> BUTANAL DIBENZYL THIOACETAL</t>
  </si>
  <si>
    <t xml:space="preserve"> &amp;diams; 1,1-BIS(BENZYLTHIO)BUTANE&lt;br /&gt;&amp;diams; butyraldehyde, dibenzyl mercaptal&lt;br /&gt;&amp;diams; dibenzyl mercaptal butyraldehyde&lt;br /&gt;&amp;diams; butanal dibenzyl thioacetal</t>
  </si>
  <si>
    <t xml:space="preserve"> 106-97-8</t>
  </si>
  <si>
    <t xml:space="preserve"> N-BUTANE</t>
  </si>
  <si>
    <t xml:space="preserve"> &amp;diams; BUTANE&lt;br /&gt;&amp;diams; LIQUEFIED PETROLEUM GAS</t>
  </si>
  <si>
    <t xml:space="preserve"> PROPELLANT</t>
  </si>
  <si>
    <t xml:space="preserve"> 16128-68-0</t>
  </si>
  <si>
    <t xml:space="preserve"> 1,2-BUTANEDITHIOL</t>
  </si>
  <si>
    <t xml:space="preserve"> &amp;diams; 1,2-BUTANEDITHIOL&lt;br /&gt;&amp;diams; 1,2-DIMERCAPTOBUTANE&lt;br /&gt;&amp;diams; 1,2-DITHIOLBUTANE&lt;br /&gt;&amp;diams; 1-ETHYL-1,2-ETHANEDITHIOL</t>
  </si>
  <si>
    <t xml:space="preserve"> 24330-52-7</t>
  </si>
  <si>
    <t xml:space="preserve"> 1,3-BUTANEDITHIOL</t>
  </si>
  <si>
    <t xml:space="preserve"> &amp;diams; 1,3-BUTANEDITHIOL&lt;br /&gt;&amp;diams; 1,3-DIMERCAPTOBUTANE</t>
  </si>
  <si>
    <t xml:space="preserve"> 4532-64-3</t>
  </si>
  <si>
    <t xml:space="preserve"> 2,3-BUTANEDITHIOL</t>
  </si>
  <si>
    <t xml:space="preserve"> &amp;diams; 2,3-BUTANEDITHIOL&lt;br /&gt;&amp;diams; 2,3-DIMERCAPTOBUTANE</t>
  </si>
  <si>
    <t xml:space="preserve"> 109-79-5</t>
  </si>
  <si>
    <t xml:space="preserve"> 1-BUTANETHIOL</t>
  </si>
  <si>
    <t xml:space="preserve"> &amp;diams; 1-BUTANETHIOL&lt;br /&gt;&amp;diams; BUTYL MERCAPTAN&lt;br /&gt;&amp;diams; BUTANETHIOL&lt;br /&gt;&amp;diams; BUTYLTHIOL&lt;br /&gt;&amp;diams; THIOBUTYL ALCOHOL&lt;br /&gt;&amp;diams; 1-MERCAPTOBUTANE&lt;br /&gt;&amp;diams; InChI=1S/C4H10S/c1-2-3-4-5/h5H,2-4H2,1H3&lt;br /&gt;&amp;diams; InChIKey:WQAQPCDUOCURKW-UHFFFAOYSA-N</t>
  </si>
  <si>
    <t xml:space="preserve"> 78-92-2</t>
  </si>
  <si>
    <t xml:space="preserve"> 2-BUTANOL</t>
  </si>
  <si>
    <t xml:space="preserve"> &amp;diams; BUTYL ALCOHOL, SEC-&lt;br /&gt;&amp;diams; 2-BUTANOL&lt;br /&gt;&amp;diams; 1-METHYL-1-PROPANOL&lt;br /&gt;&amp;diams; 1-METHYLPROPYL ALCOHOL&lt;br /&gt;&amp;diams; 2-HYDROXYBUTANE&lt;br /&gt;&amp;diams; ETHYLMETHYL CARBINOL&lt;br /&gt;&amp;diams; METHYLETHYL CARBINOL</t>
  </si>
  <si>
    <t xml:space="preserve"> 78-93-3</t>
  </si>
  <si>
    <t xml:space="preserve"> 2-BUTANONE</t>
  </si>
  <si>
    <t xml:space="preserve"> &amp;diams; 2-BUTANONE&lt;br /&gt;&amp;diams; METHYL ETHYL KETONE&lt;br /&gt;&amp;diams; METHYLETHYL KETONE&lt;br /&gt;&amp;diams; BUTANONE&lt;br /&gt;&amp;diams; 3-BUTANONE&lt;br /&gt;&amp;diams; ETHYL METHYL KETONE</t>
  </si>
  <si>
    <t xml:space="preserve"> 84642-61-5</t>
  </si>
  <si>
    <t xml:space="preserve"> BUTAN-3-ONE-2-YL BUTANOATE</t>
  </si>
  <si>
    <t xml:space="preserve"> &amp;diams; BUTAN-3-ONE-2-YL BUTANOATE&lt;br /&gt;&amp;diams; ACETOYL BUTYRATE&lt;br /&gt;&amp;diams; BUTANOIC ACID, 1-METHYL-2-OXOPROPYL ESTER&lt;br /&gt;&amp;diams; 1-METHYL-2-OXOPROPYL BUTANOATE</t>
  </si>
  <si>
    <t xml:space="preserve"> 3724-65-0</t>
  </si>
  <si>
    <t xml:space="preserve"> (E)-2-BUTENOIC ACID</t>
  </si>
  <si>
    <t xml:space="preserve"> &amp;diams; CROTONIC ACID&lt;br /&gt;&amp;diams; 2-BUTENOIC ACID&lt;br /&gt;&amp;diams; ALPHA-BUTENOIC ACID&lt;br /&gt;&amp;diams; 3-METHACRYLIC ACID</t>
  </si>
  <si>
    <t xml:space="preserve"> 13215-88-8</t>
  </si>
  <si>
    <t xml:space="preserve"> 4-(2-BUTENYLIDENE)-3,5,5-TRIMETHYLCYCLOHEX-2-EN-1-ONE</t>
  </si>
  <si>
    <t xml:space="preserve"> &amp;diams; MEGASTIGMATRIENONE&lt;br /&gt;&amp;diams; 2-cyclohexen-1-one, 4-(2-butenylidene)-3,5,5-trimethyl-&lt;br /&gt;&amp;diams;  4-(2-butenylidene)-3,5,5-trimethyl-2-cyclohexen-1-one&lt;br /&gt;&amp;diams; 2-cyclohexen-1-one, 4-(2-buten-1-ylidene)-3,5,5-trimethyl-&lt;br /&gt;&amp;diams; 4-(2-buten-1-ylidene)-3,5,5-trimethyl-2-cyclohexen-1-one&lt;br /&gt;&amp;diams; InChI=1S/C13H18O/c1-5-6-7-12-10(2)8-11(14)9-13(12,3)4/h5-8H,9H2,1-4H3/b6-5+,12-7+&lt;br /&gt;&amp;diams; InChIKey: CBQXHTWJSZXYSK-DVIJZSFDSA-N</t>
  </si>
  <si>
    <t xml:space="preserve"> 3386-97-8</t>
  </si>
  <si>
    <t xml:space="preserve"> 3-BUTENYL ISOTHIOCYANATE</t>
  </si>
  <si>
    <t xml:space="preserve"> &amp;diams; 3-BUTENYL ISOTHIOCYANATE&lt;br /&gt;&amp;diams; ALLYLCARBINYL ISOTHIOCYANATE&lt;br /&gt;&amp;diams; 1-butene, 4-isothiocyanato-&lt;br /&gt;&amp;diams; 4-isothiocyanato-1-butene&lt;br /&gt;&amp;diams; isothiocyanic acid, 3-butenyl ester&lt;br /&gt;&amp;diams; InChI=1S/C5H7NS/c1-2-3-4-6-5-7/h2H,1,3-4H2&lt;br /&gt;&amp;diams; InChIKey: SKIHGKNFJKJXPX-UHFFFAOYSA-N</t>
  </si>
  <si>
    <t xml:space="preserve"> 32951-19-2</t>
  </si>
  <si>
    <t xml:space="preserve"> 1-BUTEN-1-YL METHYL SULFIDE</t>
  </si>
  <si>
    <t xml:space="preserve"> &amp;diams; 1-BUTENYL METHYL SULFIDE&lt;br /&gt;&amp;diams; SULFIDE, 1-BUTENYL METHYL&lt;br /&gt;&amp;diams; 1-BUTEN-1-YL METHYL SULFIDE&lt;br /&gt;&amp;diams; 1-BUTENE, 1-(METHYLTHIO)-&lt;br /&gt;&amp;diams; 1-(METHYLTHIO)-1-BUTENE</t>
  </si>
  <si>
    <t xml:space="preserve"> 85536-25-0</t>
  </si>
  <si>
    <t xml:space="preserve"> BUTTER ACIDS</t>
  </si>
  <si>
    <t xml:space="preserve"> &amp;diams; BUTTER FATTY ACIDS&lt;br /&gt;&amp;diams; BUTTER ACID&lt;br /&gt;&amp;diams; FATTY ACIDS, BUTTER</t>
  </si>
  <si>
    <t xml:space="preserve"> 977019-26-3</t>
  </si>
  <si>
    <t xml:space="preserve"> BUTTER ESTERS</t>
  </si>
  <si>
    <t xml:space="preserve"> &amp;diams; BUTTER ESTER&lt;br /&gt;&amp;diams; FATTY ACIDS, BUTTER, ESTERS&lt;br /&gt;&amp;diams; BUTTER FATTY ACIDS, ESTERS</t>
  </si>
  <si>
    <t xml:space="preserve"> 977093-25-6</t>
  </si>
  <si>
    <t xml:space="preserve"> BUTTER FAT, ENZYME-MODIFIED, WITH ADDED BUTYRIC ACID</t>
  </si>
  <si>
    <t xml:space="preserve"> &amp;diams; MILK FAT, ENZYME-MODIFIED, BUTYRIC ACID ADDED&lt;br /&gt;&amp;diams; BUTTER FAT, ENZYME-MODIFIED, WITH ADDED BUTYRIC ACID&lt;br /&gt;&amp;diams; BUTTERFAT, ENZYME-MODIFIED, BUTYRIC ACID ADDED</t>
  </si>
  <si>
    <t xml:space="preserve"> FLAVOR ENHANCER,&lt;br /&gt; FLAVORING AGENT OR ADJUVANT,&lt;br /&gt; TEXTURIZER</t>
  </si>
  <si>
    <t xml:space="preserve"> 977019-27-4</t>
  </si>
  <si>
    <t xml:space="preserve"> BUTTER STARTER DISTILLATE</t>
  </si>
  <si>
    <t xml:space="preserve"> &amp;diams; STARTER DISTILLATE&lt;br /&gt;&amp;diams; BUTTER STARTER DISTILLATE</t>
  </si>
  <si>
    <t xml:space="preserve"> FLAVORING AGENT OR ADJUVANT,&lt;br /&gt; MALTING OR FERMENTING AID</t>
  </si>
  <si>
    <t xml:space="preserve"> 123-86-4</t>
  </si>
  <si>
    <t xml:space="preserve"> BUTYL ACETATE</t>
  </si>
  <si>
    <t xml:space="preserve"> &amp;diams; BUTYL ACETATE&lt;br /&gt;&amp;diams; BUTYL ETHANOATE&lt;br /&gt;&amp;diams; ACETIC ACID, BUTYL ESTER&lt;br /&gt;&amp;diams; 1-acetoxybutane&lt;br /&gt;&amp;diams; 1-butyl acetate</t>
  </si>
  <si>
    <t xml:space="preserve"> 591-60-6</t>
  </si>
  <si>
    <t xml:space="preserve"> BUTYL ACETOACETATE</t>
  </si>
  <si>
    <t xml:space="preserve"> &amp;diams; BUTYL ACETOACETATE&lt;br /&gt;&amp;diams; BUTYL 3-KETOBUTANOATE&lt;br /&gt;&amp;diams; BUTYL 3-KETOBUTYRATE&lt;br /&gt;&amp;diams; BUTYL 3-OXOBUTANOATE&lt;br /&gt;&amp;diams; BUTANOIC ACID, 3-OXO-, BUTYL ESTER&lt;br /&gt;&amp;diams; ACETOACETIC ACID, BUTYL ESTER&lt;br /&gt;&amp;diams; BUTYL 3-OXOBUTYRATE</t>
  </si>
  <si>
    <t xml:space="preserve"> 71-36-3</t>
  </si>
  <si>
    <t xml:space="preserve"> BUTYL ALCOHOL</t>
  </si>
  <si>
    <t xml:space="preserve"> &amp;diams; BUTYL ALCOHOL&lt;br /&gt;&amp;diams; 1-BUTANOL&lt;br /&gt;&amp;diams; BUTANOL, NORMAL&lt;br /&gt;&amp;diams; PROPYLCARBINOL&lt;br /&gt;&amp;diams; 1-BUTYL ALCOHOL&lt;br /&gt;&amp;diams; BUTYL HYDROXIDE&lt;br /&gt;&amp;diams; METHYLOLPROPANE</t>
  </si>
  <si>
    <t xml:space="preserve"> 109-73-9</t>
  </si>
  <si>
    <t xml:space="preserve"> BUTYLAMINE</t>
  </si>
  <si>
    <t xml:space="preserve"> &amp;diams; BUTYLAMINE&lt;br /&gt;&amp;diams; 1-AMINOBUTANE&lt;br /&gt;&amp;diams; 1-BUTANAMINE&lt;br /&gt;&amp;diams; N-BUTYLAMINE&lt;br /&gt;&amp;diams; 1-BUTYLAMINE&lt;br /&gt;&amp;diams; MONO-N-BUTYLAMINE&lt;br /&gt;&amp;diams; MONOBUTYLAMINE</t>
  </si>
  <si>
    <t xml:space="preserve"> 13952-84-6</t>
  </si>
  <si>
    <t xml:space="preserve"> SEC-BUTYLAMINE</t>
  </si>
  <si>
    <t xml:space="preserve"> &amp;diams; 2-BUTANAMINE&lt;br /&gt;&amp;diams; 2-AMINOBUTANE&lt;br /&gt;&amp;diams; BUTYLAMINE, SECONDARY&lt;br /&gt;&amp;diams; 1-METHYLPROPANAMINE&lt;br /&gt;&amp;diams; 1-METHYLPROPYLAMINE&lt;br /&gt;&amp;diams; 2-AB&lt;br /&gt;&amp;diams; BUTYLAMINE, SEC-&lt;br /&gt;&amp;diams; 2-BUTYLAMINE&lt;br /&gt;&amp;diams; SEC-BUTYLAMINE</t>
  </si>
  <si>
    <t xml:space="preserve"> 7756-96-9</t>
  </si>
  <si>
    <t xml:space="preserve"> BUTYL ANTHRANILATE</t>
  </si>
  <si>
    <t xml:space="preserve"> &amp;diams; BUTYL ANTHRANILATE&lt;br /&gt;&amp;diams; BUTYL O-AMINOBENZOATE&lt;br /&gt;&amp;diams; BUTYL 2-AMINOBENZOATE&lt;br /&gt;&amp;diams; BENZOIC ACID, 2-AMINO-, BUTYL ESTER&lt;br /&gt;&amp;diams; ANTHRANILIC ACID, BUTYL ESTER</t>
  </si>
  <si>
    <t xml:space="preserve"> 25013-16-5</t>
  </si>
  <si>
    <t xml:space="preserve"> BUTYLATED HYDROXYANISOLE</t>
  </si>
  <si>
    <t xml:space="preserve"> &amp;diams; BHA&lt;br /&gt;&amp;diams; BUTYLATED HYDROXYANISOLE&lt;br /&gt;&amp;diams; BUTYLMETHOXYPHENOL&lt;br /&gt;&amp;diams; BUTYL-4-METHOXYPHENOL, TERT-&lt;br /&gt;&amp;diams; BUTYLHYDROXYANISOLE, TERT-&lt;br /&gt;&amp;diams; BUTYL-4-HYDROXYANISOLE, TERT-&lt;br /&gt;&amp;diams; PHENOL, (1,1-DIMETHYLETHYL)-4-METHOXY-&lt;br /&gt;&amp;diams; PHENOL, TERT-BUTYL-4-METHOXY-&lt;br /&gt;&amp;diams; (1,1-DIMETHYLETHYL)-4-METHOXYPHENOL&lt;br /&gt;&amp;diams; TERT-BUTYL-4-HYDROXYANISOLE&lt;br /&gt;&amp;diams; TERT-BUTYL-4-METHOXYPHENOL&lt;br /&gt;&amp;diams; TERT-BUTYLHYDROXYANISOLE</t>
  </si>
  <si>
    <t xml:space="preserve"> ANTIMICROBIAL AGENT,&lt;br /&gt; ANTIOXIDANT,&lt;br /&gt; DOUGH STRENGTHENER,&lt;br /&gt; FLAVOR ENHANCER,&lt;br /&gt; FLOUR TREATING AGENT,&lt;br /&gt; OXIDIZING OR REDUCING AGENT</t>
  </si>
  <si>
    <t xml:space="preserve"> 128-37-0</t>
  </si>
  <si>
    <t xml:space="preserve"> BUTYLATED HYDROXYTOLUENE</t>
  </si>
  <si>
    <t xml:space="preserve"> &amp;diams; BHT&lt;br /&gt;&amp;diams; BUTYLATED HYDROXYTOLUENE&lt;br /&gt;&amp;diams; 3,5-DI-TERT-BUTYL-4-HYDROXYTOLUENE&lt;br /&gt;&amp;diams; DITERTIARY BUTYL PARACRESOL&lt;br /&gt;&amp;diams; 2,6-DI-TERT-BUTYL-4-METHYLPHENOL&lt;br /&gt;&amp;diams; 2,6-DI-TERT-BUTYL-P-CRESOL&lt;br /&gt;&amp;diams; DBPC&lt;br /&gt;&amp;diams; P-CRESOL, 2,6-DI-TERT-BUTYL-&lt;br /&gt;&amp;diams; PHENOL, 2,6-BIS(1,1-DIMETHYLETHYL)-4-METHYL-&lt;br /&gt;&amp;diams; 2,6-BIS(1,1-DIMETHYLETHYL)-4-METHYLPHENOL</t>
  </si>
  <si>
    <t xml:space="preserve"> 137.350 ,  166.110</t>
  </si>
  <si>
    <t xml:space="preserve"> 25409-08-9</t>
  </si>
  <si>
    <t xml:space="preserve"> 2-BUTYL-2-BUTENAL</t>
  </si>
  <si>
    <t xml:space="preserve"> &amp;diams; 2-BUTYL-2-BUTENAL&lt;br /&gt;&amp;diams; 2-ETHYLIDINEHEXANAL&lt;br /&gt;&amp;diams; HEXANAL, 2-ETHYLIDENE-</t>
  </si>
  <si>
    <t xml:space="preserve"> 109-21-7</t>
  </si>
  <si>
    <t xml:space="preserve"> BUTYL BUTYRATE</t>
  </si>
  <si>
    <t xml:space="preserve"> &amp;diams; BUTYL BUTYRATE&lt;br /&gt;&amp;diams; BUTYL BUTANOATE&lt;br /&gt;&amp;diams; BUTANOIC ACID, BUTYL ESTER&lt;br /&gt;&amp;diams; BUTYRIC ACID, BUTYL ESTER&lt;br /&gt;&amp;diams; 1-BUTYL BUTYRATE&lt;br /&gt;&amp;diams; BUTYL BUTYLATE</t>
  </si>
  <si>
    <t xml:space="preserve"> 7492-70-8</t>
  </si>
  <si>
    <t xml:space="preserve"> BUTYL BUTYRYLLACTATE</t>
  </si>
  <si>
    <t xml:space="preserve"> &amp;diams; BUTYL BUTYRYLLACTATE&lt;br /&gt;&amp;diams; BUTANOIC ACID, 2-BUTOXY-1-METHYL-2-OXOETHYL ESTER&lt;br /&gt;&amp;diams; 2-BUTOXY-1-METHYL-2-OXOETHYL BUTANOATE&lt;br /&gt;&amp;diams; BUTYRIC ACID, ESTER WITH BUTYL LACTATE</t>
  </si>
  <si>
    <t xml:space="preserve"> 7492-44-6</t>
  </si>
  <si>
    <t xml:space="preserve"> ALPHA-BUTYLCINNAMALDEHYDE</t>
  </si>
  <si>
    <t xml:space="preserve"> &amp;diams; ALPHA-BUTYLCINNAMALDEHYDE&lt;br /&gt;&amp;diams; ALPHA-BUTYL-BETA-PHENYLACROLEIN&lt;br /&gt;&amp;diams; BUTYLCINNAMIC ALDEHYDE&lt;br /&gt;&amp;diams; ALPHA-BUTYLCINNAMIC ALDEHYDE&lt;br /&gt;&amp;diams; CINNAMALDEHYDE, ALPHA-BUTYL-&lt;br /&gt;&amp;diams; HEXANAL, 2-(PHENYLMETHYLENE)-&lt;br /&gt;&amp;diams; 2-BENZYLIDENEHEXANAL&lt;br /&gt;&amp;diams; 2-(PHENYLMETHYLENE)HEXANAL</t>
  </si>
  <si>
    <t xml:space="preserve"> 538-65-8</t>
  </si>
  <si>
    <t xml:space="preserve"> BUTYL CINNAMATE</t>
  </si>
  <si>
    <t xml:space="preserve"> &amp;diams; BUTYL CINNAMATE&lt;br /&gt;&amp;diams; BUTYL PHENYLACRYLATE&lt;br /&gt;&amp;diams; BUTYL 3-PHENYLPROPENOATE&lt;br /&gt;&amp;diams; BUTYL-BETA-PHENYLACRYLATE&lt;br /&gt;&amp;diams; ELIMINOXY&lt;br /&gt;&amp;diams; 2-PROPENOIC ACID, 3-PHENYL-, BUTYL ESTER&lt;br /&gt;&amp;diams; BUTYL 3-PHENYL-2-PROPENOATE&lt;br /&gt;&amp;diams; CINNAMIC ACID, BUTYL ESTER</t>
  </si>
  <si>
    <t xml:space="preserve"> 7492-45-7</t>
  </si>
  <si>
    <t xml:space="preserve"> BUTYL 2-DECENOATE</t>
  </si>
  <si>
    <t xml:space="preserve"> &amp;diams; BUTYL 2-DECENOATE&lt;br /&gt;&amp;diams; BUTYL DECYLENATE&lt;br /&gt;&amp;diams; 2-DECENOIC ACID, BUTYL ESTER</t>
  </si>
  <si>
    <t xml:space="preserve"> 107-88-0</t>
  </si>
  <si>
    <t xml:space="preserve"> 1,3-BUTYLENE GLYCOL</t>
  </si>
  <si>
    <t xml:space="preserve"> &amp;diams; 1,3-BUTYLENE GLYCOL&lt;br /&gt;&amp;diams; 1,3-BUTANEDIOL&lt;br /&gt;&amp;diams; BETA-BUTYLENE GLYCOL&lt;br /&gt;&amp;diams; 1,3-DIHYDROXYBUTANE&lt;br /&gt;&amp;diams; 1-METHYL-1,3-PROPANEDIOL&lt;br /&gt;&amp;diams; 3-HYDROXY-1-BUTANOL&lt;br /&gt;&amp;diams; METHYLTRIMETHYLENE GLYCOL</t>
  </si>
  <si>
    <t xml:space="preserve"> 63986-03-8</t>
  </si>
  <si>
    <t xml:space="preserve"> BUTYL ETHYL DISULFIDE</t>
  </si>
  <si>
    <t xml:space="preserve"> &amp;diams; BUTYL ETHYL DISULFIDE&lt;br /&gt;&amp;diams; disulfide, butyl ethyl&lt;br /&gt;&amp;diams; 3,4-dithiaoctane&lt;br /&gt;&amp;diams; 1-ethyldisulfanylbutane</t>
  </si>
  <si>
    <t xml:space="preserve"> 17373-84-1</t>
  </si>
  <si>
    <t xml:space="preserve"> BUTYL ETHYL MALONATE</t>
  </si>
  <si>
    <t xml:space="preserve"> &amp;diams; BUTYL ETHYL MALONATE&lt;br /&gt;&amp;diams; BUTYL ETHYL PROPANEDIOATE&lt;br /&gt;&amp;diams; ETHYL BUTYL MALONATE&lt;br /&gt;&amp;diams; PROPANEDIOIC ACID, BUTYL ETHYL ESTER&lt;br /&gt;&amp;diams; MALONIC ACID, BUTYL ETHYL ESTER</t>
  </si>
  <si>
    <t xml:space="preserve"> 592-84-7</t>
  </si>
  <si>
    <t xml:space="preserve"> BUTYL FORMATE</t>
  </si>
  <si>
    <t xml:space="preserve"> &amp;diams; BUTYL FORMATE&lt;br /&gt;&amp;diams; BUTYL METHANOATE&lt;br /&gt;&amp;diams; FORMIC ACID, BUTYL ESTER</t>
  </si>
  <si>
    <t xml:space="preserve"> 4466-24-4</t>
  </si>
  <si>
    <t xml:space="preserve"> 2-BUTYLFURAN</t>
  </si>
  <si>
    <t xml:space="preserve"> &amp;diams; 2-BUTYLFURAN&lt;br /&gt;&amp;diams; furan, 2-butyl-</t>
  </si>
  <si>
    <t xml:space="preserve"> 5454-28-4</t>
  </si>
  <si>
    <t xml:space="preserve"> BUTYL HEPTANOATE</t>
  </si>
  <si>
    <t xml:space="preserve"> &amp;diams; BUTYL HEPTANOATE&lt;br /&gt;&amp;diams; BUTYL HEPTOATE&lt;br /&gt;&amp;diams; BUTYL HEPTYLATE&lt;br /&gt;&amp;diams; HEPTANOIC ACID, BUTYL ESTER</t>
  </si>
  <si>
    <t xml:space="preserve"> 626-82-4</t>
  </si>
  <si>
    <t xml:space="preserve"> BUTYL HEXANOATE</t>
  </si>
  <si>
    <t xml:space="preserve"> &amp;diams; BUTYL HEXANOATE&lt;br /&gt;&amp;diams; BUTYL CAPROATE&lt;br /&gt;&amp;diams; HEXANOIC ACID, BUTYL ESTER</t>
  </si>
  <si>
    <t xml:space="preserve"> 94-26-8</t>
  </si>
  <si>
    <t xml:space="preserve"> BUTYL P-HYDROXYBENZOATE</t>
  </si>
  <si>
    <t xml:space="preserve"> &amp;diams; BUTYLPARABEN&lt;br /&gt;&amp;diams; BUTYL P-HYDROXYBENZOATE&lt;br /&gt;&amp;diams; BUTYL 4-HYDROXYBENZOATE&lt;br /&gt;&amp;diams; BENZOIC ACID, 4-HYDROXY-, BUTYL ESTER&lt;br /&gt;&amp;diams; BENZOIC ACID, P-HYDROXY-, BUTYL ESTER&lt;br /&gt;&amp;diams; 4-(butoxycarbonyl)phenol</t>
  </si>
  <si>
    <t xml:space="preserve"> 9038-95-3</t>
  </si>
  <si>
    <t xml:space="preserve"> ALPHA-BUTYL-OMEGA-HYDROXYPOLY(OXYETHYLENE) POLY(OXYPROPYLENE)</t>
  </si>
  <si>
    <t xml:space="preserve"> &amp;diams; PEG/PPG BUTYL ETHER&lt;br /&gt;&amp;diams; BUTOXYPOLYOXYETHYLENE POLYOXYPROPYLENE GLYCOL&lt;br /&gt;&amp;diams; PEG/PPG MONOBUTYL ETHER&lt;br /&gt;&amp;diams; BUTOXYPOLYETHYLENE POLYPROPYLENE GLYCOL&lt;br /&gt;&amp;diams; PPG-BUTETH&lt;br /&gt;&amp;diams; OXIRANE, METHYL-, POLYMER WITH WITH OXIRANE, MONOBUTYL ETHER&lt;br /&gt;&amp;diams; POLY(ETHYLENE GLYCOL-CO-PROPYLENE GLYCOL), MONOBUTYL ETHER&lt;br /&gt;&amp;diams; GLYCOLS, POLYETHYLENE-PROPYLENE, MONOBUTYL ETHER&lt;br /&gt;&amp;diams; ALPHA-BUTYL-OMEGA-HYDROXYPOLY(OXYETHYLENE)POLY(OXYPROPYLENE)&lt;br /&gt;&amp;diams; POLYETHYLENE-POLYPROPYLENE GLYCOL MONOBUTYL ETHER&lt;br /&gt;&amp;diams; POLY(METHYL OXIRANE-CO-OXIRANE), MONOBUTYL ETHER</t>
  </si>
  <si>
    <t xml:space="preserve"> BOILER WATER ADDITIVE,&lt;br /&gt; SURFACE-ACTIVE AGENT</t>
  </si>
  <si>
    <t xml:space="preserve"> 551-08-6</t>
  </si>
  <si>
    <t xml:space="preserve"> 3-BUTYLIDENEPHTHALIDE</t>
  </si>
  <si>
    <t xml:space="preserve"> &amp;diams; 3-BUTYLIDENEPHTHALIDE&lt;br /&gt;&amp;diams; LIGUSTICUM LACTONE&lt;br /&gt;&amp;diams; PHTHALIDE, 3-BUTYLIDENE-&lt;br /&gt;&amp;diams; 1(3H)-ISOBENZOFURANONE, 3-BUTYLIDENE-&lt;br /&gt;&amp;diams; 3-BUTYLIDENE-1(3H)-ISOBENZOFURANONE</t>
  </si>
  <si>
    <t xml:space="preserve"> 6, 7</t>
  </si>
  <si>
    <t xml:space="preserve"> 97-87-0</t>
  </si>
  <si>
    <t xml:space="preserve"> BUTYL ISOBUTYRATE</t>
  </si>
  <si>
    <t xml:space="preserve"> &amp;diams; BUTYL ISOBUTYRATE&lt;br /&gt;&amp;diams; BUTYL 2-METHYLPROPANOATE&lt;br /&gt;&amp;diams; PROPANOIC ACID, 2-METHYL-, BUTYL ESTER&lt;br /&gt;&amp;diams; ISOBUTYRIC ACID, BUTYL ESTER&lt;br /&gt;&amp;diams; BUTYL ISOBUTANOATE</t>
  </si>
  <si>
    <t xml:space="preserve"> 592-82-5</t>
  </si>
  <si>
    <t xml:space="preserve"> BUTYL ISOTHIOCYANATE</t>
  </si>
  <si>
    <t xml:space="preserve"> &amp;diams; BUTYL ISOTHIOCYANATE&lt;br /&gt;&amp;diams; BUTYL MUSTARD OIL&lt;br /&gt;&amp;diams; BUTANE, 1-ISOTHIOCYANATO-&lt;br /&gt;&amp;diams; 1-ISOTHIOCYANATOBUTANE&lt;br /&gt;&amp;diams; ISOTHIOCYANIC ACID, BUTYL ESTER</t>
  </si>
  <si>
    <t xml:space="preserve"> 4426-79-3</t>
  </si>
  <si>
    <t xml:space="preserve"> 2-BUTYLISOTHIOCYANATE</t>
  </si>
  <si>
    <t xml:space="preserve"> &amp;diams; SEC-BUTYL ISOTHIOCYANATE&lt;br /&gt;&amp;diams; BUTYL ISOTHIOCYANATE, SEC-&lt;br /&gt;&amp;diams; butane, 2-isothiocyanato-&lt;br /&gt;&amp;diams; 2-isothiocyanatobutane&lt;br /&gt;&amp;diams; isothiocyanic acid, sec-butyl ester&lt;br /&gt;&amp;diams; 2-butyl isothiocyanate&lt;br /&gt;&amp;diams; InChI=1S/C5H9NS/c1-3-5(2)6-4-7/h5H,3H2,1-2H3&lt;br /&gt;&amp;diams; InChIKey: TUFJIDJGIQOYFY-UHFFFAOYSA-N</t>
  </si>
  <si>
    <t xml:space="preserve"> 109-19-3</t>
  </si>
  <si>
    <t xml:space="preserve"> BUTYL ISOVALERATE</t>
  </si>
  <si>
    <t xml:space="preserve"> &amp;diams; BUTYL ISOVALERATE&lt;br /&gt;&amp;diams; BUTYL ISOPENTANOATE&lt;br /&gt;&amp;diams; BUTYL ISOVALERIANATE&lt;br /&gt;&amp;diams; BUTYL 3-METHYLBUTANOATE&lt;br /&gt;&amp;diams; BUTYL 3-METHYLBUTYRATE&lt;br /&gt;&amp;diams; BUTANOIC ACID, 3-METHYL-, BUTYL ESTER&lt;br /&gt;&amp;diams; ISOVALERIC ACID, BUTYL ESTER</t>
  </si>
  <si>
    <t xml:space="preserve"> 138-22-7</t>
  </si>
  <si>
    <t xml:space="preserve"> BUTYL LACTATE</t>
  </si>
  <si>
    <t xml:space="preserve"> &amp;diams; BUTYL LACTATE&lt;br /&gt;&amp;diams; BUTYL 2-HYDROXYPROPANOATE&lt;br /&gt;&amp;diams; PROPANOIC ACID, 2-HYDROXY-, BUTYL ESTER&lt;br /&gt;&amp;diams; LACTIC ACID, BUTYL ESTER&lt;br /&gt;&amp;diams; BUTYL ALPHA-HYDROXYPROPIONATE</t>
  </si>
  <si>
    <t xml:space="preserve"> 106-18-3</t>
  </si>
  <si>
    <t xml:space="preserve"> BUTYL LAURATE</t>
  </si>
  <si>
    <t xml:space="preserve"> &amp;diams; BUTYL LAURATE&lt;br /&gt;&amp;diams; BUTYL DODECANOATE&lt;br /&gt;&amp;diams; BUTYL DODECYLATE&lt;br /&gt;&amp;diams; DODECANOIC ACID, BUTYL ESTER&lt;br /&gt;&amp;diams; LAURIC ACID, BUTYL ESTER</t>
  </si>
  <si>
    <t xml:space="preserve"> 2052-15-5</t>
  </si>
  <si>
    <t xml:space="preserve"> BUTYL LEVULINATE</t>
  </si>
  <si>
    <t xml:space="preserve"> &amp;diams; BUTYL LEVULINATE&lt;br /&gt;&amp;diams; BUTYL ACETYLPROPIONATE&lt;br /&gt;&amp;diams; BUTYL 4-KETOVALERATE&lt;br /&gt;&amp;diams; BUTYL 4-OXOPENTANOATE&lt;br /&gt;&amp;diams; PENTANOIC ACID, 4-OXO-, BUTYL ESTER&lt;br /&gt;&amp;diams; LEVULINIC ACID, BUTYL ESTER</t>
  </si>
  <si>
    <t xml:space="preserve"> 15706-73-7</t>
  </si>
  <si>
    <t xml:space="preserve"> N-BUTYL 2-METHYLBUTYRATE</t>
  </si>
  <si>
    <t xml:space="preserve"> &amp;diams; BUTYL 2-METHYLBUTYRATE&lt;br /&gt;&amp;diams; BUTANOIC ACID, 2-METHYL-, BUTYL ESTER&lt;br /&gt;&amp;diams; BUTYL 2-METHYLBUTANOATE&lt;br /&gt;&amp;diams; BUTYRIC ACID, 2-METHYL-, BUTYL ESTER</t>
  </si>
  <si>
    <t xml:space="preserve"> 77105-53-4</t>
  </si>
  <si>
    <t xml:space="preserve"> BUTYL BETA-(METHYLTHIO)ACRYLATE</t>
  </si>
  <si>
    <t xml:space="preserve"> &amp;diams; BUTYL 3-(METHYLTHIO)ACRYLATE&lt;br /&gt;&amp;diams; 2-propenoic acid, 3-(methylthio)-, butyl ester&lt;br /&gt;&amp;diams; butyl 3-(methylthio)-2-propenoic acid&lt;br /&gt;&amp;diams; butyl beta-(methylthio)acrylate</t>
  </si>
  <si>
    <t xml:space="preserve"> 10484-56-7</t>
  </si>
  <si>
    <t xml:space="preserve"> BUTYL BETA-NAPHTHYL ETHER</t>
  </si>
  <si>
    <t xml:space="preserve"> &amp;diams; 2-BUTOXYNAPHTHALENE&lt;br /&gt;&amp;diams; naphthalene, 2-butoxy-&lt;br /&gt;&amp;diams; butyl 2-naphthyl ether&lt;br /&gt;&amp;diams; beta-naphthol butyl ether</t>
  </si>
  <si>
    <t xml:space="preserve"> 38621-44-2</t>
  </si>
  <si>
    <t xml:space="preserve"> BUTYL OLEATE SULFATE</t>
  </si>
  <si>
    <t xml:space="preserve"> &amp;diams; BUTYL OLEATE SULFATE&lt;br /&gt;&amp;diams; 9-OCTADECENOIC ACID, (SULFOOXY)-, 1-BUTYL ESTER&lt;br /&gt;&amp;diams; 1-BUTYL (SULFOOXY)-9-OCTADECENOATE&lt;br /&gt;&amp;diams; 1-BUTYL (SULFOOXY)OLEATE&lt;br /&gt;&amp;diams; SULFATED BUTYL OLEATE&lt;br /&gt;&amp;diams; BUTYL OLEATE, SULFATED</t>
  </si>
  <si>
    <t xml:space="preserve"> 65504-95-2</t>
  </si>
  <si>
    <t xml:space="preserve"> 2-BUTYL-5 OR 6-KETO-1,4-DIOXANE</t>
  </si>
  <si>
    <t xml:space="preserve"> &amp;diams; 5(OR 6)-BUTYL-P-DIOXAN-2-ONE&lt;br /&gt;&amp;diams; 2-BUTYL-5(OR 6)-KETO-1,4-DIOXANE&lt;br /&gt;&amp;diams; 1,4-DIOXAN-2-ONE, 5(OR 6)-BUTYL-&lt;br /&gt;&amp;diams; 5(OR 6)-BUTYL-1,4-DIOXAN-2-ONE</t>
  </si>
  <si>
    <t xml:space="preserve"> 122-43-0</t>
  </si>
  <si>
    <t xml:space="preserve"> BUTYL PHENYLACETATE</t>
  </si>
  <si>
    <t xml:space="preserve"> &amp;diams; BUTYL PHENYLACETATE&lt;br /&gt;&amp;diams; BUTYL ALPHA-TOLUATE&lt;br /&gt;&amp;diams; BENZENEACETIC ACID, BUTYL ESTER&lt;br /&gt;&amp;diams; BUTYL BENZENEACETATE&lt;br /&gt;&amp;diams; ACETIC ACID, PHENYL-, BUTYL ESTER&lt;br /&gt;&amp;diams; BUTYL PHENYLETHANOATE</t>
  </si>
  <si>
    <t xml:space="preserve"> 6066-49-5</t>
  </si>
  <si>
    <t xml:space="preserve"> 3-N-BUTYLPHTHALIDE</t>
  </si>
  <si>
    <t xml:space="preserve"> &amp;diams; 3-BUTYLPHTHALIDE&lt;br /&gt;&amp;diams; PHTHALIDE, 3-BUTYL-&lt;br /&gt;&amp;diams; 1(3H)-ISOBENZOFURANONE, 3-BUTYL-&lt;br /&gt;&amp;diams; 3-BUTYL-1(3H)-ISOBENZOFURANONE</t>
  </si>
  <si>
    <t xml:space="preserve"> 590-01-2</t>
  </si>
  <si>
    <t xml:space="preserve"> BUTYL PROPIONATE</t>
  </si>
  <si>
    <t xml:space="preserve"> &amp;diams; BUTYL PROPIONATE&lt;br /&gt;&amp;diams; BUTYL PROPANOATE&lt;br /&gt;&amp;diams; PROPANOIC ACID, BUTYL ESTER&lt;br /&gt;&amp;diams; PROPIONIC ACID, BUTYL ESTER</t>
  </si>
  <si>
    <t xml:space="preserve"> 2052-14-4</t>
  </si>
  <si>
    <t xml:space="preserve"> BUTYL SALICYLATE</t>
  </si>
  <si>
    <t xml:space="preserve"> &amp;diams; BUTYL SALICYLATE&lt;br /&gt;&amp;diams; BUTYL (2-HYDROXYPHENYL)FORMATE&lt;br /&gt;&amp;diams; BUTYL O-HYDROXYBENZOATE&lt;br /&gt;&amp;diams; BENZOIC ACID, 2-HYDROXY-, BUTYL ESTER&lt;br /&gt;&amp;diams; BUTYL 2-HYDROXYBENZOATE&lt;br /&gt;&amp;diams; SALICYLIC ACID, BUTYL ESTER</t>
  </si>
  <si>
    <t xml:space="preserve"> 123-95-5</t>
  </si>
  <si>
    <t xml:space="preserve"> BUTYL STEARATE</t>
  </si>
  <si>
    <t xml:space="preserve"> &amp;diams; BUTYL STEARATE&lt;br /&gt;&amp;diams; BUTYL OCTADECANOATE&lt;br /&gt;&amp;diams; OCTADECANOIC ACID, BUTYL ESTER&lt;br /&gt;&amp;diams; STEARIC ACID, BUTYL ESTER</t>
  </si>
  <si>
    <t xml:space="preserve"> FLAVOR ENHANCER,&lt;br /&gt; FLAVORING AGENT OR ADJUVANT,&lt;br /&gt; FORMULATION AID</t>
  </si>
  <si>
    <t xml:space="preserve"> 544-40-1</t>
  </si>
  <si>
    <t xml:space="preserve"> BUTYL SULFIDE</t>
  </si>
  <si>
    <t xml:space="preserve"> &amp;diams; BUTYL SULFIDE&lt;br /&gt;&amp;diams; DIBUTYL SULFIDE&lt;br /&gt;&amp;diams; BUTYLTHIOBUTANE&lt;br /&gt;&amp;diams; BUTANE, 1,1'-THIOBIS-&lt;br /&gt;&amp;diams; 1,1'-THIOBIS(BUTANE)&lt;br /&gt;&amp;diams; 5-THIANONANE&lt;br /&gt;&amp;diams; BUTYL MONOSULFIDE&lt;br /&gt;&amp;diams; DIBUTYL THIOETHER</t>
  </si>
  <si>
    <t xml:space="preserve"> 109-42-2</t>
  </si>
  <si>
    <t xml:space="preserve"> BUTYL 10-UNDECENOATE</t>
  </si>
  <si>
    <t xml:space="preserve"> &amp;diams; BUTYL 10-UNDECENOATE&lt;br /&gt;&amp;diams; 10-UNDECENOIC ACID, BUTYL ESTER&lt;br /&gt;&amp;diams; BUTYL 10-UNDECYLENATE</t>
  </si>
  <si>
    <t xml:space="preserve"> 591-68-4</t>
  </si>
  <si>
    <t xml:space="preserve"> BUTYL VALERATE</t>
  </si>
  <si>
    <t xml:space="preserve"> &amp;diams; BUTYL VALERATE&lt;br /&gt;&amp;diams; BUTYL PENTANOATE&lt;br /&gt;&amp;diams; BUTYL VALERIANATE&lt;br /&gt;&amp;diams; PENTANOIC ACID, BUTYL ESTER&lt;br /&gt;&amp;diams; VALERIC ACID, BUTYL ESTER</t>
  </si>
  <si>
    <t xml:space="preserve"> 123-72-8</t>
  </si>
  <si>
    <t xml:space="preserve"> BUTYRALDEHYDE</t>
  </si>
  <si>
    <t xml:space="preserve"> &amp;diams; BUTYRALDEHYDE&lt;br /&gt;&amp;diams; BUTANAL&lt;br /&gt;&amp;diams; BUTYLALDEHYDE&lt;br /&gt;&amp;diams; BUTYRIC ALDEHYDE</t>
  </si>
  <si>
    <t xml:space="preserve"> 541-35-5</t>
  </si>
  <si>
    <t xml:space="preserve"> BUTYRAMIDE</t>
  </si>
  <si>
    <t xml:space="preserve"> &amp;diams; BUTANAMIDE&lt;br /&gt;&amp;diams; BUTANIMIDIC ACID&lt;br /&gt;&amp;diams; BUTYRAMIDE</t>
  </si>
  <si>
    <t xml:space="preserve"> 107-92-6</t>
  </si>
  <si>
    <t xml:space="preserve"> BUTYRIC ACID</t>
  </si>
  <si>
    <t xml:space="preserve"> &amp;diams; BUTYRIC ACID&lt;br /&gt;&amp;diams; BUTANOIC ACID&lt;br /&gt;&amp;diams; ETHYLACETIC ACID&lt;br /&gt;&amp;diams; 1-PROPANECARBOXYLIC ACID&lt;br /&gt;&amp;diams; PROPYLFORMIC ACID</t>
  </si>
  <si>
    <t xml:space="preserve"> ANTIOXIDANT,&lt;br /&gt; FLAVORING AGENT OR ADJUVANT,&lt;br /&gt; PH CONTROL AGENT</t>
  </si>
  <si>
    <t xml:space="preserve"> 4208-57-5</t>
  </si>
  <si>
    <t xml:space="preserve"> 2-BUTYRYLFURAN</t>
  </si>
  <si>
    <t xml:space="preserve"> 29350-73-0</t>
  </si>
  <si>
    <t xml:space="preserve"> CADINENE</t>
  </si>
  <si>
    <t xml:space="preserve"> &amp;diams; CADINENE&lt;br /&gt;&amp;diams; NAPHTHALENE, DECAHYDRO-1,6-DIMETHYL-4-(1-METHYLETHYL)-, (1S-(1ALPHA,4ALPHA,4AALPHA,6ALPHA,8ABETA))-, DIDEHYDRO DERIV.</t>
  </si>
  <si>
    <t xml:space="preserve"> 58-08-2</t>
  </si>
  <si>
    <t xml:space="preserve"> CAFFEINE</t>
  </si>
  <si>
    <t xml:space="preserve"> &amp;diams; CAFFEINE&lt;br /&gt;&amp;diams; COFFEINE&lt;br /&gt;&amp;diams; CAFFEINE, ANHYDROUS&lt;br /&gt;&amp;diams; 1,3,7-TRIMETHYLXANTHINE&lt;br /&gt;&amp;diams; GUARANINE&lt;br /&gt;&amp;diams; METHYLTHEOBROMINE&lt;br /&gt;&amp;diams; THEINE&lt;br /&gt;&amp;diams; 1,3,7-TRIMETHYL-2,6-DIOXOPURINE&lt;br /&gt;&amp;diams; 3,7-DIHYDRO-1,3,7-TRIMETHYL-1H-PURINE-2,6-DIONE&lt;br /&gt;&amp;diams; 1H-PURINE-2,6-DIONE, 3,7-DIHYDRO-1,3,7-TRIMETHYL-</t>
  </si>
  <si>
    <t xml:space="preserve"> 8008-98-8</t>
  </si>
  <si>
    <t xml:space="preserve"> CAJEPUT, OIL (MELALEUCA LEUCADENDRON L.)</t>
  </si>
  <si>
    <t xml:space="preserve"> &amp;diams; CAJUPUT OIL&lt;br /&gt;&amp;diams; MELALEUCA LEUCADENDRON OIL&lt;br /&gt;&amp;diams; OILS, CAJUPUT</t>
  </si>
  <si>
    <t xml:space="preserve"> 84775-39-3</t>
  </si>
  <si>
    <t xml:space="preserve"> CALAMUS EXTRACT--PROHIBITED</t>
  </si>
  <si>
    <t xml:space="preserve"> &amp;diams; CALAMUS EXTRACT&lt;br /&gt;&amp;diams; CALAMUS ROOT EXTRACT&lt;br /&gt;&amp;diams; ACORUS CALAMUS, EXT.</t>
  </si>
  <si>
    <t xml:space="preserve"> 8015-79-0</t>
  </si>
  <si>
    <t xml:space="preserve"> CALAMUS OIL--PROHIBITED</t>
  </si>
  <si>
    <t xml:space="preserve"> &amp;diams; CALAMUS OIL&lt;br /&gt;&amp;diams; OILS, ACORUS CALAMUS&lt;br /&gt;&amp;diams; ACORUS CALAMUS OIL</t>
  </si>
  <si>
    <t xml:space="preserve"> 977022-90-4</t>
  </si>
  <si>
    <t xml:space="preserve"> CALAMUS--PROHIBITED</t>
  </si>
  <si>
    <t xml:space="preserve"> &amp;diams; CALAMUS&lt;br /&gt;&amp;diams; SWEETFLAG&lt;br /&gt;&amp;diams; CALAMUS ROOT&lt;br /&gt;&amp;diams; ACORUS CALAMUS&lt;br /&gt;&amp;diams; SWEET CANE&lt;br /&gt;&amp;diams; SWEET CINNAMON&lt;br /&gt;&amp;diams; SWEETROOT&lt;br /&gt;&amp;diams; MYRTLE FLAG&lt;br /&gt;&amp;diams; SWEET GRASS&lt;br /&gt;&amp;diams; FLAGROOT&lt;br /&gt;&amp;diams; ACORUS&lt;br /&gt;&amp;diams; SWEET CALAMUS&lt;br /&gt;&amp;diams; SWEET FLAG</t>
  </si>
  <si>
    <t xml:space="preserve"> 62-54-4</t>
  </si>
  <si>
    <t xml:space="preserve"> CALCIUM ACETATE</t>
  </si>
  <si>
    <t xml:space="preserve"> &amp;diams; CALCIUM ACETATE&lt;br /&gt;&amp;diams; CALCIUM DIACETATE&lt;br /&gt;&amp;diams; ACETATE OF LIME&lt;br /&gt;&amp;diams; VINEGAR SALTS&lt;br /&gt;&amp;diams; ACETIC ACID, CALCIUM SALT&lt;br /&gt;&amp;diams; BROWN ACETATE&lt;br /&gt;&amp;diams; GRAY ACETATE&lt;br /&gt;&amp;diams; LIME ACETATE&lt;br /&gt;&amp;diams; LIME PYROLIGNITE&lt;br /&gt;&amp;diams; ACETATE, CALCIUM</t>
  </si>
  <si>
    <t xml:space="preserve"> COLOR OR COLORING ADJUNCT,&lt;br /&gt; FIRMING AGENT,&lt;br /&gt; FLAVORING AGENT OR ADJUVANT,&lt;br /&gt; PH CONTROL AGENT,&lt;br /&gt; PROCESSING AID,&lt;br /&gt; SEQUESTRANT,&lt;br /&gt; STABILIZER OR THICKENER,&lt;br /&gt; TEXTURIZER</t>
  </si>
  <si>
    <t xml:space="preserve"> 5743-27-1</t>
  </si>
  <si>
    <t xml:space="preserve"> CALCIUM ASCORBATE</t>
  </si>
  <si>
    <t xml:space="preserve"> &amp;diams; CALCIUM ASCORBATE&lt;br /&gt;&amp;diams; L-ASCORBIC ACID, CALCIUM SALT (2:1)&lt;br /&gt;&amp;diams; CALCIUM L-ASCORBATE&lt;br /&gt;&amp;diams; HEMICALCIUM ASCORBATE</t>
  </si>
  <si>
    <t xml:space="preserve"> 2090-05-3</t>
  </si>
  <si>
    <t xml:space="preserve"> CALCIUM BENZOATE</t>
  </si>
  <si>
    <t xml:space="preserve"> &amp;diams; CALCIUM BENZOATE&lt;br /&gt;&amp;diams; BENZOIC ACID, CALCIUM SALT&lt;br /&gt;&amp;diams; CALCIUM DIBENZOATE</t>
  </si>
  <si>
    <t xml:space="preserve"> 10102-75-7</t>
  </si>
  <si>
    <t xml:space="preserve"> CALCIUM BROMATE</t>
  </si>
  <si>
    <t xml:space="preserve"> &amp;diams; CALCIUM BROMATE&lt;br /&gt;&amp;diams; BROMIC ACID, CALCIUM SALT</t>
  </si>
  <si>
    <t xml:space="preserve"> DOUGH STRENGTHENER,&lt;br /&gt; LEAVENING AGENT</t>
  </si>
  <si>
    <t xml:space="preserve"> 13747-30-3</t>
  </si>
  <si>
    <t xml:space="preserve"> CALCIUM CAPRATE</t>
  </si>
  <si>
    <t xml:space="preserve"> &amp;diams; CALCIUM DECANOATE&lt;br /&gt;&amp;diams; CALCIUM CAPRATE&lt;br /&gt;&amp;diams; DECANOIC ACID, CALCIUM SALT&lt;br /&gt;&amp;diams; CALCIUM BIS(CAPRATE)</t>
  </si>
  <si>
    <t xml:space="preserve"> ANTICAKING AGENT OR FREE-FLOW AGENT,&lt;br /&gt; EMULSIFIER OR EMULSIFIER SALT,&lt;br /&gt; LUBRICANT OR RELEASE AGENT</t>
  </si>
  <si>
    <t xml:space="preserve"> 6107-56-8</t>
  </si>
  <si>
    <t xml:space="preserve"> CALCIUM CAPRYLATE</t>
  </si>
  <si>
    <t xml:space="preserve"> &amp;diams; CALCIUM OCTANOATE&lt;br /&gt;&amp;diams; CALCIUM CAPRYLATE&lt;br /&gt;&amp;diams; OCTANOIC ACID, CALCIUM SALT&lt;br /&gt;&amp;diams; CALCIUM OCTYLATE&lt;br /&gt;&amp;diams; CALCIUM OCTOATE</t>
  </si>
  <si>
    <t xml:space="preserve"> 9005-43-0</t>
  </si>
  <si>
    <t xml:space="preserve"> CALCIUM CASEINATE</t>
  </si>
  <si>
    <t xml:space="preserve"> &amp;diams; CALCIUM CASEINATE&lt;br /&gt;&amp;diams; CASEINS, CALCIUM COMPLEXES&lt;br /&gt;&amp;diams; CASEINATE, CA&lt;br /&gt;&amp;diams; CASEINATE, CALCIUM SALT</t>
  </si>
  <si>
    <t xml:space="preserve"> COLOR OR COLORING ADJUNCT,&lt;br /&gt; FORMULATION AID,&lt;br /&gt; NUTRIENT SUPPLEMENT,&lt;br /&gt; STABILIZER OR THICKENER,&lt;br /&gt; TEXTURIZER</t>
  </si>
  <si>
    <t xml:space="preserve"> 5897-16-5</t>
  </si>
  <si>
    <t xml:space="preserve"> CALCIUM CYCLAMATE--PROHIBITED</t>
  </si>
  <si>
    <t xml:space="preserve"> &amp;diams; CALCIUM CYCLAMATE&lt;br /&gt;&amp;diams; CALCIUM CYCLAMATE DIHYDRATE&lt;br /&gt;&amp;diams; CYCLAMATE CALCIUM&lt;br /&gt;&amp;diams; SULFAMIC ACID, CYCLOHEXYL-, CALCIUM SALT (2:1), DIHYDRATE&lt;br /&gt;&amp;diams; CYCLOHEXANESULFAMIC ACID, CALCIUM SALT (2:1), DIHYDRATE&lt;br /&gt;&amp;diams; CALCIUM CYCLOHEXANESULFAMATE DIHYDRATE (1:2)&lt;br /&gt;&amp;diams; CALCIUM CYCLOHEXYLSULFAMATE DIHYDRATE (1:2)&lt;br /&gt;&amp;diams; CYCLAMIC ACID, CALCIUM SALT&lt;br /&gt;&amp;diams; CYCLOHEXYLSULFAMIC ACID, CALCIUM SALT</t>
  </si>
  <si>
    <t xml:space="preserve"> 5996-22-5</t>
  </si>
  <si>
    <t xml:space="preserve"> CALCIUM DIGLUTAMATE</t>
  </si>
  <si>
    <t xml:space="preserve"> &amp;diams; MONOCALCIUM GLUTAMATE&lt;br /&gt;&amp;diams; CALCIUM DI-L-GLUTAMATE&lt;br /&gt;&amp;diams; CALCIUM L-GLUTAMATE (1:2)&lt;br /&gt;&amp;diams; CALCIUM L-GLUTAMATE&lt;br /&gt;&amp;diams; CALCIUM DIGLUTAMATE&lt;br /&gt;&amp;diams; GLUTAMIC ACID, CALCIUM SALT (2:1), L-&lt;br /&gt;&amp;diams; L-GLUTAMIC ACID, CALCIUM SALT (2:1)&lt;br /&gt;&amp;diams; MONOCALCIUM DI-L-GLUTAMATE&lt;br /&gt;&amp;diams; MONOCALCIUM L-GLUTAMATE</t>
  </si>
  <si>
    <t xml:space="preserve"> 7718-51-6</t>
  </si>
  <si>
    <t xml:space="preserve"> CALCIUM FUMARATE</t>
  </si>
  <si>
    <t xml:space="preserve"> &amp;diams; CALCIUM FUMARATE&lt;br /&gt;&amp;diams; 2-BUTENEDIOIC ACID (E)-, CALCIUM SALT&lt;br /&gt;&amp;diams; CALCIUM 2-BUTENEDIOATE, (E)-&lt;br /&gt;&amp;diams; FUMARIC ACID, CALCIUM SALT</t>
  </si>
  <si>
    <t xml:space="preserve"> 27214-00-2</t>
  </si>
  <si>
    <t xml:space="preserve"> CALCIUM GLYCEROPHOSPHATE</t>
  </si>
  <si>
    <t xml:space="preserve"> &amp;diams; CALCIUM GLYCEROPHOSPHATE&lt;br /&gt;&amp;diams; CALCIUM 1,2,3-PROPANETRIYL MONO(DIHYDROGEN PHOSPHATE)&lt;br /&gt;&amp;diams; CALCIUM GLYCERYL MONO(DIHYDROGEN PHOSPHATE)&lt;br /&gt;&amp;diams; GLYCEROL, MONO(DIHYDROGEN PHOSPHATE), CALCIUM SALT (1:1)&lt;br /&gt;&amp;diams; 1,2,3-PROPANETRIOL, MONO(DIHYDROGEN PHOSPHATE), CALCIUM SALT (1:1)</t>
  </si>
  <si>
    <t xml:space="preserve"> NUTRIENT SUPPLEMENT,&lt;br /&gt; STABILIZER OR THICKENER</t>
  </si>
  <si>
    <t xml:space="preserve"> 10102-76-8</t>
  </si>
  <si>
    <t xml:space="preserve"> CALCIUM HEXAMETAPHOSPHATE</t>
  </si>
  <si>
    <t xml:space="preserve"> &amp;diams; CALCIUM HEXAMETAPHOSPHATE&lt;br /&gt;&amp;diams; METAPHOSPHORIC ACID (H6P6O18), CALCIUM SALT</t>
  </si>
  <si>
    <t xml:space="preserve"> SEQUESTRANT</t>
  </si>
  <si>
    <t xml:space="preserve"> 1305-62-0</t>
  </si>
  <si>
    <t xml:space="preserve"> CALCIUM HYDROXIDE</t>
  </si>
  <si>
    <t xml:space="preserve"> &amp;diams; CALCIUM HYDROXIDE&lt;br /&gt;&amp;diams; MILK OF LIME&lt;br /&gt;&amp;diams; HYDRATED LIME&lt;br /&gt;&amp;diams; SLAKED LIME&lt;br /&gt;&amp;diams; CALCIUM HYDRATE&lt;br /&gt;&amp;diams; calcium hydroxide (Ca(OH)2)</t>
  </si>
  <si>
    <t xml:space="preserve"> FIRMING AGENT,&lt;br /&gt; NUTRIENT SUPPLEMENT,&lt;br /&gt; PH CONTROL AGENT,&lt;br /&gt; PROCESSING AID</t>
  </si>
  <si>
    <t xml:space="preserve"> 7789-79-9</t>
  </si>
  <si>
    <t xml:space="preserve"> CALCIUM HYPOPHOSPHITE</t>
  </si>
  <si>
    <t xml:space="preserve"> &amp;diams; CALCIUM HYPOPHOSPHITE&lt;br /&gt;&amp;diams; CALCIUM PHOSPHINATE&lt;br /&gt;&amp;diams; CALCIUM PHOSPHINATE (CA(H2PO2)2)&lt;br /&gt;&amp;diams; CALCIUM DIHYDROGEN HYPOPHOSPHITE&lt;br /&gt;&amp;diams; PHOSPHINIC ACID, CALCIUM SALT&lt;br /&gt;&amp;diams; calcium hypophosphite (Ca(H2PO2)2)</t>
  </si>
  <si>
    <t xml:space="preserve"> 7789-80-2</t>
  </si>
  <si>
    <t xml:space="preserve"> CALCIUM IODATE</t>
  </si>
  <si>
    <t xml:space="preserve"> &amp;diams; CALCIUM IODATE&lt;br /&gt;&amp;diams; LAUTARITE&lt;br /&gt;&amp;diams; IODIC ACID (HIO3), CALCIUM SALT&lt;br /&gt;&amp;diams; IODIC ACID, CALCIUM SALT&lt;br /&gt;&amp;diams; calcium iodate (Ca(IO3)2)</t>
  </si>
  <si>
    <t xml:space="preserve"> DOUGH STRENGTHENER,&lt;br /&gt; FLOUR TREATING AGENT,&lt;br /&gt; NUTRIENT SUPPLEMENT,&lt;br /&gt; PROCESSING AID</t>
  </si>
  <si>
    <t xml:space="preserve"> 5001-51-4</t>
  </si>
  <si>
    <t xml:space="preserve"> CALCIUM LACTOBIONATE</t>
  </si>
  <si>
    <t xml:space="preserve"> &amp;diams; CALCIUM LACTOBIONATE&lt;br /&gt;&amp;diams; D-GLUCONIC ACID, 4-O-BETA-D-GALACTOPYRANOSYL-, CALCIUM SALT (2:1)&lt;br /&gt;&amp;diams; CALCIUM 4-O-BETA-D-GALACTOPYRANOSYL-D-GLUCONATE (1:2)&lt;br /&gt;&amp;diams; LACTOBIONIC ACID, CALCIUM SALT (2:1)</t>
  </si>
  <si>
    <t xml:space="preserve"> 4696-56-4</t>
  </si>
  <si>
    <t xml:space="preserve"> CALCIUM LAURATE</t>
  </si>
  <si>
    <t xml:space="preserve"> &amp;diams; CALCIUM LAURATE&lt;br /&gt;&amp;diams; DODECANOIC ACID, CALCIUM SALT&lt;br /&gt;&amp;diams; CALCIUM DODECANOATE&lt;br /&gt;&amp;diams; LAURIC ACID, CALCIUM SALT</t>
  </si>
  <si>
    <t xml:space="preserve"> 8061-52-7</t>
  </si>
  <si>
    <t xml:space="preserve"> CALCIUM LIGNOSULFONATE</t>
  </si>
  <si>
    <t xml:space="preserve"> &amp;diams; CALCIUM LIGNOSULFONATE&lt;br /&gt;&amp;diams; CALCIUM LIGNIN SULFONATE&lt;br /&gt;&amp;diams; LIGNIN CALCIUM SULFONATE&lt;br /&gt;&amp;diams; LIGNOSULFONIC ACID, CALCIUM SALT</t>
  </si>
  <si>
    <t xml:space="preserve"> 15284-51-2</t>
  </si>
  <si>
    <t xml:space="preserve"> CALCIUM MYRISTATE</t>
  </si>
  <si>
    <t xml:space="preserve"> &amp;diams; CALCIUM MYRISTATE&lt;br /&gt;&amp;diams; TETRADECANOIC ACID, CALCIUM SALT&lt;br /&gt;&amp;diams; CALCIUM TETRADECANOATE&lt;br /&gt;&amp;diams; MYRISTIC ACID, CALCIUM SALT</t>
  </si>
  <si>
    <t xml:space="preserve"> 142-17-6</t>
  </si>
  <si>
    <t xml:space="preserve"> CALCIUM OLEATE</t>
  </si>
  <si>
    <t xml:space="preserve"> &amp;diams; CALCIUM OLEATE&lt;br /&gt;&amp;diams; 9-OCTADECENOIC ACID (Z)-, CALCIUM SALT&lt;br /&gt;&amp;diams; CALCIUM 9-OCTADECENOATE, (Z)-&lt;br /&gt;&amp;diams; OLEIC ACID, CALCIUM SALT</t>
  </si>
  <si>
    <t xml:space="preserve"> 1305-78-8</t>
  </si>
  <si>
    <t xml:space="preserve"> CALCIUM OXIDE</t>
  </si>
  <si>
    <t xml:space="preserve"> &amp;diams; LIME&lt;br /&gt;&amp;diams; BURNT LIME&lt;br /&gt;&amp;diams; CALX&lt;br /&gt;&amp;diams; QUICKLIME</t>
  </si>
  <si>
    <t xml:space="preserve"> ANTICAKING AGENT OR FREE-FLOW AGENT,&lt;br /&gt; DOUGH STRENGTHENER,&lt;br /&gt; FIRMING AGENT,&lt;br /&gt; NUTRIENT SUPPLEMENT,&lt;br /&gt; PH CONTROL AGENT,&lt;br /&gt; PROCESSING AID,&lt;br /&gt; TEXTURIZER</t>
  </si>
  <si>
    <t xml:space="preserve"> 542-42-7</t>
  </si>
  <si>
    <t xml:space="preserve"> CALCIUM PALMITATE</t>
  </si>
  <si>
    <t xml:space="preserve"> &amp;diams; CALCIUM PALMITATE&lt;br /&gt;&amp;diams; HEXADECANOIC ACID, CALCIUM SALT&lt;br /&gt;&amp;diams; CALCIUM HEXADECANOATE&lt;br /&gt;&amp;diams; PALMITIC ACID, CALCIUM SALT</t>
  </si>
  <si>
    <t xml:space="preserve"> 137-08-6</t>
  </si>
  <si>
    <t xml:space="preserve"> CALCIUM PANTOTHENATE</t>
  </si>
  <si>
    <t xml:space="preserve"> &amp;diams; CALCIUM PANTOTHENATE&lt;br /&gt;&amp;diams; CALCIUM D-PANTOTHENATE&lt;br /&gt;&amp;diams; BETA-ALANINE, N-(2,4-DIHYDROXY-3,3-DIMETHYL-1-OXOBUTYL)-, CALCIUM SALT (2:1), (R)-&lt;br /&gt;&amp;diams; CALCIUM N-(2,4-DIHYDROXY-3,3-DIMETHYL-1-OXOBUTYL)-BETA-ALANINE (1:2), (R)-&lt;br /&gt;&amp;diams; CALCIUM, BIS(PANTOTHENATO)-&lt;br /&gt;&amp;diams; BIS(PANTOTHENATO)CALCIUM&lt;br /&gt;&amp;diams; PANTOTHENIC ACID, CALCIUM SALT (2:1), D-&lt;br /&gt;&amp;diams; CALCIUM D-PANTOTHENATE (1:2)&lt;br /&gt;&amp;diams; calcium d-(+)-N-(alpha,gamma-dihydroxy-beta,beta-dimethylbutyryl)-beta-alaninate&lt;br /&gt;&amp;diams; N-(2,4-dihydroxy-3,3-dimethylbutyryl)-beta-alanine calcium</t>
  </si>
  <si>
    <t xml:space="preserve"> 6363-38-8</t>
  </si>
  <si>
    <t xml:space="preserve"> CALCIUM PANTOTHENATE, CALCIUM CHLORIDE DOUBLE SALT</t>
  </si>
  <si>
    <t xml:space="preserve"> &amp;diams; CALCIUM PANTOTHENATE, CALCIUM CHLORIDE DOUBLE SALT&lt;br /&gt;&amp;diams; BETA-ALANINE, N-(2,4-DIHYDROXY-3,3-DIMETHYL-1-OXOBUTYL)-, CALCIUM SALT (2:1), COMPD. WITH CALCIUM CHLORIDE (CACL2) (1:1)&lt;br /&gt;&amp;diams; CALCIUM PANTOTHENATE-CALCIUM CHLORIDE COMPLEX&lt;br /&gt;&amp;diams; PANTOTHENIC ACID, CALCIUM SALT (2:1), COMPD. WITH CALCIUM CHLORIDE (1:1), DL-</t>
  </si>
  <si>
    <t xml:space="preserve"> 1305-79-9</t>
  </si>
  <si>
    <t xml:space="preserve"> CALCIUM PEROXIDE</t>
  </si>
  <si>
    <t xml:space="preserve"> &amp;diams; CALCIUM PEROXIDE&lt;br /&gt;&amp;diams; CALCIUM DIOXIDE&lt;br /&gt;&amp;diams; CALCIUM PEROXIDE (CA(O2))&lt;br /&gt;&amp;diams; PEROXIDE, CALCIUM</t>
  </si>
  <si>
    <t xml:space="preserve"> DOUGH STRENGTHENER,&lt;br /&gt; FLOUR TREATING AGENT,&lt;br /&gt; OXIDIZING OR REDUCING AGENT,&lt;br /&gt; SEQUESTRANT</t>
  </si>
  <si>
    <t xml:space="preserve"> 7757-93-9</t>
  </si>
  <si>
    <t xml:space="preserve"> CALCIUM PHOSPHATE, DIBASIC</t>
  </si>
  <si>
    <t xml:space="preserve"> &amp;diams; CALCIUM PHOSPHATE, DIBASIC&lt;br /&gt;&amp;diams; CALCIUM PHOSPHATE, DIBASIC, DENTAL GRADE&lt;br /&gt;&amp;diams; CALCIUM HYDROGEN PHOSPHATE&lt;br /&gt;&amp;diams; CALCIUM ACID PHOSPHATE&lt;br /&gt;&amp;diams; CALCIUM HYDROXY PHOSPHATE&lt;br /&gt;&amp;diams; DICALCIUM ORTHOPHOSPHATE&lt;br /&gt;&amp;diams; CALCIUM MONOHYDROGEN PHOSPHATE&lt;br /&gt;&amp;diams; DICALCIUM HYDROGEN PHOSPHATE&lt;br /&gt;&amp;diams; PHOSPHORIC ACID, CALCIUM SALT (1:1)</t>
  </si>
  <si>
    <t xml:space="preserve"> ANTICAKING AGENT OR FREE-FLOW AGENT,&lt;br /&gt; DOUGH STRENGTHENER,&lt;br /&gt; DRYING AGENT,&lt;br /&gt; EMULSIFIER OR EMULSIFIER SALT,&lt;br /&gt; HUMECTANT,&lt;br /&gt; LEAVENING AGENT,&lt;br /&gt; MASTICATORY SUBSTANCE,&lt;br /&gt; NUTRIENT SUPPLEMENT,&lt;br /&gt; PH CONTROL AGENT,&lt;br /&gt; STABILIZER OR THICKENER</t>
  </si>
  <si>
    <t xml:space="preserve"> 7758-87-4</t>
  </si>
  <si>
    <t xml:space="preserve"> CALCIUM PHOSPHATE, TRIBASIC</t>
  </si>
  <si>
    <t xml:space="preserve"> &amp;diams; CALCIUM PHOSPHATE, TRIBASIC&lt;br /&gt;&amp;diams; BETA-TRICALCIUM PHOSPHATE&lt;br /&gt;&amp;diams; ALPHA-TRICALCIUM PHOSPHATE&lt;br /&gt;&amp;diams; CALCIUM ORTHOPHOSPHATE&lt;br /&gt;&amp;diams; CALCIUM PHOSPHATE (3:2)&lt;br /&gt;&amp;diams; PHOSPHORIC ACID, CALCIUM SALT (2:3)&lt;br /&gt;&amp;diams; TRICALCIUM PHOSPHATE&lt;br /&gt;&amp;diams; TRICALCIUM ORTHOPHOSPHATE</t>
  </si>
  <si>
    <t xml:space="preserve"> ANTICAKING AGENT OR FREE-FLOW AGENT,&lt;br /&gt; DRYING AGENT,&lt;br /&gt; EMULSIFIER OR EMULSIFIER SALT,&lt;br /&gt; FLAVORING AGENT OR ADJUVANT,&lt;br /&gt; FORMULATION AID,&lt;br /&gt; HUMECTANT,&lt;br /&gt; LEAVENING AGENT,&lt;br /&gt; NUTRIENT SUPPLEMENT,&lt;br /&gt; PH CONTROL AGENT,&lt;br /&gt; TEXTURIZER</t>
  </si>
  <si>
    <t xml:space="preserve"> 137.105 ,  169.179</t>
  </si>
  <si>
    <t xml:space="preserve"> 7776-28-5</t>
  </si>
  <si>
    <t xml:space="preserve"> CALCIUM PHYTATE</t>
  </si>
  <si>
    <t xml:space="preserve"> &amp;diams; CALCIUM PHYTATE&lt;br /&gt;&amp;diams; HEXACALCIUM PHYTATE&lt;br /&gt;&amp;diams; MYO-INOSITOL, HEXAKIS(DIHYDROGEN PHOSPHATE), CALCIUM SALT (1:6)&lt;br /&gt;&amp;diams; INOSITOL, HEXAKIS(DIHYDROGEN PHOSPHATE), CALCIUM SALT (1:6), MYO-</t>
  </si>
  <si>
    <t xml:space="preserve"> 7790-76-3</t>
  </si>
  <si>
    <t xml:space="preserve"> CALCIUM PYROPHOSPHATE</t>
  </si>
  <si>
    <t xml:space="preserve"> &amp;diams; CALCIUM PYROPHOSPHATE&lt;br /&gt;&amp;diams; ALPHA-CALCIUM PYROPHOSPHATE&lt;br /&gt;&amp;diams; BETA-CALCIUM PYROPHOSPHATE&lt;br /&gt;&amp;diams; CALCIUM DIPHOSPHATE&lt;br /&gt;&amp;diams; DIPHOSPHORIC ACID, CALCIUM SALT (1:2)&lt;br /&gt;&amp;diams; CALCIUM DIPHOSPHATE (2:1)&lt;br /&gt;&amp;diams; DICALCIUM DIPHOSPHATE&lt;br /&gt;&amp;diams; CALCIUM PYROPHOSPHATE, VITREOUS&lt;br /&gt;&amp;diams; GAMMA-CALCIUM PYROPHOSPHATE&lt;br /&gt;&amp;diams; PYROPHOSPHORIC ACID, CALCIUM SALT (1:2)&lt;br /&gt;&amp;diams; calcium pyrophosphate (Ca2P2O7)</t>
  </si>
  <si>
    <t xml:space="preserve"> 977089-53-4</t>
  </si>
  <si>
    <t xml:space="preserve"> CALCIUM SALTS OF FATTY ACIDS</t>
  </si>
  <si>
    <t xml:space="preserve"> &amp;diams; FATTY ACIDS, CALCIUM SALTS&lt;br /&gt;&amp;diams; CALCIUM SALTS OF FATTY ACIDS&lt;br /&gt;&amp;diams; CALCIUM SOAP&lt;br /&gt;&amp;diams; CALCIUM FATTY ACID SOAP&lt;br /&gt;&amp;diams; CALCIUM COMPOUNDS OF FATTY ACIDS&lt;br /&gt;&amp;diams; SOAP, CALCIUM</t>
  </si>
  <si>
    <t xml:space="preserve"> 1344-95-2</t>
  </si>
  <si>
    <t xml:space="preserve"> CALCIUM SILICATE</t>
  </si>
  <si>
    <t xml:space="preserve"> &amp;diams; CALCIUM SILICATE&lt;br /&gt;&amp;diams; CALCIUM MONOSILICATE&lt;br /&gt;&amp;diams; CALCIUM POLYSILICATE&lt;br /&gt;&amp;diams; SILICIC ACID, CALCIUM SALT</t>
  </si>
  <si>
    <t xml:space="preserve"> ANTICAKING AGENT OR FREE-FLOW AGENT,&lt;br /&gt; FLAVOR ENHANCER,&lt;br /&gt; FLAVORING AGENT OR ADJUVANT,&lt;br /&gt; FORMULATION AID,&lt;br /&gt; LUBRICANT OR RELEASE AGENT</t>
  </si>
  <si>
    <t xml:space="preserve"> 7492-55-9</t>
  </si>
  <si>
    <t xml:space="preserve"> CALCIUM SORBATE</t>
  </si>
  <si>
    <t xml:space="preserve"> &amp;diams; CALCIUM SORBATE&lt;br /&gt;&amp;diams; 2,4-HEXADIENOIC ACID, CALCIUM SALT, (E,E)-&lt;br /&gt;&amp;diams; CALCIUM 2,4-HEXADIENOATE, (E,E)-&lt;br /&gt;&amp;diams; SORBIC ACID, CALCIUM SALT</t>
  </si>
  <si>
    <t xml:space="preserve"> PRESERVATIVE</t>
  </si>
  <si>
    <t xml:space="preserve"> 1592-23-0</t>
  </si>
  <si>
    <t xml:space="preserve"> CALCIUM STEARATE</t>
  </si>
  <si>
    <t xml:space="preserve"> &amp;diams; CALCIUM STEARATE&lt;br /&gt;&amp;diams; OCTADECANOIC ACID, CALCIUM SALT&lt;br /&gt;&amp;diams; CALCIUM OCTADECANOATE&lt;br /&gt;&amp;diams; STEARIC ACID, CALCIUM SALT&lt;br /&gt;&amp;diams; CALCIUM BIS(STEARATE)&lt;br /&gt;&amp;diams; CALCIUM DISTEARATE</t>
  </si>
  <si>
    <t xml:space="preserve"> ANTICAKING AGENT OR FREE-FLOW AGENT,&lt;br /&gt; EMULSIFIER OR EMULSIFIER SALT,&lt;br /&gt; FLAVORING AGENT OR ADJUVANT,&lt;br /&gt; FORMULATION AID,&lt;br /&gt; LUBRICANT OR RELEASE AGENT,&lt;br /&gt; STABILIZER OR THICKENER</t>
  </si>
  <si>
    <t xml:space="preserve"> 5793-94-2</t>
  </si>
  <si>
    <t xml:space="preserve"> CALCIUM STEAROYL-2-LACTYLATE</t>
  </si>
  <si>
    <t xml:space="preserve"> &amp;diams; CALCIUM STEAROYL-2-LACTYLATE&lt;br /&gt;&amp;diams; CALCIUM VERATE&lt;br /&gt;&amp;diams; CALCIUM 2-(1-CARBOXYETHOXY)-1-METHYL-2-OXOETHYLOCTADECANOATE&lt;br /&gt;&amp;diams; CALCIUM ALPHA-(ALPHA-(STEAROYLOXY)PROPIONYLOXY)PROPIONATE&lt;br /&gt;&amp;diams; OCTADECANOIC ACID, 2-(1-CARBOXYETHOXY)-1-METHYL-2-OXOETHYL ESTER, CALCIUM SALT&lt;br /&gt;&amp;diams; STEARIC ACID, ESTER WITH LACTATE OF LACTIC ACID, CA SALT&lt;br /&gt;&amp;diams; STEARIC ACID, ESTER WITH LACTIC ACID BIMOL. ESTER CALCIUM SALT&lt;br /&gt;&amp;diams; STEAROYL-2-LACTYLIC ACID, CALCIUM SALT</t>
  </si>
  <si>
    <t xml:space="preserve"> DOUGH STRENGTHENER,&lt;br /&gt; EMULSIFIER OR EMULSIFIER SALT,&lt;br /&gt; STABILIZER OR THICKENER,&lt;br /&gt; SURFACE-ACTIVE AGENT,&lt;br /&gt; TEXTURIZER</t>
  </si>
  <si>
    <t xml:space="preserve"> 977000-55-7</t>
  </si>
  <si>
    <t xml:space="preserve"> CALUMBA ROOT (JATRORRHIZA PALMATA (LAM.) MIERS)</t>
  </si>
  <si>
    <t xml:space="preserve"> &amp;diams; CALUMBA ROOT&lt;br /&gt;&amp;diams; JATRORRHIZA PALMATA ROOT&lt;br /&gt;&amp;diams; JATEORHIZA PALMATA ROOT&lt;br /&gt;&amp;diams; JATEORHIZA COLUMBA ROOT</t>
  </si>
  <si>
    <t xml:space="preserve"> 977000-74-0</t>
  </si>
  <si>
    <t xml:space="preserve"> CALUMBA ROOT, EXTRACT (JATRORRHIZA PALMATA (LAM.) MIERS)</t>
  </si>
  <si>
    <t xml:space="preserve"> &amp;diams; CALUMBA ROOT EXTRACT&lt;br /&gt;&amp;diams; CALUMBA FLUIDEXTRACT</t>
  </si>
  <si>
    <t xml:space="preserve"> 79-92-5</t>
  </si>
  <si>
    <t xml:space="preserve"> CAMPHENE</t>
  </si>
  <si>
    <t xml:space="preserve"> &amp;diams; CAMPHENE&lt;br /&gt;&amp;diams; 2,2-DIMETHYL-3-METHYLENENORBORNANE&lt;br /&gt;&amp;diams; 3,3-DIMETHYL-2-METHYLENENORCAMPHANE&lt;br /&gt;&amp;diams; BICYCLO(2.2.1)HEPTANE, 2,2-DIMETHYL-3-METHYLENE-&lt;br /&gt;&amp;diams; 2,2-DIMETHYL-3-METHYLENEBICYCLO(2.2.1)HEPTANE</t>
  </si>
  <si>
    <t xml:space="preserve"> 1727-68-0</t>
  </si>
  <si>
    <t xml:space="preserve"> CAMPHOLENE ACETATE</t>
  </si>
  <si>
    <t xml:space="preserve"> &amp;diams; CAMPHOLENYL ACETATE, ALPHA-&lt;br /&gt;&amp;diams; CAMPHOLENE ACETATE&lt;br /&gt;&amp;diams; 1-ACETOXY-2-(2,2,3-TRIMETHYL-3-CYCLOPENTENYL)ETHANE&lt;br /&gt;&amp;diams; 2-(2,2,3-TRIMETHYL-3-CYCLOPENTENYL)ETHYL ACETATE&lt;br /&gt;&amp;diams; 3-CYCLOPENTENE-1-ETHANOL, 2,2,3-TRIMETHYL-, ACETATE&lt;br /&gt;&amp;diams; 2,2,3-TRIMETHYL-3-CYCLOPENTENE-1-ETHANOL ACETATE</t>
  </si>
  <si>
    <t xml:space="preserve"> 1901-38-8</t>
  </si>
  <si>
    <t xml:space="preserve"> ALPHA-CAMPHOLENIC ALCOHOL</t>
  </si>
  <si>
    <t xml:space="preserve"> &amp;diams; CAMPHOLENOL, ALPHA-&lt;br /&gt;&amp;diams; CAMPHOLENIC ALCOHOL, ALPHA-&lt;br /&gt;&amp;diams; 2-(2,2,3-TRIMETHYLCYCLOPENT-3-EN-1-YL)ETHANOL&lt;br /&gt;&amp;diams; 2,2,3-TRIMETHYL-3-CYCLOPENTENE-1-ETHANOL&lt;br /&gt;&amp;diams; 3-CYCLOPENTENE-1-ETHANOL, 2,2,3-TRIMETHYL-</t>
  </si>
  <si>
    <t xml:space="preserve"> 464-49-3</t>
  </si>
  <si>
    <t xml:space="preserve"> D-CAMPHOR</t>
  </si>
  <si>
    <t xml:space="preserve"> &amp;diams; CAMPHOR, D-&lt;br /&gt;&amp;diams; FORMOSA CAMPHOR&lt;br /&gt;&amp;diams; LAUREL CAMPHOR&lt;br /&gt;&amp;diams; 1,7,7-TRIMETHYLBICYCLO(2.2.1)-2-HEPTANONE&lt;br /&gt;&amp;diams; 2-CAMPHANONE&lt;br /&gt;&amp;diams; 2-KETO-1,7,7-TRIMETHYLNORCAMPHANE&lt;br /&gt;&amp;diams; 1,7,7-TRIMETHYLBICYCLO(2.2.1)HEPTAN-2-ONE, (1R)-&lt;br /&gt;&amp;diams; 2-BORNANONE, (+)-&lt;br /&gt;&amp;diams; BICYCLO(2.2.1)HEPTAN-2-ONE, 1,7,7-TRIMETHYL-, (1R,4R)-&lt;br /&gt;&amp;diams; 1,7,7-TRIMETHYLBICYCLO(2.2.1)HEPTAN-2-ONE, (1R,4R)-&lt;br /&gt;&amp;diams; CAMPHOR, (1R,4R)-(+)-&lt;br /&gt;&amp;diams; BICYCLO(2.2.1)HEPTAN-2-ONE, 1,7,7,-TRIMETHYL-, (1R)-</t>
  </si>
  <si>
    <t xml:space="preserve"> COLOR OR COLORING ADJUNCT,&lt;br /&gt; FLAVOR ENHANCER,&lt;br /&gt; FLAVORING AGENT OR ADJUVANT</t>
  </si>
  <si>
    <t xml:space="preserve"> 8008-51-3</t>
  </si>
  <si>
    <t xml:space="preserve"> CAMPHOR, JAPANESE, WHITE, OIL (CINNAMOMUM CAMPHORA (L.) NEES ET EBERM.)</t>
  </si>
  <si>
    <t xml:space="preserve"> &amp;diams; CAMPHOR OIL, RECTIFIED&lt;br /&gt;&amp;diams; CAMPHOR OIL, JAPANESE&lt;br /&gt;&amp;diams; CAMPHOR OIL, WHITE&lt;br /&gt;&amp;diams; CINNAMOMUM CAMPHORA OIL&lt;br /&gt;&amp;diams; CAMPHOR TREE OIL&lt;br /&gt;&amp;diams; OILS, CAMPHOR</t>
  </si>
  <si>
    <t xml:space="preserve"> 8022-91-1</t>
  </si>
  <si>
    <t xml:space="preserve"> CAMPHOR OIL, FORMOSAN HO-SHO, LEAVES (CINNAMOMUM CAMPHORA)</t>
  </si>
  <si>
    <t xml:space="preserve"> &amp;diams; HO-SHO OIL&lt;br /&gt;&amp;diams; HO LEAF OIL&lt;br /&gt;&amp;diams; OILS, HO-SHO&lt;br /&gt;&amp;diams; SHIU OIL&lt;br /&gt;&amp;diams; CAMPHOR LEAF OIL, FORMOSAN HO-SHO&lt;br /&gt;&amp;diams; CINNAMOMUM CAMPHORA LINALOOLIFERA LEAF OIL</t>
  </si>
  <si>
    <t xml:space="preserve"> 68606-83-7</t>
  </si>
  <si>
    <t xml:space="preserve"> CANANGA, OIL (CANANGA ODORATA HOOK. F. AND THOMS.)</t>
  </si>
  <si>
    <t xml:space="preserve"> &amp;diams; CANANGA OIL&lt;br /&gt;&amp;diams; CANANGIUM ODORATUM MACROPHYLLA OIL&lt;br /&gt;&amp;diams; OILS, CANANGA&lt;br /&gt;&amp;diams; CANANGA ODORATA OIL</t>
  </si>
  <si>
    <t xml:space="preserve"> 8006-44-8</t>
  </si>
  <si>
    <t xml:space="preserve"> CANDELILLA WAX (WAX FROM STEMS AND BRANCHES OF EUPHORBIA CERIFERA)</t>
  </si>
  <si>
    <t xml:space="preserve"> &amp;diams; CANDELILLA WAX&lt;br /&gt;&amp;diams; EUPHORBIA CERIFERA WAX</t>
  </si>
  <si>
    <t xml:space="preserve"> FLAVORING AGENT OR ADJUVANT,&lt;br /&gt; LUBRICANT OR RELEASE AGENT,&lt;br /&gt; MASTICATORY SUBSTANCE,&lt;br /&gt; PROCESSING AID,&lt;br /&gt; SURFACE-FINISHING AGENT</t>
  </si>
  <si>
    <t xml:space="preserve"> 977075-47-0</t>
  </si>
  <si>
    <t xml:space="preserve"> CANDIDA GUILLIERMONDII</t>
  </si>
  <si>
    <t xml:space="preserve"> &amp;diams; CANDIDA GUILLIERMONDII</t>
  </si>
  <si>
    <t xml:space="preserve"> 67892-25-5</t>
  </si>
  <si>
    <t xml:space="preserve"> CANDIDA LIPOLYTICA</t>
  </si>
  <si>
    <t xml:space="preserve"> &amp;diams; CANDIDA LIPOLYTICA&lt;br /&gt;&amp;diams; SACCHAROMYCOPSIS LIPOLYTICA&lt;br /&gt;&amp;diams; YARROWIA LIPOLYTICA</t>
  </si>
  <si>
    <t xml:space="preserve"> 514-78-3</t>
  </si>
  <si>
    <t xml:space="preserve"> CANTHAXANTHIN</t>
  </si>
  <si>
    <t xml:space="preserve"> &amp;diams; CANTHAXANTHIN&lt;br /&gt;&amp;diams; CAROTENE-4,4'-DIONE, BETA-&lt;br /&gt;&amp;diams; CANTHAXANTHIN, TRANS-&lt;br /&gt;&amp;diams; C.I. FOOD ORANGE 8&lt;br /&gt;&amp;diams; 4,4'-DIOXO-BETA-CAROTENE&lt;br /&gt;&amp;diams; BETA,BETA-CAROTENE-4,4'-DIONE&lt;br /&gt;&amp;diams; BETA-CAROTENE-4,4'-DIONE&lt;br /&gt;&amp;diams; BETA-CAROTENE-4,4'-DIONE, ALL-TRANS-&lt;br /&gt;&amp;diams; CAROPHYLL RED</t>
  </si>
  <si>
    <t xml:space="preserve"> 977050-25-1</t>
  </si>
  <si>
    <t xml:space="preserve"> CAPERS (CAPPARIS SPINOSA L.)</t>
  </si>
  <si>
    <t xml:space="preserve"> &amp;diams; CAPER&lt;br /&gt;&amp;diams; CAPPARIS SPINOSA&lt;br /&gt;&amp;diams; CAPRE (CAPPARIS SPINOSA)</t>
  </si>
  <si>
    <t xml:space="preserve"> 105-60-2</t>
  </si>
  <si>
    <t xml:space="preserve"> CAPROLACTAM</t>
  </si>
  <si>
    <t xml:space="preserve"> &amp;diams; CAPROLACTAM&lt;br /&gt;&amp;diams; EPSILON-CAPROLACTAM&lt;br /&gt;&amp;diams; 2H-AZEPIN-2-ONE, HEXAHYDRO-&lt;br /&gt;&amp;diams; HEXAHYDRO-2H-AZEPIN-2-ONE&lt;br /&gt;&amp;diams; 6-CAPROLACTAM&lt;br /&gt;&amp;diams; AMINOCAPROIC LACTAM&lt;br /&gt;&amp;diams; 2-OXOHEXAMETHYLENIMINE&lt;br /&gt;&amp;diams; 2-KETOHEXAMETHYLENIMINE&lt;br /&gt;&amp;diams; HEXANOLACTAM&lt;br /&gt;&amp;diams; 1,6-hexalactam</t>
  </si>
  <si>
    <t xml:space="preserve"> 977007-72-9</t>
  </si>
  <si>
    <t xml:space="preserve"> CAPSICUM (CAPSICUM SPP.)</t>
  </si>
  <si>
    <t xml:space="preserve"> &amp;diams; PEPPER, GREEN OR RED&lt;br /&gt;&amp;diams; CAPSICUM ANNUUM&lt;br /&gt;&amp;diams; PIMENT (CAPSICUM SPP.)&lt;br /&gt;&amp;diams; PIMENT (CAPSICUM ANNUUM)</t>
  </si>
  <si>
    <t xml:space="preserve"> 977018-42-0</t>
  </si>
  <si>
    <t xml:space="preserve"> CAPSICUM EXTRACT (CAPSICUM SPP.)</t>
  </si>
  <si>
    <t xml:space="preserve"> &amp;diams; CAPSICUM EXTRACT&lt;br /&gt;&amp;diams; CAPSICUM FRUIT EXTRACT&lt;br /&gt;&amp;diams; SPANISH PEPPER FRUIT EXTRACT</t>
  </si>
  <si>
    <t xml:space="preserve"> 8023-77-6</t>
  </si>
  <si>
    <t xml:space="preserve"> CAPSICUM, OLEORESIN (CAPSICUM SPP.)</t>
  </si>
  <si>
    <t xml:space="preserve"> &amp;diams; CAPSICUM OLEORESIN&lt;br /&gt;&amp;diams; OLEORESIN CAPSICUM&lt;br /&gt;&amp;diams; RED PEPPER OLEORESIN&lt;br /&gt;&amp;diams; RESINS, OLEO-, CAPSICUM</t>
  </si>
  <si>
    <t xml:space="preserve"> 8028-89-5</t>
  </si>
  <si>
    <t xml:space="preserve"> CARAMEL</t>
  </si>
  <si>
    <t xml:space="preserve"> &amp;diams; CARAMEL&lt;br /&gt;&amp;diams; CARAMEL COLOR&lt;br /&gt;&amp;diams; C.I. NATURAL BROWN 10&lt;br /&gt;&amp;diams; CARAMEL FLAVOR&lt;br /&gt;&amp;diams; CARAMEL LIQUID&lt;br /&gt;&amp;diams; CARAMEL (COLOR)&lt;br /&gt;&amp;diams; NATURAL BROWN 10&lt;br /&gt;&amp;diams; BURNT SUGAR</t>
  </si>
  <si>
    <t xml:space="preserve"> COLOR OR COLORING ADJUNCT,&lt;br /&gt; FLAVORING AGENT OR ADJUVANT,&lt;br /&gt; NUTRITIVE SWEETENER,&lt;br /&gt; SOLVENT OR VEHICLE</t>
  </si>
  <si>
    <t xml:space="preserve"> 977001-27-6</t>
  </si>
  <si>
    <t xml:space="preserve"> CARAWAY (CARUM CARVI L.)</t>
  </si>
  <si>
    <t xml:space="preserve"> &amp;diams; CARAWAY&lt;br /&gt;&amp;diams; CUMIN DES PRES&lt;br /&gt;&amp;diams; KUMMEL&lt;br /&gt;&amp;diams; CARUM CARVI&lt;br /&gt;&amp;diams; CARVI (CARVUM CARVI)</t>
  </si>
  <si>
    <t xml:space="preserve"> 101.22 ,  133.127</t>
  </si>
  <si>
    <t xml:space="preserve"> 977017-84-7</t>
  </si>
  <si>
    <t xml:space="preserve"> CARAWAY, BLACK (NIGELLA SATIVA L.)</t>
  </si>
  <si>
    <t xml:space="preserve"> &amp;diams; CUMIN, BLACK&lt;br /&gt;&amp;diams; CARAWAY, BLACK&lt;br /&gt;&amp;diams; NIGELLA SATIVA&lt;br /&gt;&amp;diams; NIGELLE (NIGELLA SATIVA)&lt;br /&gt;&amp;diams; NUTMEG FLOWER&lt;br /&gt;&amp;diams; ROMAN CORIANDER&lt;br /&gt;&amp;diams; BLACK CUMIN&lt;br /&gt;&amp;diams; BLACK CARAWAY</t>
  </si>
  <si>
    <t xml:space="preserve"> 8000-42-8</t>
  </si>
  <si>
    <t xml:space="preserve"> CARAWAY, OIL (CARUM CARVI L.)</t>
  </si>
  <si>
    <t xml:space="preserve"> &amp;diams; CARAWAY OIL&lt;br /&gt;&amp;diams; OILS, CARAWAY&lt;br /&gt;&amp;diams; CARUM CARVI OIL</t>
  </si>
  <si>
    <t xml:space="preserve"> 977050-27-3</t>
  </si>
  <si>
    <t xml:space="preserve"> CARBOHYDRASE AND CELLULASE FROM ASPERGILLUS NIGER</t>
  </si>
  <si>
    <t xml:space="preserve"> &amp;diams; CARBOHYDRASE/CELLULASE ENZYME PREPARATION, ASPERGILLUS NIGER</t>
  </si>
  <si>
    <t xml:space="preserve"> 977082-97-5</t>
  </si>
  <si>
    <t xml:space="preserve"> CARBOHYDRASE AND PROTEASE, MIXTURE, FROM BACILLUS SUBTILIS</t>
  </si>
  <si>
    <t xml:space="preserve"> &amp;diams; CARBOHYDRASE/PROTEINASE ENZYME PREPARATION, BACILLUS SUBTILIS&lt;br /&gt;&amp;diams; CARBOHYDRASE/PROTEASE ENZYME PREPARATION, BACILLUS SUBTILIS</t>
  </si>
  <si>
    <t xml:space="preserve"> 977017-32-5</t>
  </si>
  <si>
    <t xml:space="preserve"> CARBOHYDRASE FROM ASPERGILLUS ORYZAE</t>
  </si>
  <si>
    <t xml:space="preserve"> &amp;diams; CARBOHYDRASE, ASPERGILLUS ORYZAE</t>
  </si>
  <si>
    <t xml:space="preserve"> 977184-71-6</t>
  </si>
  <si>
    <t xml:space="preserve"> CARBOHYDRASE FROM BACILLUS AMYLOLIQUEFACIENS</t>
  </si>
  <si>
    <t xml:space="preserve"> &amp;diams; CARBOHYDRASE, BACILLUS AMYLOLIQUEFACIENS</t>
  </si>
  <si>
    <t xml:space="preserve"> 977043-27-8</t>
  </si>
  <si>
    <t xml:space="preserve"> CARBOHYDRASE FROM BACILLUS LICHENIFORMIS</t>
  </si>
  <si>
    <t xml:space="preserve"> &amp;diams; CARBOHYDRASE, BACILLUS LICHENIFORMIS</t>
  </si>
  <si>
    <t xml:space="preserve"> 977031-70-1</t>
  </si>
  <si>
    <t xml:space="preserve"> CARBOHYDRASE FROM BACILLUS SUBTILIS</t>
  </si>
  <si>
    <t xml:space="preserve"> &amp;diams; CARBOHYDRASE, BACILLUS SUBTILIS</t>
  </si>
  <si>
    <t xml:space="preserve"> 977050-28-4</t>
  </si>
  <si>
    <t xml:space="preserve"> CARBOHYDRASE FROM RHIZOPUS ORYZAE</t>
  </si>
  <si>
    <t xml:space="preserve"> &amp;diams; CARBOHYDRASE, RHIZOPUS ORYZAE</t>
  </si>
  <si>
    <t xml:space="preserve"> 977031-72-3</t>
  </si>
  <si>
    <t xml:space="preserve"> CARBOHYDRASE FROM SACCHAROMYCES SPP.</t>
  </si>
  <si>
    <t xml:space="preserve"> &amp;diams; CARBOHYDRASE, SACCHAROMYCES</t>
  </si>
  <si>
    <t xml:space="preserve"> 977083-17-2</t>
  </si>
  <si>
    <t xml:space="preserve"> CARBOHYDRASE/PROTEINASE PREPARATION, BACILLUS LICHENIFORMIS</t>
  </si>
  <si>
    <t xml:space="preserve"> &amp;diams; CARBOHYDRASE/PROTEINASE ENZYME PREPARATION, BACILLUS LICHENIFORMIS&lt;br /&gt;&amp;diams; CARBOHYDRASE/PROTEASE ENZYME PREPARATION, BACILLUS LICHENIFORMIS</t>
  </si>
  <si>
    <t xml:space="preserve"> 9000-11-7</t>
  </si>
  <si>
    <t xml:space="preserve"> CARBOXYMETHYL CELLULOSE</t>
  </si>
  <si>
    <t xml:space="preserve"> &amp;diams; CARBOXYMETHYL CELLULOSE&lt;br /&gt;&amp;diams; CELLULOSE, CARBOXYMETHYL ETHER&lt;br /&gt;&amp;diams; CARBOXY METHYLCELLULOSE ETHER&lt;br /&gt;&amp;diams; CELLULOSE, CROSS-LINKED, ALKYLATED WITH EPICHLOROHYDRIN AND PROPYLENE OXIDE, CARBOXYMETHYLATED&lt;br /&gt;&amp;diams; GLYCOLIC ACID CELLULOSE ETHER</t>
  </si>
  <si>
    <t xml:space="preserve"> ANTICAKING AGENT OR FREE-FLOW AGENT,&lt;br /&gt; DRYING AGENT,&lt;br /&gt; EMULSIFIER OR EMULSIFIER SALT,&lt;br /&gt; HUMECTANT,&lt;br /&gt; SOLVENT OR VEHICLE,&lt;br /&gt; STABILIZER OR THICKENER,&lt;br /&gt; SURFACE-ACTIVE AGENT</t>
  </si>
  <si>
    <t xml:space="preserve"> 9004-30-2</t>
  </si>
  <si>
    <t xml:space="preserve"> CARBOXYMETHYL HYDROXYETHYL CELLULOSE</t>
  </si>
  <si>
    <t xml:space="preserve"> &amp;diams; CARBOXYMETHYL HYDROXYETHYL CELLULOSE&lt;br /&gt;&amp;diams; CELLULOSE, CARBOXYMETHYL 2-HYDROXYETHYL ETHER&lt;br /&gt;&amp;diams; CARBOXYMETHYL 2-HYDROXYETHYLCELLULOSE ETHER&lt;br /&gt;&amp;diams; CELLULOSE, CARBOXYMETHYL HYDROXYETHYL ETHER</t>
  </si>
  <si>
    <t xml:space="preserve"> EMULSIFIER OR EMULSIFIER SALT,&lt;br /&gt; STABILIZER OR THICKENER</t>
  </si>
  <si>
    <t xml:space="preserve"> 977005-95-0</t>
  </si>
  <si>
    <t xml:space="preserve"> CARDAMOM (ELLETARIA CARDAMOMUM (L.) MATON)</t>
  </si>
  <si>
    <t xml:space="preserve"> &amp;diams; CARDAMOM&lt;br /&gt;&amp;diams; CARDAMON&lt;br /&gt;&amp;diams; ELETTARIS CARDAMOMUM&lt;br /&gt;&amp;diams; CARDEMOME (ELETTARIA CARDAMONUM)&lt;br /&gt;&amp;diams; ELETTARIA CARDAMOMUM&lt;br /&gt;&amp;diams; MALABAR CARDAMOM&lt;br /&gt;&amp;diams; CEYLON CARDAMOM</t>
  </si>
  <si>
    <t xml:space="preserve"> 977090-82-6</t>
  </si>
  <si>
    <t xml:space="preserve"> CARDAMOM OLEORESIN</t>
  </si>
  <si>
    <t xml:space="preserve"> &amp;diams; CARDAMOM OLEORESIN&lt;br /&gt;&amp;diams; ELETTARIA CARDAMOMUM OLEORESIN</t>
  </si>
  <si>
    <t xml:space="preserve"> 8000-66-6</t>
  </si>
  <si>
    <t xml:space="preserve"> CARDAMOM SEED, OIL (ELLETARIA CARDAMOMUM (L.) MATON)</t>
  </si>
  <si>
    <t xml:space="preserve"> &amp;diams; CARDAMOM OIL&lt;br /&gt;&amp;diams; CARDAMOM SEED OIL&lt;br /&gt;&amp;diams; ELETTARIA CARDAMOMUM OIL&lt;br /&gt;&amp;diams; OILS, CARDAMOM</t>
  </si>
  <si>
    <t xml:space="preserve"> 13466-78-9</t>
  </si>
  <si>
    <t xml:space="preserve"> 3-CARENE</t>
  </si>
  <si>
    <t xml:space="preserve"> &amp;diams; 3-CARENE&lt;br /&gt;&amp;diams; CAR-3-ENE&lt;br /&gt;&amp;diams; DELTA3-CARENE&lt;br /&gt;&amp;diams; BICYCLO(4.1.0)HEPT-3-ENE, 3,7,7-TRIMETHYL-&lt;br /&gt;&amp;diams; 3,7,7-TRIMETHYLBICYCLO(4.1.0)HEPT-3-ENE&lt;br /&gt;&amp;diams; ISODIPRENE&lt;br /&gt;&amp;diams; 4,7,7-TRIMETHYL-3-NORCARENE&lt;br /&gt;&amp;diams; 3-CARENE, (+-)-</t>
  </si>
  <si>
    <t xml:space="preserve"> 1390-65-4</t>
  </si>
  <si>
    <t xml:space="preserve"> CARMINE (COCCUS CACTI L.)</t>
  </si>
  <si>
    <t xml:space="preserve"> &amp;diams; CARMINE&lt;br /&gt;&amp;diams; COCHINEAL EXTRACT LAKE&lt;br /&gt;&amp;diams; B ROSE LIQUID&lt;br /&gt;&amp;diams; COLOR, CARMINE</t>
  </si>
  <si>
    <t xml:space="preserve"> 8015-86-9</t>
  </si>
  <si>
    <t xml:space="preserve"> CARNAUBA WAX (COPERNICIA CERIFERA (ARRUDA) MART.)</t>
  </si>
  <si>
    <t xml:space="preserve"> &amp;diams; CARNAUBA WAX&lt;br /&gt;&amp;diams; WAX, CARNAUBA&lt;br /&gt;&amp;diams; BRAZIL WAX&lt;br /&gt;&amp;diams; COPERNICIA CERIFERA WAX</t>
  </si>
  <si>
    <t xml:space="preserve"> ANTICAKING AGENT OR FREE-FLOW AGENT,&lt;br /&gt; FORMULATION AID,&lt;br /&gt; LUBRICANT OR RELEASE AGENT,&lt;br /&gt; PH CONTROL AGENT,&lt;br /&gt; PROCESSING AID,&lt;br /&gt; SURFACE-FINISHING AGENT</t>
  </si>
  <si>
    <t xml:space="preserve"> 541-15-1</t>
  </si>
  <si>
    <t xml:space="preserve"> L-CARNITINE</t>
  </si>
  <si>
    <t xml:space="preserve"> &amp;diams; CARNITINE&lt;br /&gt;&amp;diams; 1-PROPANAMINIUM, 3-CARBOXY-2-HYDROXY-N,N,N-TRIMETHYL-, INNER SALT, (2R)-&lt;br /&gt;&amp;diams; CARNITINE, (-)-&lt;br /&gt;&amp;diams; AMMONIUM, (3-CARBOXY-2-HYDROXYPROPYL)TRIMETHYL-, HYDROXIDE, INNER SALT, L-&lt;br /&gt;&amp;diams; VITAMIN BT&lt;br /&gt;&amp;diams; LEVOCARNITINE</t>
  </si>
  <si>
    <t xml:space="preserve"> 84961-45-5</t>
  </si>
  <si>
    <t xml:space="preserve"> CAROB BEAN, EXTRACT (CERATONIA SILIQUA L.)</t>
  </si>
  <si>
    <t xml:space="preserve"> &amp;diams; CAROB BEAN EXTRACT&lt;br /&gt;&amp;diams; LOCUST BEAN EXTRACT&lt;br /&gt;&amp;diams; ST. JOHN'S BREAD EXTRACT&lt;br /&gt;&amp;diams; CERATONIA SILIQUA EXTRACT&lt;br /&gt;&amp;diams; CERATONIA SILIQUA, EXT.</t>
  </si>
  <si>
    <t xml:space="preserve"> 7235-40-7</t>
  </si>
  <si>
    <t xml:space="preserve"> BETA-CAROTENE</t>
  </si>
  <si>
    <t xml:space="preserve"> &amp;diams; BETA-CAROTENE&lt;br /&gt;&amp;diams; CAROTENE, TRANS-BETA-&lt;br /&gt;&amp;diams; CAROTENE, BETA-&lt;br /&gt;&amp;diams; BETA,BETA-CAROTENE&lt;br /&gt;&amp;diams; CAROTENE, BETA,BETA-&lt;br /&gt;&amp;diams; BETA-CAROTENE, ALL-TRANS-&lt;br /&gt;&amp;diams; C.I. FOOD ORANGE 5&lt;br /&gt;&amp;diams; 1,1'-(3,7,12,16-TETRAMETHYL-1,3,5,7,9,11,13,15,17-OCTADECANONAENE-1,18-DIYL)BIS(2,6,6-TRIMETHYLCYCLOHEXENE), (ALL E)-</t>
  </si>
  <si>
    <t xml:space="preserve"> ANTIOXIDANT,&lt;br /&gt; COLOR OR COLORING ADJUNCT,&lt;br /&gt; FLAVOR ENHANCER,&lt;br /&gt; FLAVORING AGENT OR ADJUVANT,&lt;br /&gt; NUTRIENT SUPPLEMENT,&lt;br /&gt; PROCESSING AID,&lt;br /&gt; SURFACE-FINISHING AGENT</t>
  </si>
  <si>
    <t xml:space="preserve"> 101.9 ,  166.110</t>
  </si>
  <si>
    <t xml:space="preserve"> 60063-90-3</t>
  </si>
  <si>
    <t xml:space="preserve"> CARRAGEENAN, AMMONIUM SALT OF</t>
  </si>
  <si>
    <t xml:space="preserve"> &amp;diams; AMMONIUM CARRAGEENAN&lt;br /&gt;&amp;diams; CARRAGEENAN, AMMONIUM SALT&lt;br /&gt;&amp;diams; AMMONIUM CARRAGEENATE&lt;br /&gt;&amp;diams; CARRAGEENHAN, AMMONIUM</t>
  </si>
  <si>
    <t xml:space="preserve"> 977089-28-3</t>
  </si>
  <si>
    <t xml:space="preserve"> CARRAGEENAN, AMMONIUM SALT OF, WITH POLYSORBATE 80</t>
  </si>
  <si>
    <t xml:space="preserve"> &amp;diams; AMMONIUM CARRAGEENAN WITH POLYSORBATE 80&lt;br /&gt;&amp;diams; CARRAGEENAN, AMMONIUM SALT WITH POLYSORBATE 80</t>
  </si>
  <si>
    <t xml:space="preserve"> 9049-05-2</t>
  </si>
  <si>
    <t xml:space="preserve"> CARRAGEENAN, CALCIUM SALT OF</t>
  </si>
  <si>
    <t xml:space="preserve"> &amp;diams; CALCIUM CARRAGEENAN&lt;br /&gt;&amp;diams; CARRAGEENAN, CALCIUM SALT&lt;br /&gt;&amp;diams; CARRAGEENAN, CALCIUM</t>
  </si>
  <si>
    <t xml:space="preserve"> 977089-29-4</t>
  </si>
  <si>
    <t xml:space="preserve"> CARRAGEENAN, CALCIUM SALT OF, WITH POLYSORBATE 80</t>
  </si>
  <si>
    <t xml:space="preserve"> &amp;diams; CALCIUM CARRAGEENAN WITH POLYSORBATE 80&lt;br /&gt;&amp;diams; CARRAGEENAN, CALCIUM SALT WITH POLYSORBATE 80</t>
  </si>
  <si>
    <t xml:space="preserve"> 64366-24-1</t>
  </si>
  <si>
    <t xml:space="preserve"> CARRAGEENAN, POTASSIUM SALT OF</t>
  </si>
  <si>
    <t xml:space="preserve"> &amp;diams; POTASSIUM CARRAGEENAN&lt;br /&gt;&amp;diams; CARRAGEENAN, POTASSIUM SALT</t>
  </si>
  <si>
    <t xml:space="preserve"> 977089-30-7</t>
  </si>
  <si>
    <t xml:space="preserve"> CARRAGEENAN, POTASSIUM SALT OF, WITH POLYSORBATE 80</t>
  </si>
  <si>
    <t xml:space="preserve"> &amp;diams; POTASSIUM CARRAGEENAN WITH POLYSORBATE 80&lt;br /&gt;&amp;diams; CARRAGEENAN, POTASSIUM SALT WITH POLYSORBATE 80</t>
  </si>
  <si>
    <t xml:space="preserve"> 977043-70-1</t>
  </si>
  <si>
    <t xml:space="preserve"> CARRAGEENAN SALTS WITH POLYSORBATE 80</t>
  </si>
  <si>
    <t xml:space="preserve"> &amp;diams; CARRAGEENAN SALT WITH POLYSORBATE 80</t>
  </si>
  <si>
    <t xml:space="preserve"> DRYING AGENT</t>
  </si>
  <si>
    <t xml:space="preserve"> 9061-82-9</t>
  </si>
  <si>
    <t xml:space="preserve"> CARRAGEENAN, SODIUM SALT OF</t>
  </si>
  <si>
    <t xml:space="preserve"> &amp;diams; SODIUM CARRAGEENAN&lt;br /&gt;&amp;diams; CARRAGEENAN, SODIUM SALT</t>
  </si>
  <si>
    <t xml:space="preserve"> FLAVOR ENHANCER,&lt;br /&gt; FLAVORING AGENT OR ADJUVANT,&lt;br /&gt; STABILIZER OR THICKENER</t>
  </si>
  <si>
    <t xml:space="preserve"> 977089-31-8</t>
  </si>
  <si>
    <t xml:space="preserve"> CARRAGEENAN, SODIUM SALT OF, WITH POLYSORBATE 80</t>
  </si>
  <si>
    <t xml:space="preserve"> &amp;diams; SODIUM CARRAGEENAN WITH POLYSORBATE 80&lt;br /&gt;&amp;diams; CARRAGEENAN, SODIUM SALT WITH POLYSORBATE 80</t>
  </si>
  <si>
    <t xml:space="preserve"> 977043-68-7</t>
  </si>
  <si>
    <t xml:space="preserve"> CARRAGEENAN WITH POLYSORBATE 80</t>
  </si>
  <si>
    <t xml:space="preserve"> &amp;diams; CARRAGEENAN WITH POLYSORBATE 80</t>
  </si>
  <si>
    <t xml:space="preserve"> 8015-88-1</t>
  </si>
  <si>
    <t xml:space="preserve"> CARROT, OIL (DAUCUS CAROTA L.)</t>
  </si>
  <si>
    <t xml:space="preserve"> &amp;diams; CARROT OIL&lt;br /&gt;&amp;diams; WILD CARROT OIL&lt;br /&gt;&amp;diams; QUEEN ANN'S LACE OIL&lt;br /&gt;&amp;diams; CARROT SEED OIL&lt;br /&gt;&amp;diams; OILS, CARROT&lt;br /&gt;&amp;diams; DAUCUS CAROTA OIL&lt;br /&gt;&amp;diams; OIL, CARROT (CARROT OLEORESINS)</t>
  </si>
  <si>
    <t xml:space="preserve"> 499-75-2</t>
  </si>
  <si>
    <t xml:space="preserve"> CARVACROL</t>
  </si>
  <si>
    <t xml:space="preserve"> &amp;diams; CARVACROL&lt;br /&gt;&amp;diams; 2-HYDROXY-P-CYMENE&lt;br /&gt;&amp;diams; ISOTHYMOL&lt;br /&gt;&amp;diams; 1-METHYL-2-HYDROXY-4-ISOPROPYLBENZENE&lt;br /&gt;&amp;diams; 2-METHYL-5-ISOPROPYLPHENOL&lt;br /&gt;&amp;diams; 2-P-CYMENOL&lt;br /&gt;&amp;diams; 5-ISOPROPYL-O-CRESOL&lt;br /&gt;&amp;diams; 5-ISOPROPYL-2-METHYLPHENOL&lt;br /&gt;&amp;diams; CYMOPHENOL&lt;br /&gt;&amp;diams; CYMENE-2-OL, P-&lt;br /&gt;&amp;diams; PHENOL, 2-METHYL-5-(1-METHYLETHYL)-&lt;br /&gt;&amp;diams; 2-METHYL-5-(1-METHYLETHYL)PHENOL&lt;br /&gt;&amp;diams; 6-METHYL-3-ISOPROPYLPHENOL</t>
  </si>
  <si>
    <t xml:space="preserve"> 4732-13-2</t>
  </si>
  <si>
    <t xml:space="preserve"> CARVACRYL ETHYL ETHER</t>
  </si>
  <si>
    <t xml:space="preserve"> &amp;diams; CARVACRYL ETHYL ETHER&lt;br /&gt;&amp;diams; BENZENE, 2-ETHOXY-1-METHYL-4-(1-METHYLETHYL)-&lt;br /&gt;&amp;diams; ETHYL CARVACRYL ETHER&lt;br /&gt;&amp;diams; ETHYL CARVACROL&lt;br /&gt;&amp;diams; PHENETOLE, 5-ISOPROPYL-2-METHYL-&lt;br /&gt;&amp;diams; 2-ETHOXY-P-CYMENE&lt;br /&gt;&amp;diams; 2-ETHOXY-1-METHYL-4-(1-METHYLETHYL)BENZENE&lt;br /&gt;&amp;diams; 5-ISOPROPYL-2-METHYLPHENETOLE</t>
  </si>
  <si>
    <t xml:space="preserve"> 99-48-9</t>
  </si>
  <si>
    <t xml:space="preserve"> CARVEOL</t>
  </si>
  <si>
    <t xml:space="preserve"> &amp;diams; CARVEOL&lt;br /&gt;&amp;diams; P-MENTHA-6,8-DIEN-2-OL&lt;br /&gt;&amp;diams; P-MENTHA-1,8-DIEN-6-OL&lt;br /&gt;&amp;diams; 1-METHYL-4-ISOPROPENYL-6-CYCLOHEXEN-2-OL&lt;br /&gt;&amp;diams; 2-CYCLOHEXEN-1-OL, 2-METHYL-5-(1-METHYLETHENYL)-&lt;br /&gt;&amp;diams; 2-METHYL-5-(1-METHYLETHENYL)-2-CYCLOHEXEN-1-OL</t>
  </si>
  <si>
    <t xml:space="preserve"> 562-74-3</t>
  </si>
  <si>
    <t xml:space="preserve"> 4-CARVOMENTHENOL</t>
  </si>
  <si>
    <t xml:space="preserve"> &amp;diams; 4-CARVOMENTHENOL&lt;br /&gt;&amp;diams; TERPINEN-4-OL&lt;br /&gt;&amp;diams; 4-TERPINENOL, DL-&lt;br /&gt;&amp;diams; P-MENTH-1-EN-4-OL&lt;br /&gt;&amp;diams; 1-P-MENTHEN-4-OL&lt;br /&gt;&amp;diams; 1-MENTHENE-4-OL&lt;br /&gt;&amp;diams; 3-CYCLOHEXEN-1-OL, 4-METHYL-1-(1-METHYLETHYL)-&lt;br /&gt;&amp;diams; 4-METHYL-1-(1-METHYLETHYL)-3-CYCLOHEXEN-1-OL&lt;br /&gt;&amp;diams; 4-METHYL-1-ISOPROPYL-3-CYCLOHEXEN-1-OL&lt;br /&gt;&amp;diams; 1-METHYL-4-ISOPROPYL-1-CYCLOHEXEN-4-OL&lt;br /&gt;&amp;diams; 1-TERPINEN-4-OL&lt;br /&gt;&amp;diams; 4-TERPINENOL, (+-)-&lt;br /&gt;&amp;diams; 1-(1-Methylethyl)-4-methyl-3-cyclohexen-1-ol</t>
  </si>
  <si>
    <t xml:space="preserve"> 499-69-4</t>
  </si>
  <si>
    <t xml:space="preserve"> CARVOMENTHOL</t>
  </si>
  <si>
    <t xml:space="preserve"> &amp;diams; CARVOMENTHOL&lt;br /&gt;&amp;diams; HEXAHYDROCARVACROL&lt;br /&gt;&amp;diams; MENTHAN-2-OL, P-&lt;br /&gt;&amp;diams; 1-METHYL-4-ISOPROPYL-2-CYCLOHEXANOL&lt;br /&gt;&amp;diams; 3-ISOPROPYL-6-METHYLCYCLOHEXANOL&lt;br /&gt;&amp;diams; P-MENTHAN-2-OL&lt;br /&gt;&amp;diams; CYCLOHEXANOL, 2-METHYL-5-(1-METHYLETHYL)-, (1ALPHA,2BETA,5ALPHA)-</t>
  </si>
  <si>
    <t xml:space="preserve"> 99-49-0</t>
  </si>
  <si>
    <t xml:space="preserve"> CARVONE</t>
  </si>
  <si>
    <t xml:space="preserve"> &amp;diams; CARVONE&lt;br /&gt;&amp;diams; 1-CARVONE&lt;br /&gt;&amp;diams; CARVOL&lt;br /&gt;&amp;diams; P-MENTHA-6,8-DIEN-2-ONE&lt;br /&gt;&amp;diams; 6,8(9)-P-MENTHADIEN-2-ONE&lt;br /&gt;&amp;diams; 2-CYCLOHEXEN-1-ONE, 2-METHYL-5-(1-METHYLETHENYL)-&lt;br /&gt;&amp;diams; 2-METHYL-5-(1-METHYLETHENYL)-2-CYCLOHEXEN-1-ONE&lt;br /&gt;&amp;diams; 1-METHYL-4-ISOPROPENYL-6-CYCLOHEXEN-2-ONE</t>
  </si>
  <si>
    <t xml:space="preserve"> 18383-49-8</t>
  </si>
  <si>
    <t xml:space="preserve"> CIS-CARVONE OXIDE</t>
  </si>
  <si>
    <t xml:space="preserve"> &amp;diams; CARVONE OXIDE, CIS-&lt;br /&gt;&amp;diams; 1,6-EPOXY-P-MENTH-8-EN-2-ONE, (1S,4R,6S)-&lt;br /&gt;&amp;diams; P-MENTH-8-EN-2-ONE, 1,6-EPOXY-, (1S,4R6S)-&lt;br /&gt;&amp;diams; 7-OXABICYCLO(4.1.0)HEPTAN-2-ONE, 1-METHYL-4-(1-METHYLETHENYL)-, (1S-(1ALPHA,4BETA,6ALPHA))-&lt;br /&gt;&amp;diams; 1-METHYL-4-(1-METHYLETHENYL)-7-OXABICYCLO(4.1.0)HEPTAN-2-ONE, (1S-(1ALPHA,4BETA,6ALPHA))-</t>
  </si>
  <si>
    <t xml:space="preserve"> 97-42-7</t>
  </si>
  <si>
    <t xml:space="preserve"> CARVYL ACETATE</t>
  </si>
  <si>
    <t xml:space="preserve"> &amp;diams; CARVYL ACETATE&lt;br /&gt;&amp;diams; CARVEOL ACETATE&lt;br /&gt;&amp;diams; P-MENTHA-6,8-DIEN-2-YL ACETATE&lt;br /&gt;&amp;diams; P-MENTHA-6,8-DIEN-2-OL, ACETATE&lt;br /&gt;&amp;diams; 2-CYCLOHEXEN-1-OL, 2-METHYL-5-(1-METHYLETHENYL)-, ACETATE&lt;br /&gt;&amp;diams; 2-METHYL-5-(1-METHYLETHENYL)-2-CYCLOHEXEN-1-YL ACETATE</t>
  </si>
  <si>
    <t xml:space="preserve"> 929222-96-8</t>
  </si>
  <si>
    <t xml:space="preserve"> CARVYL PALMITATE</t>
  </si>
  <si>
    <t xml:space="preserve"> &amp;diams; CARVYL PALMITATE&lt;br /&gt;&amp;diams; hexadecanoic acid, 2-methyl-5-(1-methylethenyl)-2-cyclohexen-1-yl ester&lt;br /&gt;&amp;diams; 2-methyl-5-(1-methylethenyl)-2-cyclohexen-1-yl hexadecanoate</t>
  </si>
  <si>
    <t xml:space="preserve"> 97-45-0</t>
  </si>
  <si>
    <t xml:space="preserve"> CARVYL PROPIONATE</t>
  </si>
  <si>
    <t xml:space="preserve"> &amp;diams; CARVYL PROPIONATE&lt;br /&gt;&amp;diams; CARVEOL PROPIONATE&lt;br /&gt;&amp;diams; P-MENTHA-6,8-DIEN-2-YL PROPIONATE&lt;br /&gt;&amp;diams; 2-CYCLOHEXEN-1-OL, 2-METHYL-5-(1-METHYLETHENYL)-, PROPANOATE&lt;br /&gt;&amp;diams; 2-METHYL-5-(1-METHYLETHENYL)-2-CYCLOHEXENYL PROPANOATE&lt;br /&gt;&amp;diams; P-MENTHA-6,8-DIEN-2-OL, PROPIONATE</t>
  </si>
  <si>
    <t xml:space="preserve"> 87-44-5</t>
  </si>
  <si>
    <t xml:space="preserve"> BETA-CARYOPHYLLENE</t>
  </si>
  <si>
    <t xml:space="preserve"> &amp;diams; BETA-CARYOPHYLLENE&lt;br /&gt;&amp;diams; CARYOPHYLLENE&lt;br /&gt;&amp;diams; 4,11,11-TRIMETHYL-8-METHYLENEBICYCLO(7.2.0)UNDEC-4-ENE, (1R-(1R*,4E,9S))-&lt;br /&gt;&amp;diams; BICYCLO(7.2.0)UNDEC-4-ENE, 4,11,11-TRIMETHYL-8-METHYLENE-, (1R-(1R*,4E,9S*))-&lt;br /&gt;&amp;diams; BICYCLO(7.2.0)UNDEC-4-ENE, 4,11,11-TRIMETHYL-8-METHYLENE-, (E)-(1R,9S)-(-)-&lt;br /&gt;&amp;diams; 4,11,11-TRIMETHYL-8-METHYLENEBICYCLO(7.2.0)UNDEC-4-ENE, (E)-(1R,9S)-(-)-&lt;br /&gt;&amp;diams; CARYOPHYLLENE, TRANS-&lt;br /&gt;&amp;diams; 2-METHYLENE-6,10,10-TRIMETHYLBICYCLO(7.2.0)UNDEC-5-ENE&lt;br /&gt;&amp;diams; CARYOPHYLLENE, BETA-</t>
  </si>
  <si>
    <t xml:space="preserve"> 4586-22-5</t>
  </si>
  <si>
    <t xml:space="preserve"> CARYOPHYLLENE ALCOHOL</t>
  </si>
  <si>
    <t xml:space="preserve"> &amp;diams; CARYOPHYLLENE ALCOHOL&lt;br /&gt;&amp;diams; ALPHA-CARYOPHYLLENE ALCOHOL&lt;br /&gt;&amp;diams; CARYOPHYLLENE ALCOHOL, ALPHA-&lt;br /&gt;&amp;diams; DECAHYDRO-2,2,4,8-TETRAMETHYL-4,8-METHANOAZULEN-9-OL, STEREOISOMER&lt;br /&gt;&amp;diams; 1,2,3,3AALPHA,4,5,6,7,8,8AALPHA-DECAHYDRO-2,2,4BETA,8BETA-TETRAMETHYL-4,8-METHANOAZULEN-9-OL&lt;br /&gt;&amp;diams; 11-APOLLANOL&lt;br /&gt;&amp;diams; 4,8-METHANOAZULEN-9-OL, DECAHYDRO-2,2,4,8-TETRAMETHYL-, STEREOISOMER&lt;br /&gt;&amp;diams; 4,8-METHANOAZULEN-9-OL, 1,2,3,3AALPHA,4,5,6,7,8,8AALPHA-DECAHYDRO-2,2,4BETA,8BETA-TETRAMETHYL-</t>
  </si>
  <si>
    <t xml:space="preserve"> 17622-35-4</t>
  </si>
  <si>
    <t xml:space="preserve"> CARYOPHYLLENE ALCOHOL ACETATE</t>
  </si>
  <si>
    <t xml:space="preserve"> &amp;diams; CARYOPHYLLENE ALCOHOL ACETATE&lt;br /&gt;&amp;diams; ALPHA-CARYOPHYLLENE ALCOHOL ACETATE&lt;br /&gt;&amp;diams; CARYOPHYLLENE ACETATE&lt;br /&gt;&amp;diams; CARYOPHYLLENE ALCOHOL ACETATE, ALPHA-&lt;br /&gt;&amp;diams; DECAHYDRO-2,2,4,8-TETRAMETHYL-4,8-METHANOAZULEN-9-YL ACETATE, STEREOISOMER&lt;br /&gt;&amp;diams; 1,2,3,3AALPHA,4,5,6,7,8,8AALPHA-DECAHYDRO-2,2,4BETA,8BETA-TETRAMETHYL-4,8-METHANOAZULEN-9-YL ACETATE&lt;br /&gt;&amp;diams; 4,8-METHANOAZULEN-9-OL, DECAHYDRO-2,2,4,8-TETRAMETHYL-, ACETATE, STEREOISOMER&lt;br /&gt;&amp;diams; 4,8-METHANOAZULEN-9-OL, 1,2,3,3AALPHA,4,5,6,7,8,8AALPHA-DECAHYDRO-2,2,4BETA,8BETA-TETRAMETHYL-, ACETATE</t>
  </si>
  <si>
    <t xml:space="preserve"> 57082-24-3</t>
  </si>
  <si>
    <t xml:space="preserve"> BETA-CARYOPHYLLENE ALCOHOL ACETATE</t>
  </si>
  <si>
    <t xml:space="preserve"> &amp;diams; BETA-CARYOPHYLLENE ALCOHOL ACETATE&lt;br /&gt;&amp;diams; CARYOPHYLLENE ALCOHOL ACETATE, BETA-&lt;br /&gt;&amp;diams; TRICYCLO(6.3.1.02,5)DODECAN-1-OL, 4,4,8-TRIMETHYL-, ACETATE, (1R-(1ALPHA,2ALPHA,5BETA,8BETA))-&lt;br /&gt;&amp;diams; 4,4,8-TRIMETHYLTRICYCLO(6.3.1.02,5)DODECAN-1-YL ACETATE, (1R-(1ALPHA,2ALPHA,5BETA,8BETA))-</t>
  </si>
  <si>
    <t xml:space="preserve"> 472-97-9</t>
  </si>
  <si>
    <t xml:space="preserve"> BETA-CARYOPHYLLENE ALCOHOL</t>
  </si>
  <si>
    <t xml:space="preserve"> &amp;diams; BETA-CARYOPHYLLENE ALCOHOL&lt;br /&gt;&amp;diams; CARYOLAN-1-OL&lt;br /&gt;&amp;diams; CARYOPHYLLENE ALCOHOL, BETA-&lt;br /&gt;&amp;diams; TRICYCLO(6.3.1.02,5)DODECAN-1-OL, 4,4,8-TRIMETHYL-, (1R-(1ALPHA,2ALPHA,5BETA,8BETA))-&lt;br /&gt;&amp;diams; TRICYCLO(6.3.1.02,5)DODECAN-1-OL, 4,4,8-TRIMETHYL-, STEREOISOMER&lt;br /&gt;&amp;diams; 4,4,8-TRIMETHYLTRICYCLO(6.3.1.02,5)DODECAN-1-OL, (1R-(1ALPHA,2ALPHA,5BETA,8BETA))-&lt;br /&gt;&amp;diams; 4,4,8-TRIMETHYLTRICYCLO(6.3.1.02,5)DODECAN-1-OL, STEREOISOMER</t>
  </si>
  <si>
    <t xml:space="preserve"> 1139-30-6</t>
  </si>
  <si>
    <t xml:space="preserve"> BETA-CARYOPHYLLENE OXIDE</t>
  </si>
  <si>
    <t xml:space="preserve"> &amp;diams; BETA-CARYOPHYLLENE OXIDE&lt;br /&gt;&amp;diams; CARYOPHYLLENE OXIDE, BETA-&lt;br /&gt;&amp;diams; CARYOPHYLLENE OXIDE&lt;br /&gt;&amp;diams; CARYOPHYLLENE, EPOXIDE&lt;br /&gt;&amp;diams; CARYOPHYLLENE EPOXIDE&lt;br /&gt;&amp;diams; CARYOPHYLLENE OXIDE, TRANS-&lt;br /&gt;&amp;diams; EPOXYCARYOPHYLLENE&lt;br /&gt;&amp;diams; EPOXYDIHYDROCARYOPHYLLENE, (-)-&lt;br /&gt;&amp;diams; 5-OXATRICYCLO(8.2.0.04,6)DODECANE, 4,12,12-TRIMETHYL-9-METHYLENE-, (1R-(1R*,4R*,6R*,10S*))-&lt;br /&gt;&amp;diams; 4,12,12-TRIMETHYL-9-METHYLENE-5-OXATRICYCLO(8.2.0.04,6)DODECANE, (1R-(1R*,4R*,6R*,10S*))-&lt;br /&gt;&amp;diams; 5-OXATRICYCLO(8.2.0.04,6)DODECANE, 4,12,12-TRIMETHYL-9-METHYLENE-, (1R,4R,6R,10S)-&lt;br /&gt;&amp;diams; 4,12,12-TRIMETHYL-9-METHYLENE-5-OXATRICYCLO(8.2.0.04,6)DODECANE, (1R,4R,6R,10S)-&lt;br /&gt;&amp;diams; caryophyllene oxide, (-)-</t>
  </si>
  <si>
    <t xml:space="preserve"> 977090-83-7</t>
  </si>
  <si>
    <t xml:space="preserve"> CASCARA, BITTERLESS, EXTRACT (RHAMNUS PURSHIANA DC.)</t>
  </si>
  <si>
    <t xml:space="preserve"> &amp;diams; CASCARA SAGRADA EXTRACT, DEBITTERED&lt;br /&gt;&amp;diams; CASCARA EXTRACT, BITTERLESS&lt;br /&gt;&amp;diams; RHAMNUS PURSHIANA EXTRACT, DEBITTERED</t>
  </si>
  <si>
    <t xml:space="preserve"> 977083-53-6</t>
  </si>
  <si>
    <t xml:space="preserve"> CASCARILLA BARK, EXTRACT (CROTON SPP.)</t>
  </si>
  <si>
    <t xml:space="preserve"> &amp;diams; CASCARILLA BARK EXTRACT&lt;br /&gt;&amp;diams; CROTON ELUTERIA BARK EXTRACT&lt;br /&gt;&amp;diams; SWEETWOOD BARK EXTRACT</t>
  </si>
  <si>
    <t xml:space="preserve"> 8007-06-5</t>
  </si>
  <si>
    <t xml:space="preserve"> CASCARILLA BARK, OIL (CROTON SPP.)</t>
  </si>
  <si>
    <t xml:space="preserve"> &amp;diams; CASCARILLA OIL&lt;br /&gt;&amp;diams; CASCARILLA BARK OIL&lt;br /&gt;&amp;diams; OILS, CASCARILLA&lt;br /&gt;&amp;diams; CROTON ELUTERIA OIL&lt;br /&gt;&amp;diams; SWEETWOOD BARK OIL</t>
  </si>
  <si>
    <t xml:space="preserve"> 9000-71-9</t>
  </si>
  <si>
    <t xml:space="preserve"> CASEIN</t>
  </si>
  <si>
    <t xml:space="preserve"> &amp;diams; CASEIN&lt;br /&gt;&amp;diams; CASEINE&lt;br /&gt;&amp;diams; CASEINS</t>
  </si>
  <si>
    <t xml:space="preserve"> EMULSIFIER OR EMULSIFIER SALT,&lt;br /&gt; FLAVOR ENHANCER,&lt;br /&gt; FLAVORING AGENT OR ADJUVANT,&lt;br /&gt; FORMULATION AID,&lt;br /&gt; NUTRIENT SUPPLEMENT,&lt;br /&gt; PROCESSING AID,&lt;br /&gt; STABILIZER OR THICKENER,&lt;br /&gt; SURFACE-FINISHING AGENT,&lt;br /&gt; TEXTURIZER</t>
  </si>
  <si>
    <t xml:space="preserve"> 101.4 ,  135.110 ,  135.140 ,  166.110</t>
  </si>
  <si>
    <t xml:space="preserve"> 977091-24-9</t>
  </si>
  <si>
    <t xml:space="preserve"> CASSIA BUDS (CINNAMOMUM CASSIA BLUME)</t>
  </si>
  <si>
    <t xml:space="preserve"> &amp;diams; CASSIA BUD&lt;br /&gt;&amp;diams; CASSIA FLOWER&lt;br /&gt;&amp;diams; CINNAMON FLOWER&lt;br /&gt;&amp;diams; CINNAMOMUM CASSIA BUD</t>
  </si>
  <si>
    <t xml:space="preserve"> 977017-58-5</t>
  </si>
  <si>
    <t xml:space="preserve"> CASSIE, ABSOLUTE (ACACIA FARNESIANA (L.) WILLD.)</t>
  </si>
  <si>
    <t xml:space="preserve"> &amp;diams; CASSIE ABSOLUTE&lt;br /&gt;&amp;diams; ACACIA FARNESIANA ABSOLUTE&lt;br /&gt;&amp;diams; SWEET ACACIA ABSOLUTE</t>
  </si>
  <si>
    <t xml:space="preserve"> 8023-83-4</t>
  </si>
  <si>
    <t xml:space="preserve"> CASTOREUM, EXTRACT (CASTOR SPP.)</t>
  </si>
  <si>
    <t xml:space="preserve"> &amp;diams; CASTOREUM EXTRACT&lt;br /&gt;&amp;diams; CASTORIUM EXTRACT&lt;br /&gt;&amp;diams; OILS, CASTOREUM&lt;br /&gt;&amp;diams; CASTOREUM OIL</t>
  </si>
  <si>
    <t xml:space="preserve"> 977016-89-9</t>
  </si>
  <si>
    <t xml:space="preserve"> CASTOREUM, LIQUID (CASTOR SPP.)</t>
  </si>
  <si>
    <t xml:space="preserve"> &amp;diams; CASTOREUM LIQUID&lt;br /&gt;&amp;diams; CASTORIUM LIQUID</t>
  </si>
  <si>
    <t xml:space="preserve"> 8001-79-4</t>
  </si>
  <si>
    <t xml:space="preserve"> CASTOR OIL (RICINUS COMMUNIS L.)</t>
  </si>
  <si>
    <t xml:space="preserve"> &amp;diams; CASTOR OIL&lt;br /&gt;&amp;diams; PALMA CHRISTI OIL&lt;br /&gt;&amp;diams; RICINUS OIL&lt;br /&gt;&amp;diams; TANGAN-TANGAN OIL&lt;br /&gt;&amp;diams; RICINOL&lt;br /&gt;&amp;diams; Ricinus communis seed oil</t>
  </si>
  <si>
    <t xml:space="preserve"> ANTICAKING AGENT OR FREE-FLOW AGENT,&lt;br /&gt; DRYING AGENT,&lt;br /&gt; EMULSIFIER OR EMULSIFIER SALT,&lt;br /&gt; FLAVOR ENHANCER,&lt;br /&gt; FLAVORING AGENT OR ADJUVANT,&lt;br /&gt; LUBRICANT OR RELEASE AGENT,&lt;br /&gt; SOLVENT OR VEHICLE</t>
  </si>
  <si>
    <t xml:space="preserve"> 977031-84-7</t>
  </si>
  <si>
    <t xml:space="preserve"> CATALASE FROM ASPERGILLUS NIGER</t>
  </si>
  <si>
    <t xml:space="preserve"> &amp;diams; CATALASE, ASPERGILLUS NIGER&lt;br /&gt;&amp;diams; ASPERGILLUS NIGER CATALASE</t>
  </si>
  <si>
    <t xml:space="preserve"> ANTIMICROBIAL AGENT,&lt;br /&gt; ENZYME,&lt;br /&gt; PROCESSING AID</t>
  </si>
  <si>
    <t xml:space="preserve"> 131.113 ,  131.118 ,  133.136 ,  133.144 ,  133.195</t>
  </si>
  <si>
    <t xml:space="preserve"> 81457-95-6</t>
  </si>
  <si>
    <t xml:space="preserve"> CATALASE FROM BOVINE LIVER</t>
  </si>
  <si>
    <t xml:space="preserve"> &amp;diams; CATALASE, BOVINE LIVER&lt;br /&gt;&amp;diams; CATALASE (OX LIVER PROTEIN MOIETY REDUCED)</t>
  </si>
  <si>
    <t xml:space="preserve"> 131.118 ,  133.113 ,  133.136 ,  133.144 ,  133.195</t>
  </si>
  <si>
    <t xml:space="preserve"> 977090-05-3</t>
  </si>
  <si>
    <t xml:space="preserve"> CATALASE FROM PENICILLIUM NOTATUM</t>
  </si>
  <si>
    <t xml:space="preserve"> &amp;diams; CATALASE, PENICILLIUM NOTATUM</t>
  </si>
  <si>
    <t xml:space="preserve"> 8001-76-1</t>
  </si>
  <si>
    <t xml:space="preserve"> CATECHU, BLACK, EXTRACT (ACACIA CATECHU WILLD.)</t>
  </si>
  <si>
    <t xml:space="preserve"> &amp;diams; CATECHU, BLACK, EXTRACT&lt;br /&gt;&amp;diams; ACACIA CATECHU EXTRACT&lt;br /&gt;&amp;diams; BLACK CUTCH EXTRACT&lt;br /&gt;&amp;diams; BLACK CATECHU EXTRACT&lt;br /&gt;&amp;diams; ACACIA CATECHU GUM&lt;br /&gt;&amp;diams; CASHOO EXTRACT&lt;br /&gt;&amp;diams; CATECHU (RESIN)&lt;br /&gt;&amp;diams; CACHOU EXTRACT&lt;br /&gt;&amp;diams; CATECHU EXTRACT, BLACK&lt;br /&gt;&amp;diams; CUTCH TREE EXTRACT&lt;br /&gt;&amp;diams; PEGU CATECHU EXTRACT</t>
  </si>
  <si>
    <t xml:space="preserve"> 977090-84-8</t>
  </si>
  <si>
    <t xml:space="preserve"> CATECHU, BLACK, POWDER (ACACIA CATECHU WILLD.)</t>
  </si>
  <si>
    <t xml:space="preserve"> &amp;diams; CATECHU, BLACK, POWDER&lt;br /&gt;&amp;diams; BLACK CATECHU POWDER&lt;br /&gt;&amp;diams; ACACIA CATECHU POWDER&lt;br /&gt;&amp;diams; CATECHU POWDER, BLACK&lt;br /&gt;&amp;diams; CUTCH TREE POWDER</t>
  </si>
  <si>
    <t xml:space="preserve"> 8007-20-3</t>
  </si>
  <si>
    <t xml:space="preserve"> CEDAR LEAF, OIL (THUJA OCCIDENTALIS L.)</t>
  </si>
  <si>
    <t xml:space="preserve"> &amp;diams; CEDAR LEAF OIL&lt;br /&gt;&amp;diams; THUJA OIL&lt;br /&gt;&amp;diams; OILS, CEDAR LEAF&lt;br /&gt;&amp;diams; THUJA OCCIDENTALIS OIL</t>
  </si>
  <si>
    <t xml:space="preserve"> 68603-22-5</t>
  </si>
  <si>
    <t xml:space="preserve"> CEDARWOOD OIL ALCOHOLS</t>
  </si>
  <si>
    <t xml:space="preserve"> &amp;diams; CEDARWOOD OIL ALCOHOL&lt;br /&gt;&amp;diams; ALCOHOLS, CEDARWOOD-OIL&lt;br /&gt;&amp;diams; CEDARWOOD OIL, ALCOHOL FRACTION</t>
  </si>
  <si>
    <t xml:space="preserve"> 68608-32-2</t>
  </si>
  <si>
    <t xml:space="preserve"> CEDARWOOD OIL TERPENES</t>
  </si>
  <si>
    <t xml:space="preserve"> &amp;diams; CEDARWOOD OIL TERPENE&lt;br /&gt;&amp;diams; CEDARWOOD OIL TERPENOID&lt;br /&gt;&amp;diams; CEDARWOOD OIL, TERPENE FRACTION&lt;br /&gt;&amp;diams; TERPENES AND TERPENOIDS, CEDARWOOD-OIL</t>
  </si>
  <si>
    <t xml:space="preserve"> 77-53-2</t>
  </si>
  <si>
    <t xml:space="preserve"> (+)-CEDROL</t>
  </si>
  <si>
    <t xml:space="preserve"> &amp;diams; CEDROL&lt;br /&gt;&amp;diams; OCTAHYDRO-3,6,8,8-TETRAMETHYL-1H-3A,7-METHANOAZULEN-6-OL, (3R-(3ALPHA,3ABETA,6ALPHA,7BETA,8AALPHA))-&lt;br /&gt;&amp;diams; 1H-3A,7-METHANOAZULEN-6-OL, OCTAHYDRO-3,6,8,8-TETRAMETHYL-, (3R-(3ALPHA,3ABETA,6ALPHA,7BETA,8AALPHA))-&lt;br /&gt;&amp;diams; 8BETAH-CEDRAN-8-OL&lt;br /&gt;&amp;diams; CEDROL, (+)-&lt;br /&gt;&amp;diams; CEDROL, ALPHA-</t>
  </si>
  <si>
    <t xml:space="preserve"> 77-54-3</t>
  </si>
  <si>
    <t xml:space="preserve"> CEDRYL ACETATE</t>
  </si>
  <si>
    <t xml:space="preserve"> &amp;diams; CEDRYL ACETATE&lt;br /&gt;&amp;diams; ACETYL CEDRENE&lt;br /&gt;&amp;diams; 8BETA-H-CEDRAN-8-OL, ACETATE&lt;br /&gt;&amp;diams; 8BETA-H-CEDRAN-8-YL ACETATE&lt;br /&gt;&amp;diams; 1H-3A,7-METHANOAZULEN-6-OL, OCTAHYDRO-3,6,8,8-TETRAMETHYL-, ACETATE, (3R-(3ALPHA,3ABETA,6ALPHA,7BETA,8AALPHA))-&lt;br /&gt;&amp;diams; OCTAHYDRO-3,6,8,8-TETRAMETHYL-1H-3A,7-METHANOAZULEN-6-YL ACETATE, (3R-(3ALPHA,3ABETA,6ALPHA,7BETA,8AALPHA))-</t>
  </si>
  <si>
    <t xml:space="preserve"> 977007-75-2</t>
  </si>
  <si>
    <t xml:space="preserve"> CELERY SEED (APIUM GRAVEOLENS L.)</t>
  </si>
  <si>
    <t xml:space="preserve"> &amp;diams; CELERY SEED&lt;br /&gt;&amp;diams; CELERY FRUIT&lt;br /&gt;&amp;diams; APIUM GRAVEOLENS SEED&lt;br /&gt;&amp;diams; SEED, CELERY</t>
  </si>
  <si>
    <t xml:space="preserve"> 89997-35-3</t>
  </si>
  <si>
    <t xml:space="preserve"> CELERY SEED, EXTRACT (APIUM GRAVEOLENS L.)</t>
  </si>
  <si>
    <t xml:space="preserve"> &amp;diams; CELERY EXTRACT&lt;br /&gt;&amp;diams; CELERY SEED EXTRACT&lt;br /&gt;&amp;diams; CELERY, EXT.&lt;br /&gt;&amp;diams; APIUM GRAVEOLENS SEED EXTRACT</t>
  </si>
  <si>
    <t xml:space="preserve"> 977038-53-1</t>
  </si>
  <si>
    <t xml:space="preserve"> CELERY SEED, EXTRACT SOLID (APIUM GRAVEOLENS L.)</t>
  </si>
  <si>
    <t xml:space="preserve"> &amp;diams; CELERY SEED EXTRACT, SOLID&lt;br /&gt;&amp;diams; APIUM GRAVEOLENS SEED EXTRACT, SOLID</t>
  </si>
  <si>
    <t xml:space="preserve"> 8015-90-5</t>
  </si>
  <si>
    <t xml:space="preserve"> CELERY SEED, OIL (APIUM GRAVEOLENS L.)</t>
  </si>
  <si>
    <t xml:space="preserve"> &amp;diams; CELERY OIL&lt;br /&gt;&amp;diams; CELERY SEED OIL&lt;br /&gt;&amp;diams; OILS, CELERY&lt;br /&gt;&amp;diams; APIUM GRAVEOLENS SEED OIL</t>
  </si>
  <si>
    <t xml:space="preserve"> 977090-86-0</t>
  </si>
  <si>
    <t xml:space="preserve"> CELERY SEED, OLEORESIN</t>
  </si>
  <si>
    <t xml:space="preserve"> &amp;diams; CELERY SEED OLEORESIN</t>
  </si>
  <si>
    <t xml:space="preserve"> 977122-87-4</t>
  </si>
  <si>
    <t xml:space="preserve"> CELLULASE FROM TRICHODERMA LONGIBRACHIATUM</t>
  </si>
  <si>
    <t xml:space="preserve"> &amp;diams; CELLULASE, TRICHODERMA LONGIBRACHIATUM&lt;br /&gt;&amp;diams; CELLULASE, TRICHODERMA REESEI&lt;br /&gt;&amp;diams; TRICHODERMA LONGIBRACHIATUM CELLULASE</t>
  </si>
  <si>
    <t xml:space="preserve"> 9004-35-7</t>
  </si>
  <si>
    <t xml:space="preserve"> CELLULOSE ACETATE</t>
  </si>
  <si>
    <t xml:space="preserve"> &amp;diams; CELLULOSE ACETATE&lt;br /&gt;&amp;diams; CELLULOSE ACETATE, ALPHA-&lt;br /&gt;&amp;diams; ACETATE DE CELLULOSE&lt;br /&gt;&amp;diams; CELLULOSE, ACETATE&lt;br /&gt;&amp;diams; ALPHA-CELLULOSE ACETATE&lt;br /&gt;&amp;diams; CA (CELLULOSE ACETATE)</t>
  </si>
  <si>
    <t xml:space="preserve"> 9013-34-7</t>
  </si>
  <si>
    <t xml:space="preserve"> CELLULOSE, DIETHYLAMINOETHYL</t>
  </si>
  <si>
    <t xml:space="preserve"> &amp;diams; DIETHYLAMINOETHYL CELLULOSE&lt;br /&gt;&amp;diams; CELLULOSE, 2-(DIETHYLAMINO)ETHYL ETHER&lt;br /&gt;&amp;diams; 2-(DIETHYLAMINO)ETHYL CELLULOSE</t>
  </si>
  <si>
    <t xml:space="preserve"> 9004-59-5</t>
  </si>
  <si>
    <t xml:space="preserve"> CELLULOSE, METHYL ETHYL</t>
  </si>
  <si>
    <t xml:space="preserve"> &amp;diams; ETHYL METHYL CELLULOSE&lt;br /&gt;&amp;diams; CELLULOSE, ETHYL METHYL ETHER&lt;br /&gt;&amp;diams; METHYLETHYLCELLULOSE&lt;br /&gt;&amp;diams; METHYL ETHYL CELLULOSE&lt;br /&gt;&amp;diams; METHYLETHYL CELLULOSE</t>
  </si>
  <si>
    <t xml:space="preserve"> EMULSIFIER OR EMULSIFIER SALT,&lt;br /&gt; PROPELLANT</t>
  </si>
  <si>
    <t xml:space="preserve"> 977005-28-9</t>
  </si>
  <si>
    <t xml:space="preserve"> CELLULOSE, MICROCRYSTALLINE</t>
  </si>
  <si>
    <t xml:space="preserve"> &amp;diams; CELLULOSE, MICROCRYSTALLINE&lt;br /&gt;&amp;diams; CELLULOSE GEL&lt;br /&gt;&amp;diams; MICROCRYSTALLINE CELLULOSE</t>
  </si>
  <si>
    <t xml:space="preserve"> ANTICAKING AGENT OR FREE-FLOW AGENT,&lt;br /&gt; DRYING AGENT,&lt;br /&gt; FLAVOR ENHANCER,&lt;br /&gt; FLAVORING AGENT OR ADJUVANT,&lt;br /&gt; FORMULATION AID,&lt;br /&gt; HUMECTANT,&lt;br /&gt; STABILIZER OR THICKENER</t>
  </si>
  <si>
    <t xml:space="preserve"> 9012-09-3</t>
  </si>
  <si>
    <t xml:space="preserve"> CELLULOSE TRIACETATE</t>
  </si>
  <si>
    <t xml:space="preserve"> &amp;diams; CELLULOSE TRIACETATE&lt;br /&gt;&amp;diams; CELLULOSE, TRIACETATE</t>
  </si>
  <si>
    <t xml:space="preserve"> 977052-77-9</t>
  </si>
  <si>
    <t xml:space="preserve"> CENTAURY (CENTAURIUM UMBELLATUM GILIB.)</t>
  </si>
  <si>
    <t xml:space="preserve"> &amp;diams; CENTAURY&lt;br /&gt;&amp;diams; ERYTHRAEA CENTAURIUM&lt;br /&gt;&amp;diams; BITTER HERB&lt;br /&gt;&amp;diams; BLOODWORT&lt;br /&gt;&amp;diams; CENTAURIUM ERYTHRAEA&lt;br /&gt;&amp;diams; CENTAURIUM UMBELLATUM&lt;br /&gt;&amp;diams; CENTAURY, MINOR&lt;br /&gt;&amp;diams; COMMON CENTAURY&lt;br /&gt;&amp;diams; LESSER CENTAURY&lt;br /&gt;&amp;diams; CENTAURY, LESSER</t>
  </si>
  <si>
    <t xml:space="preserve"> 977104-98-5</t>
  </si>
  <si>
    <t xml:space="preserve"> CEREAL SOLIDS, HYDROLYZED</t>
  </si>
  <si>
    <t xml:space="preserve"> &amp;diams; HYDROLYZED CEREAL SOLIDS&lt;br /&gt;&amp;diams; CEREAL SOLIDS, HYDROLYZED</t>
  </si>
  <si>
    <t xml:space="preserve"> 36653-82-4</t>
  </si>
  <si>
    <t xml:space="preserve"> CETYL ALCOHOL</t>
  </si>
  <si>
    <t xml:space="preserve"> &amp;diams; CETYL ALCOHOL&lt;br /&gt;&amp;diams; ALCOHOL(C16)&lt;br /&gt;&amp;diams; CETANOL&lt;br /&gt;&amp;diams; HEXADECYL ALCOHOL, NORMAL&lt;br /&gt;&amp;diams; PALMITYL ALCOHOL&lt;br /&gt;&amp;diams; 1-HEXADECANOL&lt;br /&gt;&amp;diams; C16 ALCOHOL&lt;br /&gt;&amp;diams; FATTY ALCOHOL(C16)&lt;br /&gt;&amp;diams; HEXADECANOL-1&lt;br /&gt;&amp;diams; 1-CETANOL</t>
  </si>
  <si>
    <t xml:space="preserve"> 977007-26-3</t>
  </si>
  <si>
    <t xml:space="preserve"> CHAMOMILE FLOWER (ANTHEMIS NOBILIS L.)</t>
  </si>
  <si>
    <t xml:space="preserve"> &amp;diams; CHAMOMILE, ENGLISH&lt;br /&gt;&amp;diams; ANTHEMIS&lt;br /&gt;&amp;diams; CAMOMILE, ENGLISH&lt;br /&gt;&amp;diams; CHAMOMILE, ROMAN&lt;br /&gt;&amp;diams; CHAMOMILE FLOWER, ENGLISH&lt;br /&gt;&amp;diams; ANTHEMIS NOBILIS FLOWER&lt;br /&gt;&amp;diams; ANTHEMIS NOBILIS&lt;br /&gt;&amp;diams; CHAMAEMELUM NOBILE&lt;br /&gt;&amp;diams; ENGLISH CHAMOMILE&lt;br /&gt;&amp;diams; ROMAN CHAMOMILE</t>
  </si>
  <si>
    <t xml:space="preserve"> 8002-66-2</t>
  </si>
  <si>
    <t xml:space="preserve"> CHAMOMILE FLOWER, HUNGARIAN, OIL (MATRICARIA CHAMOMILLA L.)</t>
  </si>
  <si>
    <t xml:space="preserve"> &amp;diams; CHAMOMILE OIL, GERMAN&lt;br /&gt;&amp;diams; CHAMOMILE OIL, BLUE&lt;br /&gt;&amp;diams; CHAMOMILE OIL, HUNGARIAN&lt;br /&gt;&amp;diams; CHAMOMILE FLOWER OIL, HUNGARIAN&lt;br /&gt;&amp;diams; OILS, CHAMOMILE, GERMAN</t>
  </si>
  <si>
    <t xml:space="preserve"> 977001-96-9</t>
  </si>
  <si>
    <t xml:space="preserve"> CHAMOMILE FLOWER (MATRICARIA CHAMOMILLA L.)</t>
  </si>
  <si>
    <t xml:space="preserve"> &amp;diams; CHAMOMILE, GERMAN&lt;br /&gt;&amp;diams; CAMOMILE, GERMAN&lt;br /&gt;&amp;diams; CHAMOMILE FLOWER, HUNGARIAN&lt;br /&gt;&amp;diams; CHAMOMILE, HUNGARIAN&lt;br /&gt;&amp;diams; CHAMOMILE FLOWER, GERMAN&lt;br /&gt;&amp;diams; MATRICARIA CHAMOMILLA FLOWER&lt;br /&gt;&amp;diams; MATRICARIA RECUTITA&lt;br /&gt;&amp;diams; HUNGARIAN CHAMOMILE&lt;br /&gt;&amp;diams; TRUE CHAMOMILE&lt;br /&gt;&amp;diams; SWEET FALSE CHAMOMILE&lt;br /&gt;&amp;diams; WILD CHAMOMILE&lt;br /&gt;&amp;diams; GERMAN CHAMOMILE&lt;br /&gt;&amp;diams; MATRICARIA CHAMOMILLA&lt;br /&gt;&amp;diams; CHAMOMILE, TRUE&lt;br /&gt;&amp;diams; CHAMOMILLA RECUTITA</t>
  </si>
  <si>
    <t xml:space="preserve"> 8015-92-7</t>
  </si>
  <si>
    <t xml:space="preserve"> CHAMOMILE FLOWER, OIL (ANTHEMIS NOBILIS L.)</t>
  </si>
  <si>
    <t xml:space="preserve"> &amp;diams; CHAMOMILE OIL, ENGLISH&lt;br /&gt;&amp;diams; ANTHEMIS NOBILIS FLOWER OIL&lt;br /&gt;&amp;diams; CHAMOMILE OIL, ROMAN&lt;br /&gt;&amp;diams; CHAMOMILE FLOWER OIL, ROMAN&lt;br /&gt;&amp;diams; CHAMOMILE FLOWER OIL, ENGLISH&lt;br /&gt;&amp;diams; OILS, CHAMOMILE</t>
  </si>
  <si>
    <t xml:space="preserve"> 84649-86-5</t>
  </si>
  <si>
    <t xml:space="preserve"> CHAMOMILE FLOWER, ROMAN, EXTRACT (ANTHEMIS NOBILIS L.)</t>
  </si>
  <si>
    <t xml:space="preserve"> &amp;diams; CHAMOMILE EXTRACT, ENGLISH&lt;br /&gt;&amp;diams; ANTHEMIS NOBILIS, EXT.&lt;br /&gt;&amp;diams; ANTHEMIS NOBILIS EXTRACT&lt;br /&gt;&amp;diams; CHAMOMILE EXTRACT, ROMAN&lt;br /&gt;&amp;diams; CHAMOMILE FLOWER EXTRACT, ROMAN</t>
  </si>
  <si>
    <t xml:space="preserve"> 977102-14-9</t>
  </si>
  <si>
    <t xml:space="preserve"> CHAR SMOKE FLAVOR</t>
  </si>
  <si>
    <t xml:space="preserve"> &amp;diams; CHAR SMOKE FLAVOR&lt;br /&gt;&amp;diams; SMOKE FLAVOR, CHAR</t>
  </si>
  <si>
    <t xml:space="preserve"> 84604-07-9</t>
  </si>
  <si>
    <t xml:space="preserve"> CHERRY BARK, WILD, EXTRACT (PRUNUS SEROTINA EHRH.)</t>
  </si>
  <si>
    <t xml:space="preserve"> &amp;diams; WILD CHERRY EXTRACT&lt;br /&gt;&amp;diams; PRUNUS SEROTINA EXTRACT&lt;br /&gt;&amp;diams; CHERRY BARK, WILD, EXTRACT&lt;br /&gt;&amp;diams; PRUNUS SEROTINA, EXT.</t>
  </si>
  <si>
    <t xml:space="preserve"> 977052-78-0</t>
  </si>
  <si>
    <t xml:space="preserve"> CHERRY-LAUREL LEAVES (PRUNUS LAUROCERASUS L.)</t>
  </si>
  <si>
    <t xml:space="preserve"> &amp;diams; CHERRY LAUREL&lt;br /&gt;&amp;diams; LAUROCERASUS&lt;br /&gt;&amp;diams; PRUNUS LAUROCERASUS&lt;br /&gt;&amp;diams; CHERRY LAUREL LEAF</t>
  </si>
  <si>
    <t xml:space="preserve"> 8000-44-0</t>
  </si>
  <si>
    <t xml:space="preserve"> CHERRY LAUREL, OIL (PRUNUS LAUROCERASUS L.) (FFPA)</t>
  </si>
  <si>
    <t xml:space="preserve"> &amp;diams; CHERRY LAUREL OIL&lt;br /&gt;&amp;diams; OILS, CHERRY LAUREL&lt;br /&gt;&amp;diams; PRUNUS LAUROCERASUS OIL</t>
  </si>
  <si>
    <t xml:space="preserve"> 977038-56-4</t>
  </si>
  <si>
    <t xml:space="preserve"> CHERRY-LAUREL WATER (PRUNUS LAUROCERASUS L.)</t>
  </si>
  <si>
    <t xml:space="preserve"> &amp;diams; CHERRY LAUREL WATER&lt;br /&gt;&amp;diams; LAUROCERASUS WATER&lt;br /&gt;&amp;diams; PRUNUS LAUROCERASUS WATER</t>
  </si>
  <si>
    <t xml:space="preserve"> 977038-54-2</t>
  </si>
  <si>
    <t xml:space="preserve"> CHERRY PITS, EXTRACT (PRUNUS SPP.)</t>
  </si>
  <si>
    <t xml:space="preserve"> &amp;diams; CHERRY KERNEL EXTRACT&lt;br /&gt;&amp;diams; CHERRY PIT EXTRACT</t>
  </si>
  <si>
    <t xml:space="preserve"> 1338-80-3</t>
  </si>
  <si>
    <t xml:space="preserve"> CHERVIL (ANTHRISCUS CEREFOLIUM (L.) HOFFM.)</t>
  </si>
  <si>
    <t xml:space="preserve"> &amp;diams; CHERVIL&lt;br /&gt;&amp;diams; ANTHRISCUS CEREFOLIUM&lt;br /&gt;&amp;diams; CERFEUIL (ANTHRISCUS CEREFOLIUM)&lt;br /&gt;&amp;diams; SALAD CHERVIL</t>
  </si>
  <si>
    <t xml:space="preserve"> 85085-20-7</t>
  </si>
  <si>
    <t xml:space="preserve"> CHERVIL, EXTRACT (ANTHRISCUS CEREFOLIUM L.)</t>
  </si>
  <si>
    <t xml:space="preserve"> &amp;diams; CHERVIL EXTRACT&lt;br /&gt;&amp;diams; ANTHRISCUS CEREFOLIUM, EXT.</t>
  </si>
  <si>
    <t xml:space="preserve"> 977052-79-1</t>
  </si>
  <si>
    <t xml:space="preserve"> CHESTNUT LEAVES (CASTANEA DENTATA (MARSH.) BORKH.)</t>
  </si>
  <si>
    <t xml:space="preserve"> &amp;diams; CHESTNUT LEAF&lt;br /&gt;&amp;diams; CASTANEA DENTATA LEAF</t>
  </si>
  <si>
    <t xml:space="preserve"> 977023-21-4</t>
  </si>
  <si>
    <t xml:space="preserve"> CHESTNUT LEAVES, EXTRACT (CASTANEA DENTATA (MARSH.) BORKH.)</t>
  </si>
  <si>
    <t xml:space="preserve"> &amp;diams; CHESTNUT LEAF EXTRACT&lt;br /&gt;&amp;diams; CASTANEA DENTATA LEAF EXTRACT</t>
  </si>
  <si>
    <t xml:space="preserve"> 977038-58-6</t>
  </si>
  <si>
    <t xml:space="preserve"> CHESTNUT LEAVES, EXTRACT SOLID (CASTANEA DENTATA (MARSH.) BORKH.)</t>
  </si>
  <si>
    <t xml:space="preserve"> &amp;diams; CHESTNUT LEAF EXTRACT, SOLID&lt;br /&gt;&amp;diams; CASTANEA DENTATA LEAF EXTRACT, SOLID</t>
  </si>
  <si>
    <t xml:space="preserve"> 8021-77-0</t>
  </si>
  <si>
    <t xml:space="preserve"> CHICLE (MANILKARA ZAPOTILLA GILLY AND M. CHICLE GILLY)</t>
  </si>
  <si>
    <t xml:space="preserve"> &amp;diams; CHICLE</t>
  </si>
  <si>
    <t xml:space="preserve"> 977081-42-7</t>
  </si>
  <si>
    <t xml:space="preserve"> CHICLE, VENEZUELAN (MANILKARA WILLIAMSII STANDLEY AND RELATED SPP.)</t>
  </si>
  <si>
    <t xml:space="preserve"> &amp;diams; CHICLE, VENEZUELAN&lt;br /&gt;&amp;diams; VENEZUELAN CHICLE</t>
  </si>
  <si>
    <t xml:space="preserve"> 68650-43-1</t>
  </si>
  <si>
    <t xml:space="preserve"> CHICORY, EXTRACT (CICHORIUM INTYBUS L.)</t>
  </si>
  <si>
    <t xml:space="preserve"> &amp;diams; CHICORY EXTRACT&lt;br /&gt;&amp;diams; CICHORIUM INTYBUS ROOT EXTRACT&lt;br /&gt;&amp;diams; CHICORY ROOT EXTRACT&lt;br /&gt;&amp;diams; CHICORY, EXT.</t>
  </si>
  <si>
    <t xml:space="preserve"> 977011-40-7</t>
  </si>
  <si>
    <t xml:space="preserve"> CHILTE (CNIDOSCOLUS (ALSO KNOWN AS JATROPHA) SPP.)</t>
  </si>
  <si>
    <t xml:space="preserve"> &amp;diams; CHILTE</t>
  </si>
  <si>
    <t xml:space="preserve"> 977052-58-6</t>
  </si>
  <si>
    <t xml:space="preserve"> CHIQUIBUL (MANILKARA ZAPOTILLA GILLY)</t>
  </si>
  <si>
    <t xml:space="preserve"> &amp;diams; CHIQUIBUL</t>
  </si>
  <si>
    <t xml:space="preserve"> 977052-80-4</t>
  </si>
  <si>
    <t xml:space="preserve"> CHIRATA (SWERTIA CHIRATA BUCH.-HAM.)</t>
  </si>
  <si>
    <t xml:space="preserve"> &amp;diams; CHIRATA&lt;br /&gt;&amp;diams; CHIRETTA&lt;br /&gt;&amp;diams; SWERTIA CHIRATA&lt;br /&gt;&amp;diams; CHIRAYTA&lt;br /&gt;&amp;diams; BITTER STICK&lt;br /&gt;&amp;diams; EAST INDIAN BALMONY&lt;br /&gt;&amp;diams; OPHELIA CHIRATA</t>
  </si>
  <si>
    <t xml:space="preserve"> 90604-50-5</t>
  </si>
  <si>
    <t xml:space="preserve"> CHIRATA, EXTRACT (SWERTIA CHIRATA BUCH.-HAM.)</t>
  </si>
  <si>
    <t xml:space="preserve"> &amp;diams; CHIRATA EXTRACT&lt;br /&gt;&amp;diams; CHIRATA, EXT.&lt;br /&gt;&amp;diams; SWERTIA CHIRATA EXTRACT&lt;br /&gt;&amp;diams; EAST INDIAN BALMONY EXTRACT</t>
  </si>
  <si>
    <t xml:space="preserve"> 977050-37-5</t>
  </si>
  <si>
    <t xml:space="preserve"> CHIVES (ALLIUM SCHOENOPRASUM L.)</t>
  </si>
  <si>
    <t xml:space="preserve"> &amp;diams; CHIVE&lt;br /&gt;&amp;diams; ALLIUM SCHOENOPRASUM&lt;br /&gt;&amp;diams; CIBOULETTE OU CIVETTE (ALLIUM SCHOENOPRASUM)</t>
  </si>
  <si>
    <t xml:space="preserve"> 7782-50-5</t>
  </si>
  <si>
    <t xml:space="preserve"> CHLORINE</t>
  </si>
  <si>
    <t xml:space="preserve"> &amp;diams; CHLORINE&lt;br /&gt;&amp;diams; CHLORINE GAS</t>
  </si>
  <si>
    <t xml:space="preserve"> ANTIMICROBIAL AGENT,&lt;br /&gt; FUMIGANT,&lt;br /&gt; OXIDIZING OR REDUCING AGENT,&lt;br /&gt; PH CONTROL AGENT</t>
  </si>
  <si>
    <t xml:space="preserve"> 10049-04-4</t>
  </si>
  <si>
    <t xml:space="preserve"> CHLORINE DIOXIDE</t>
  </si>
  <si>
    <t xml:space="preserve"> &amp;diams; CHLORINE DIOXIDE&lt;br /&gt;&amp;diams; CHLORINE PEROXIDE&lt;br /&gt;&amp;diams; CHLORINE OXIDE (CLO2)</t>
  </si>
  <si>
    <t xml:space="preserve"> ANTIMICROBIAL AGENT,&lt;br /&gt; FLOUR TREATING AGENT,&lt;br /&gt; FUMIGANT</t>
  </si>
  <si>
    <t xml:space="preserve"> 977091-22-7</t>
  </si>
  <si>
    <t xml:space="preserve"> CHLORINE SOLUTION, AQUEOUS</t>
  </si>
  <si>
    <t xml:space="preserve"> &amp;diams; CHLORINE SOLUTION, AQUEOUS&lt;br /&gt;&amp;diams; CHLORINE WATER</t>
  </si>
  <si>
    <t xml:space="preserve"> 76-13-1</t>
  </si>
  <si>
    <t xml:space="preserve"> CHLOROFLUOROCARBON 113</t>
  </si>
  <si>
    <t xml:space="preserve"> &amp;diams; 1,1,2-TRICHLORO-1,2,2-TRIFLUOROETHANE&lt;br /&gt;&amp;diams; FLUOROCARBON 113&lt;br /&gt;&amp;diams; ETHANE, 1,1,2-TRICHLORO-1,2,2-TRIFLUORO-&lt;br /&gt;&amp;diams; CHLOROFLUOROCARBON 113&lt;br /&gt;&amp;diams; PROPELLANT 113&lt;br /&gt;&amp;diams; REFRIGERANT 113</t>
  </si>
  <si>
    <t xml:space="preserve"> FREEZING OR COOLING AGENT,&lt;br /&gt; DIRECT CONTACT</t>
  </si>
  <si>
    <t xml:space="preserve"> 977084-30-2</t>
  </si>
  <si>
    <t xml:space="preserve"> CHLOROFLUOROCARBONS--PROHIBITED</t>
  </si>
  <si>
    <t xml:space="preserve"> &amp;diams; CHLOROFLUOROCARBON&lt;br /&gt;&amp;diams; CHLOROFLUOROCARBON PROPELLANT&lt;br /&gt;&amp;diams; HYDROCHLOROFLUOROCARBON&lt;br /&gt;&amp;diams; FLUOROCHLOROHYDROCARBON</t>
  </si>
  <si>
    <t xml:space="preserve"> 67-66-3</t>
  </si>
  <si>
    <t xml:space="preserve"> CHLOROFORM</t>
  </si>
  <si>
    <t xml:space="preserve"> &amp;diams; CHLOROFORM&lt;br /&gt;&amp;diams; TRICHLOROMETHANE&lt;br /&gt;&amp;diams; METHANE, TRICHLORO-&lt;br /&gt;&amp;diams; trichloroform</t>
  </si>
  <si>
    <t xml:space="preserve"> 107-30-2</t>
  </si>
  <si>
    <t xml:space="preserve"> CHLOROMETHYL METHYL ETHER</t>
  </si>
  <si>
    <t xml:space="preserve"> &amp;diams; CHLOROMETHYL METHYL ETHER&lt;br /&gt;&amp;diams; ALPHA,ALPHA-DICHLORODIMETHYL ETHER&lt;br /&gt;&amp;diams; CHLOROMETHOXYMETHANE&lt;br /&gt;&amp;diams; ETHER, CHLOROMETHYL METHYL&lt;br /&gt;&amp;diams; METHYL CHLOROMETHYL ETHER&lt;br /&gt;&amp;diams; METHANE, CHLOROMETHOXY-&lt;br /&gt;&amp;diams; METHOXYMETHYL CHLORIDE&lt;br /&gt;&amp;diams; METHOXYCHLOROMETHANE</t>
  </si>
  <si>
    <t xml:space="preserve"> 76-15-3</t>
  </si>
  <si>
    <t xml:space="preserve"> CHLOROPENTAFLUOROETHANE</t>
  </si>
  <si>
    <t xml:space="preserve"> &amp;diams; CHLOROPENTAFLUOROETHANE&lt;br /&gt;&amp;diams; ETHANE, CHLOROPENTAFLUORO-&lt;br /&gt;&amp;diams; CHLOROPERFLUOROETHANE&lt;br /&gt;&amp;diams; PROPELLANT 115&lt;br /&gt;&amp;diams; REFRIGERANT 115&lt;br /&gt;&amp;diams; 1-CHLORO-1,1,2,2,2-PENTAFLUOROETHANE</t>
  </si>
  <si>
    <t xml:space="preserve"> 1406-65-1</t>
  </si>
  <si>
    <t xml:space="preserve"> CHLOROPHYLL</t>
  </si>
  <si>
    <t xml:space="preserve"> &amp;diams; CHLOROPHYLL&lt;br /&gt;&amp;diams; CHLOROPHYLLS</t>
  </si>
  <si>
    <t xml:space="preserve"> 81-25-4</t>
  </si>
  <si>
    <t xml:space="preserve"> CHOLIC ACID</t>
  </si>
  <si>
    <t xml:space="preserve"> &amp;diams; CHOLIC ACID&lt;br /&gt;&amp;diams; CHOLIC ACID, 5BETA-&lt;br /&gt;&amp;diams; CHOLAN-24-OIC ACID, 3,7,12-TRIHYDROXY-, (3ALPHA,5BETA,7ALPHA,12ALPHA)-&lt;br /&gt;&amp;diams; 3,7,12-TRIHYDROXYCHOLAN-24-OIC ACID, (3ALPHA,5BETA,7ALPHA,12ALPHA)-&lt;br /&gt;&amp;diams; CHOLALIC ACID&lt;br /&gt;&amp;diams; 17beta-(1-methyl-3-carboxypropyl)etiocholane-3alpha,7alpha,12alpha-triol&lt;br /&gt;&amp;diams; 3alpha,7alpha,12alpha-trihydroxy-beta-cholanic acid&lt;br /&gt;&amp;diams; 3alpha,7alpha,12alpha-trihydroxy-5beta-cholan-24-oic acid&lt;br /&gt;&amp;diams; 3alpha,7alpha,12alpha-trihydroxy-5beta-cholanoic acid&lt;br /&gt;&amp;diams; 3alpha,7alpha,12alpha-trihydroxycholanic acid&lt;br /&gt;&amp;diams; 5beta-cholanic acid-3alpha,7alpha,12alpha-triol</t>
  </si>
  <si>
    <t xml:space="preserve"> PH CONTROL AGENT</t>
  </si>
  <si>
    <t xml:space="preserve"> 87-67-2</t>
  </si>
  <si>
    <t xml:space="preserve"> CHOLINE BITARTRATE</t>
  </si>
  <si>
    <t xml:space="preserve"> &amp;diams; CHOLINE BITARTRATE&lt;br /&gt;&amp;diams; CHOLINE BITARTRATE, ANHYDROUS&lt;br /&gt;&amp;diams; (2-HYDROXYETHYL)TRIMETHYLAMMONIUM BITARTRATE&lt;br /&gt;&amp;diams; ETHANAMINIUM, 2-HYDROXY-N,N,N-TRIMETHYL-, SALT WITH (R-(R*,R*))-2,3-DIHYDROXYBUTANEDIOIC ACID (1:1)&lt;br /&gt;&amp;diams; 2-HYDROXY-N,N,N-TRIMETHYLETHANAMINIUM 2,3-DIHYDROXYBUTANEDIOATE, (R-(R*,R*))-&lt;br /&gt;&amp;diams; BUTANEDIOIC ACID, 2,3-DIHYDROXY- (R-(R*,R*))-, ION(1-), 2-HYDROXY-N,N,N-TRIMETHYLETHANAMINIUM&lt;br /&gt;&amp;diams; CHOLINE, TARTRATE (1:1)&lt;br /&gt;&amp;diams; TARTARIC ACID, ION(1-), CHOLINE&lt;br /&gt;&amp;diams; CHOLINE TARTRATE&lt;br /&gt;&amp;diams; CHOLINE, HYDROGEN TARTRATE&lt;br /&gt;&amp;diams; CHOLINE HYDROGEN TARTRATE</t>
  </si>
  <si>
    <t xml:space="preserve"> 67-48-1</t>
  </si>
  <si>
    <t xml:space="preserve"> CHOLINE CHLORIDE</t>
  </si>
  <si>
    <t xml:space="preserve"> &amp;diams; CHOLINE CHLORIDE&lt;br /&gt;&amp;diams; (2-HYDROXYETHYL)TRIMETHYLAMMONIUM CHLORIDE&lt;br /&gt;&amp;diams; CHOLINE, CHLORIDE&lt;br /&gt;&amp;diams; ETHANAMINIUM, 2-HYDROXY-N,N,N-TRIMETHYL-, CHLORIDE&lt;br /&gt;&amp;diams; 2-HYDROXY-N,N,N-TRIMETHYLETHANAMINIUM CHLORIDE</t>
  </si>
  <si>
    <t xml:space="preserve"> 977188-01-4</t>
  </si>
  <si>
    <t xml:space="preserve"> CHOLINE CHLORIDE(ALSO INCLUDES CHOLINE)</t>
  </si>
  <si>
    <t xml:space="preserve"> &amp;diams; CHOLINE/CHOLINE CHLORIDE MIXTURE&lt;br /&gt;&amp;diams; choline chloride, mixture with choline&lt;br /&gt;&amp;diams; choline, mixture with choline chloride</t>
  </si>
  <si>
    <t xml:space="preserve"> 223748-32-1</t>
  </si>
  <si>
    <t xml:space="preserve"> CHRYSANTHEMUM EXTRACT</t>
  </si>
  <si>
    <t xml:space="preserve"> &amp;diams; FLORIST'S CHRYSANTHEMUM EXTRACT&lt;br /&gt;&amp;diams; Chrysanthemum morifolium, ext.&lt;br /&gt;&amp;diams; chrysanthemum moriflorium extract&lt;br /&gt;&amp;diams; chrysanthemum extract (chrysanthemum moriflorium)&lt;br /&gt;&amp;diams; dendranthema grandiflora extract&lt;br /&gt;&amp;diams; chrysanthemum x moriflorium extract</t>
  </si>
  <si>
    <t xml:space="preserve"> 977165-51-7</t>
  </si>
  <si>
    <t xml:space="preserve"> CHYMOSIN PREPARATION, ASPERGILLUS NIGER VAR. AWAMORI</t>
  </si>
  <si>
    <t xml:space="preserve"> &amp;diams; CHYMOSIN PREPARATION, ASPERGILLUS AWAMORI&lt;br /&gt;&amp;diams; CHYMOSIN PREPARATION, ASPERGILLUS NIGER VAR. AWAMORI&lt;br /&gt;&amp;diams; CHYMOSIN PREPARATION, ASPERGILLUS NIGER VAN TIEGHEM VAR. AWAMORI (NAKAZAWA) AL-MUSALLAM&lt;br /&gt;&amp;diams; CHYMOSIN PREPARATION, ASPERGILLUS AWAMORI NAKAZAWA</t>
  </si>
  <si>
    <t xml:space="preserve"> ENZYME,&lt;br /&gt; PROCESSING AID,&lt;br /&gt; STABILIZER OR THICKENER</t>
  </si>
  <si>
    <t xml:space="preserve"> 977165-50-6</t>
  </si>
  <si>
    <t xml:space="preserve"> CHYMOSIN PREPARATION, ESCHERICHIA COLI K-12</t>
  </si>
  <si>
    <t xml:space="preserve"> &amp;diams; CHYMOSIN PREPARATION, ESCHERICHIA COLI K-12</t>
  </si>
  <si>
    <t xml:space="preserve"> 977156-61-8</t>
  </si>
  <si>
    <t xml:space="preserve"> CHYMOSIN PREPARATION, KLUYVEROMYCES MARXIANUS VAR. LACTIS</t>
  </si>
  <si>
    <t xml:space="preserve"> &amp;diams; CHYMOSIN PREPARATION, KLUYVEROMYCES MARXIANUS VAR. LACTIS&lt;br /&gt;&amp;diams; CHYMOSIN, KLUYVEROMYCES LACTIS&lt;br /&gt;&amp;diams; KLUYVEROMYCES LACTIS CHYMOSIN&lt;br /&gt;&amp;diams; KLUYVEROMYCES MARXIANUS VAR. LACTIS RENNIN&lt;br /&gt;&amp;diams; KLUYVEROMYCES LACTIS RENNIN&lt;br /&gt;&amp;diams; RENNIN, KLUYVEROMYCES LACTIS</t>
  </si>
  <si>
    <t xml:space="preserve"> 977052-81-5</t>
  </si>
  <si>
    <t xml:space="preserve"> CINCHONA BARK, RED (CINCHONA SUCCIRUBRA PAV. OR ITS HYBRIDS)</t>
  </si>
  <si>
    <t xml:space="preserve"> &amp;diams; CINCHONA, RED&lt;br /&gt;&amp;diams; CINCHONA BARK, RED&lt;br /&gt;&amp;diams; CINCHONA OFFICINALIS&lt;br /&gt;&amp;diams; CINCHONA PUBESCENS&lt;br /&gt;&amp;diams; CINCHONA SUCCIRUBRA&lt;br /&gt;&amp;diams; QUININE (PLANT)&lt;br /&gt;&amp;diams; RED CINCHONA</t>
  </si>
  <si>
    <t xml:space="preserve"> 977038-61-1</t>
  </si>
  <si>
    <t xml:space="preserve"> CINCHONA BARK, RED, EXTRACT (CINCHONA SUCCIRUBRA PAV. OR ITS HYBRIDS)</t>
  </si>
  <si>
    <t xml:space="preserve"> &amp;diams; CINCHONA BARK EXTRACT, RED</t>
  </si>
  <si>
    <t xml:space="preserve"> 977052-82-6</t>
  </si>
  <si>
    <t xml:space="preserve"> CINCHONA BARK, YELLOW (CINCHONA SPP.)</t>
  </si>
  <si>
    <t xml:space="preserve"> &amp;diams; CINCHONA, YELLOW&lt;br /&gt;&amp;diams; CINCHONA BARK, YELLOW&lt;br /&gt;&amp;diams; CINCHONA CALISAYA&lt;br /&gt;&amp;diams; CINCHONA LEDGERIANA&lt;br /&gt;&amp;diams; CALISAYA&lt;br /&gt;&amp;diams; YELLOW CINCHONA</t>
  </si>
  <si>
    <t xml:space="preserve"> 977083-24-1</t>
  </si>
  <si>
    <t xml:space="preserve"> CINCHONA BARK, YELLOW, EXTRACT (CINCHONA SPP.)</t>
  </si>
  <si>
    <t xml:space="preserve"> &amp;diams; CINCHONA BARK EXTRACT, YELLOW&lt;br /&gt;&amp;diams; CINCHONA CALISAYA BARK EXTRACT</t>
  </si>
  <si>
    <t xml:space="preserve"> 68990-12-5</t>
  </si>
  <si>
    <t xml:space="preserve"> CINCHONA, EXTRACT (CINCHONA SPP.)</t>
  </si>
  <si>
    <t xml:space="preserve"> &amp;diams; CINCHONA BARK OIL&lt;br /&gt;&amp;diams; OILS, CINCHONA&lt;br /&gt;&amp;diams; CINCHONA OIL&lt;br /&gt;&amp;diams; QUININE EXTRACT</t>
  </si>
  <si>
    <t xml:space="preserve"> 470-67-7</t>
  </si>
  <si>
    <t xml:space="preserve"> 1,4-CINEOLE</t>
  </si>
  <si>
    <t xml:space="preserve"> &amp;diams; 1,4-CINEOLE&lt;br /&gt;&amp;diams; 1,4-EPOXY-P-MENTHANE&lt;br /&gt;&amp;diams; 7-OXABICYCLO(2.2.1)HEPTANE, 1-METHYL-4-(1-METHYLETHYL)-&lt;br /&gt;&amp;diams; 1-METHYL-4-(1-METHYLETHYL)-7-OXABICYCLO(2.2.1)HEPTANE&lt;br /&gt;&amp;diams; P-MENTHANE, 1,4-EPOXY-&lt;br /&gt;&amp;diams; 7-OXABICYCLO(2.2.1)HEPTANE, 1-ISOPROPYL-4-METHYL-&lt;br /&gt;&amp;diams; 1-ISOPROPYL-4-METHYL-7-OXABICYCLO(2.2.1)HEPTANE&lt;br /&gt;&amp;diams; ISOCINEOLE</t>
  </si>
  <si>
    <t xml:space="preserve"> 104-55-2</t>
  </si>
  <si>
    <t xml:space="preserve"> CINNAMALDEHYDE</t>
  </si>
  <si>
    <t xml:space="preserve"> &amp;diams; CINNAMALDEHYDE&lt;br /&gt;&amp;diams; CINNAMIC ALDEHYDE&lt;br /&gt;&amp;diams; PHENYLACROLEIN&lt;br /&gt;&amp;diams; BETA-PHENYLACROLEIN&lt;br /&gt;&amp;diams; 3-PHENYL-2-PROPEN-1-AL&lt;br /&gt;&amp;diams; 3-PHENYL-2-PROPENAL&lt;br /&gt;&amp;diams; 2-PROPENAL, 3-PHENYL-</t>
  </si>
  <si>
    <t xml:space="preserve"> 5660-60-6</t>
  </si>
  <si>
    <t xml:space="preserve"> CINNAMALDEHYDE ETHYLENE GLYCOL ACETAL</t>
  </si>
  <si>
    <t xml:space="preserve"> &amp;diams; CINNAMALDEHYDE ETHYLENE GLYCOL ACETAL&lt;br /&gt;&amp;diams; CINNAMIC ALDEHYDE ETHYLENE GLYCOL ACETAL&lt;br /&gt;&amp;diams; CINNCLOVAL&lt;br /&gt;&amp;diams; CINNAMALDEHYDE CYCLIC ETHYLENE ACETAL&lt;br /&gt;&amp;diams; 2-STYRYL-M-DIOXOLANE&lt;br /&gt;&amp;diams; 2-STYRYL-1,3-DIOXOLANE&lt;br /&gt;&amp;diams; 1,3-DIOXOLANE, 2-(2-PHENYLETHENYL)-&lt;br /&gt;&amp;diams; 2-(2-PHENYLETHENYL)-1,3-DIOXOLANE&lt;br /&gt;&amp;diams; 1,3-DIOXOLANE, 2-STYRYL-</t>
  </si>
  <si>
    <t xml:space="preserve"> 4353-01-9</t>
  </si>
  <si>
    <t xml:space="preserve"> CINNAMALDEHYDE PROPYLENEGLYCOL ACETAL</t>
  </si>
  <si>
    <t xml:space="preserve"> &amp;diams; CINNAMALDEHYDE PROPYLENE GLYCOL ACETAL&lt;br /&gt;&amp;diams; 1,3-dioxolane, 4-methyl-2-(2-phenylethenyl)-&lt;br /&gt;&amp;diams; 1,3-dioxolane, 4-methyl-2-styryl-&lt;br /&gt;&amp;diams; 4-methyl-2-(2-phenylethenyl)-1,3-dioxolane&lt;br /&gt;&amp;diams; 4-methyl-2-styryl-1,3-dioxolane&lt;br /&gt;&amp;diams; InChI=1S/C12H14O2/c1-10-9-13-12(14-10)8-7-11-5-3-2-4-6-11/h2-8,10,12H,9H2,1H3&lt;br /&gt;&amp;diams; InChIKey: MQLAQZSLFAOEAK-UHFFFAOYSA-N</t>
  </si>
  <si>
    <t xml:space="preserve"> 621-82-9</t>
  </si>
  <si>
    <t xml:space="preserve"> CINNAMIC ACID</t>
  </si>
  <si>
    <t xml:space="preserve"> &amp;diams; CINNAMIC ACID&lt;br /&gt;&amp;diams; 3-PHENYLPROPENOIC ACID&lt;br /&gt;&amp;diams; BENZYLIDENEACETIC ACID&lt;br /&gt;&amp;diams; BETA-PHENYLACRYLIC ACID&lt;br /&gt;&amp;diams; 3-PHENYLACRYLIC ACID&lt;br /&gt;&amp;diams; BENZENEPROPENOIC ACID&lt;br /&gt;&amp;diams; CINNAMYLIC ACID&lt;br /&gt;&amp;diams; 2-PROPENOIC ACID, 3-PHENYL-&lt;br /&gt;&amp;diams; 3-PHENYL-2-PROPENOIC ACID</t>
  </si>
  <si>
    <t xml:space="preserve"> 977000-66-0</t>
  </si>
  <si>
    <t xml:space="preserve"> CINNAMON (CINNAMOMUM SPP.)</t>
  </si>
  <si>
    <t xml:space="preserve"> &amp;diams; CINNAMON&lt;br /&gt;&amp;diams; CINNAMON NF&lt;br /&gt;&amp;diams; CASSIA&lt;br /&gt;&amp;diams; CANNELLE (CINNAMOMUM SPP.)</t>
  </si>
  <si>
    <t xml:space="preserve"> FLAVORING AGENT OR ADJUVANT,&lt;br /&gt; PROCESSING AID,&lt;br /&gt; SURFACE-FINISHING AGENT</t>
  </si>
  <si>
    <t xml:space="preserve"> 977038-60-0</t>
  </si>
  <si>
    <t xml:space="preserve"> CINNAMON BARK, EXTRACT (CINNAMOMUM SPP.)</t>
  </si>
  <si>
    <t xml:space="preserve"> &amp;diams; CINNAMON BARK EXTRACT&lt;br /&gt;&amp;diams; CASSIA BARK EXTRACT&lt;br /&gt;&amp;diams; CEYLON CINNAMON BARK EXTRACT</t>
  </si>
  <si>
    <t xml:space="preserve"> 8007-80-5</t>
  </si>
  <si>
    <t xml:space="preserve"> CINNAMON BARK, OIL (CINNAMOMUM SPP.)</t>
  </si>
  <si>
    <t xml:space="preserve"> &amp;diams; CINNAMON OIL&lt;br /&gt;&amp;diams; CASSIA OIL&lt;br /&gt;&amp;diams; CINNAMON OIL, CHINESE&lt;br /&gt;&amp;diams; CINNAMON BARK OIL&lt;br /&gt;&amp;diams; CASSIA BARK OIL&lt;br /&gt;&amp;diams; CINNAMON OIL, CEYLON&lt;br /&gt;&amp;diams; OILS, CASSIA</t>
  </si>
  <si>
    <t xml:space="preserve"> 977091-23-8</t>
  </si>
  <si>
    <t xml:space="preserve"> CINNAMON BARK OLEORESIN, CEYLON, CHINESE, OR SAIGON (CINNAMOMUM SPP.)</t>
  </si>
  <si>
    <t xml:space="preserve"> &amp;diams; CINNAMON BARK OLEORESIN</t>
  </si>
  <si>
    <t xml:space="preserve"> 8015-96-1</t>
  </si>
  <si>
    <t xml:space="preserve"> CINNAMON LEAF, OIL (CINNAMOMUM SPP.)</t>
  </si>
  <si>
    <t xml:space="preserve"> &amp;diams; CINNAMON LEAF OIL&lt;br /&gt;&amp;diams; CINNAMON LEAF OIL, CEYLON&lt;br /&gt;&amp;diams; CINNAMON LEAF OIL, CHINESE&lt;br /&gt;&amp;diams; OILS, CINNAMON&lt;br /&gt;&amp;diams; CINNAMON LEAF OIL, SAIGON</t>
  </si>
  <si>
    <t xml:space="preserve"> 977184-45-4</t>
  </si>
  <si>
    <t xml:space="preserve"> CINNAMON LEAF OIL, RECTIFIED</t>
  </si>
  <si>
    <t xml:space="preserve"> &amp;diams; CINNAMON LEAF OIL, RECTIFIED</t>
  </si>
  <si>
    <t xml:space="preserve"> 103-54-8</t>
  </si>
  <si>
    <t xml:space="preserve"> CINNAMYL ACETATE</t>
  </si>
  <si>
    <t xml:space="preserve"> &amp;diams; CINNAMYL ACETATE&lt;br /&gt;&amp;diams; 3-PHENYL-2-PROPEN-1-YL ACETATE&lt;br /&gt;&amp;diams; 3-PHENYLALLYL ACETATE&lt;br /&gt;&amp;diams; 2-PROPEN-1-OL, 3-PHENYL-, ACETATE&lt;br /&gt;&amp;diams; CINNAMYL ALCOHOL, ACETATE&lt;br /&gt;&amp;diams; GAMMA-PHENYLALLYL ACETATE&lt;br /&gt;&amp;diams; 1-ACETOXY-3-PHENYL-2-PROPENE</t>
  </si>
  <si>
    <t xml:space="preserve"> 104-54-1</t>
  </si>
  <si>
    <t xml:space="preserve"> CINNAMYL ALCOHOL</t>
  </si>
  <si>
    <t xml:space="preserve"> &amp;diams; CINNAMYL ALCOHOL&lt;br /&gt;&amp;diams; 3-PHENYL-2-PROPEN-1-OL&lt;br /&gt;&amp;diams; CINNAMIC ALCOHOL&lt;br /&gt;&amp;diams; GAMMA-PHENYLALLYL ALCOHOL&lt;br /&gt;&amp;diams; STYRYL CARBINOL&lt;br /&gt;&amp;diams; ZIMTALCOHOL&lt;br /&gt;&amp;diams; 2-PROPEN-1-OL, 3-PHENYL-&lt;br /&gt;&amp;diams; 1-PHENYLPROP-1-EN-3-OL</t>
  </si>
  <si>
    <t xml:space="preserve"> 87-29-6</t>
  </si>
  <si>
    <t xml:space="preserve"> CINNAMYL ANTHRANILATE--PROHIBITED</t>
  </si>
  <si>
    <t xml:space="preserve"> &amp;diams; CINNAMYL ANTHRANILATE&lt;br /&gt;&amp;diams; ANTHRANILIC ACID, CINNAMYL ESTER&lt;br /&gt;&amp;diams; CINNAMYL O-AMINOBENZOATE&lt;br /&gt;&amp;diams; CINNAMYL 2-AMINOBENZOATE&lt;br /&gt;&amp;diams; 3-PHENYL-2-PROPEN-1-YL 2-AMINOBENZOATE&lt;br /&gt;&amp;diams; 3-PHENYL-2-PROPENYL ANTHRANILATE&lt;br /&gt;&amp;diams; 2-PROPEN-1-OL, 3-PHENYL-, 2-AMINOBENZOATE</t>
  </si>
  <si>
    <t xml:space="preserve"> 5320-75-2</t>
  </si>
  <si>
    <t xml:space="preserve"> CINNAMYL BENZOATE</t>
  </si>
  <si>
    <t xml:space="preserve"> &amp;diams; CINNAMYL BENZOATE&lt;br /&gt;&amp;diams; 3-PHENYL-2-PROPEN-1-YL BENZOATE&lt;br /&gt;&amp;diams; 2-PROPEN-1-OL, 3-PHENYL-, BENZOATE&lt;br /&gt;&amp;diams; CINNAMYL ALCOHOL, BENZOATE</t>
  </si>
  <si>
    <t xml:space="preserve"> 103-61-7</t>
  </si>
  <si>
    <t xml:space="preserve"> CINNAMYL BUTYRATE</t>
  </si>
  <si>
    <t xml:space="preserve"> &amp;diams; CINNAMYL BUTYRATE&lt;br /&gt;&amp;diams; 3-PHENYL-2-PROPEN-1-YL BUTYRATE&lt;br /&gt;&amp;diams; 3-PHENYLALLYL BUTYRATE&lt;br /&gt;&amp;diams; 3-PHENYL-2-PROPEN-1-YL BUTANOATE&lt;br /&gt;&amp;diams; BUTANOIC ACID, 3-PHENYL-2-PROPENYL ESTER&lt;br /&gt;&amp;diams; 3-PHENYL-2-PROPENYL BUTANOATE&lt;br /&gt;&amp;diams; BUTYRIC ACID, CINNAMYL ESTER</t>
  </si>
  <si>
    <t xml:space="preserve"> 122-69-0</t>
  </si>
  <si>
    <t xml:space="preserve"> CINNAMYL CINNAMATE</t>
  </si>
  <si>
    <t xml:space="preserve"> &amp;diams; CINNAMYL CINNAMATE&lt;br /&gt;&amp;diams; STYRACIN&lt;br /&gt;&amp;diams; CINNAMYL BETA-PHENYLACRYLATE&lt;br /&gt;&amp;diams; PHENYLALLYL CINNAMATE&lt;br /&gt;&amp;diams; 3-PHENYL-2-PROPEN-1-YL 3-PHENYLPROPENOATE&lt;br /&gt;&amp;diams; 3-PHENYLALLYL CINNAMATE&lt;br /&gt;&amp;diams; 2-PROPENOIC ACID, 3-PHENYL-, 3-PHENYL-2-PROPENYL ESTER&lt;br /&gt;&amp;diams; CINNAMIC ACID, CINNAMYL ESTER&lt;br /&gt;&amp;diams; 3-PHENYL-2-PROPENYL 3-PHENYL-2-PROPENOATE</t>
  </si>
  <si>
    <t xml:space="preserve"> 104-65-4</t>
  </si>
  <si>
    <t xml:space="preserve"> CINNAMYL FORMATE</t>
  </si>
  <si>
    <t xml:space="preserve"> &amp;diams; CINNAMYL FORMATE&lt;br /&gt;&amp;diams; CINNAMYL METHANOATE&lt;br /&gt;&amp;diams; 3-PHENYL-2-PROPEN-1-YL FORMATE&lt;br /&gt;&amp;diams; 3-PHENYLALLYL FORMATE&lt;br /&gt;&amp;diams; 2-PROPEN-1-OL, 3-PHENYL-, FORMATE&lt;br /&gt;&amp;diams; CINNAMYL ALCOHOL, FORMATE&lt;br /&gt;&amp;diams; GAMMA-PHENYLALLYL FORMATE</t>
  </si>
  <si>
    <t xml:space="preserve"> 103-59-3</t>
  </si>
  <si>
    <t xml:space="preserve"> CINNAMYL ISOBUTYRATE</t>
  </si>
  <si>
    <t xml:space="preserve"> &amp;diams; CINNAMYL ISOBUTYRATE&lt;br /&gt;&amp;diams; CINNAMYL 2-METHYLPROPANOATE&lt;br /&gt;&amp;diams; 3-PHENYL-2-PROPEN-1-YL ISOBUTYRATE&lt;br /&gt;&amp;diams; 3-PHENYL-2-PROPEN-1-YL 2-METHYLPROPANOATE&lt;br /&gt;&amp;diams; PROPANOIC ACID, 2-METHYL-, 3-PHENYL-2-PROPENYL ESTER&lt;br /&gt;&amp;diams; ISOBUTYRIC ACID, CINNAMYL ESTER</t>
  </si>
  <si>
    <t xml:space="preserve"> 140-27-2</t>
  </si>
  <si>
    <t xml:space="preserve"> CINNAMYL ISOVALERATE</t>
  </si>
  <si>
    <t xml:space="preserve"> &amp;diams; CINNAMYL ISOVALERATE&lt;br /&gt;&amp;diams; 3-PHENYL-2-PROPENYL 3-METHYLBUTANOATE&lt;br /&gt;&amp;diams; CINNAMYL 3-METHYLBUTANOATE&lt;br /&gt;&amp;diams; 3-PHENYLALLYL ISOVALERATE&lt;br /&gt;&amp;diams; 3-PHENYLALLYL 3-METHYLBUTANOATE&lt;br /&gt;&amp;diams; CINNAMYL ISOVALERIANATE&lt;br /&gt;&amp;diams; BUTANOIC ACID, 3-METHYL-, 3-PHENYL-2-PROPENYL ESTER&lt;br /&gt;&amp;diams; ISOVALERIC ACID, CINNAMYL ESTER</t>
  </si>
  <si>
    <t xml:space="preserve"> 7492-65-1</t>
  </si>
  <si>
    <t xml:space="preserve"> CINNAMYL PHENYLACETATE</t>
  </si>
  <si>
    <t xml:space="preserve"> &amp;diams; CINNAMYL PHENYLACETATE&lt;br /&gt;&amp;diams; BENZENEACETIC ACID, 3-PHENYL-2-PROPENYL ESTER&lt;br /&gt;&amp;diams; ACETIC ACID, PHENYL-, CINNAMYL ESTER&lt;br /&gt;&amp;diams; CINNAMYL ALPHA-TOLUATE&lt;br /&gt;&amp;diams; 3-PHENYL-2-PROPEN-1-YL PHENYLACETATE&lt;br /&gt;&amp;diams; 3-PHENYLALLYL PHENYLACETATE&lt;br /&gt;&amp;diams; 3-PHENYL-2-PROPENYL BENZENEACETATE</t>
  </si>
  <si>
    <t xml:space="preserve"> 103-56-0</t>
  </si>
  <si>
    <t xml:space="preserve"> CINNAMYL PROPIONATE</t>
  </si>
  <si>
    <t xml:space="preserve"> &amp;diams; CINNAMYL PROPIONATE&lt;br /&gt;&amp;diams; GAMMA-PHENYLALLYL PROPIONATE&lt;br /&gt;&amp;diams; 3-PHENYL-2-PROPEN-1-YL PROPANOATE&lt;br /&gt;&amp;diams; 3-PHENYL-2-PROPENYL PROPANOATE&lt;br /&gt;&amp;diams; 3-PHENYLALLYL PROPIONATE&lt;br /&gt;&amp;diams; 2-PROPEN-1-OL, 3-PHENYL-, PROPANOATE&lt;br /&gt;&amp;diams; CINNAMYL ALCOHOL, PROPIONATE&lt;br /&gt;&amp;diams; PROPIONIC ACID, CINNAMYL ESTER</t>
  </si>
  <si>
    <t xml:space="preserve"> 6290-17-1</t>
  </si>
  <si>
    <t xml:space="preserve"> CIS- AND TRANS-ETHYL 2,4-DIMETHYL-1,3-DIOXOLANE-2-ACETATE</t>
  </si>
  <si>
    <t xml:space="preserve"> &amp;diams; ETHYL ACETOACETATE PROPYLENE GLYCOL KETAL&lt;br /&gt;&amp;diams; 1,3-dioxolane-2-acetic acid, 2,4-dimethyl-, ethyl ester&lt;br /&gt;&amp;diams; ethyl 2,4-dimethyl-1,3-dioxolane-2-acetic acid&lt;br /&gt;&amp;diams; 2,4-dimethyl-2-((ethoxycarbonyl)methyl)-1,3-dioxolane&lt;br /&gt;&amp;diams; InChI: InChI=1S/C9H16O4/c1-4-11-8(10)5-9(3)12-6-7(2)13-9/h7H,4-6H2,1-3H3&lt;br /&gt;&amp;diams; InChIKey: GSIXJEIRJVOUFB-UHFFFAOYSA-N</t>
  </si>
  <si>
    <t xml:space="preserve"> 83418-54-6</t>
  </si>
  <si>
    <t xml:space="preserve"> CIS- AND TRANS-5-ETHYL-4-METHYL-2-(2-BUTYL)-THIAZOLINE</t>
  </si>
  <si>
    <t xml:space="preserve"> &amp;diams; 2-SEC-BUTYL-5-ETHYL-4-METHYL-3-THIAZOLINE&lt;br /&gt;&amp;diams; thiazole, 5-ethyl-2,5-dihydro-4-methyl-2-(1-methylpropyl)-&lt;br /&gt;&amp;diams; 5-ethyl-2,5-dihydro-4-methyl-2-(1-methylpropyl)thiazole&lt;br /&gt;&amp;diams; 5-ethyl-4-methyl-2-(1-methylpropyl)-3-thiazoline&lt;br /&gt;&amp;diams; InChI=1S/C10H19NS/c1-5-7(3)10-11-8(4)9(6-2)12-10/h7-9H,5-6H2,1-4H3&lt;br /&gt;&amp;diams;  RFBWQYHRQKASFM-UHFFFAOYSA-N&lt;br /&gt;&amp;diams; InChI=1S/C10H19NS/c1-5-9-8(4)11-10(12-9)6-7(2)3/h7-9H,5-6H2,1-4H3&lt;br /&gt;&amp;diams; InChIKey: VRMJLCZXVASWQJ-UHFFFAOYSA-N</t>
  </si>
  <si>
    <t xml:space="preserve"> 83418-53-5</t>
  </si>
  <si>
    <t xml:space="preserve"> CIS AND TRANS-5-ETHYL-4-METHYL-2-(2-METHYLPROPYL)-THIAZOLINE</t>
  </si>
  <si>
    <t xml:space="preserve"> &amp;diams; 2-ISOBUTYL-5-ETHYL-4-METHYL-3-THIAZOLINE&lt;br /&gt;&amp;diams; thiazole, 5-ethyl-2,5-dihydro-4-methyl-2-(2-methylpropyl)-&lt;br /&gt;&amp;diams; 5-ethyl-2,5-dihydro-4-methyl-2-(2-methylpropyl)thiazole&lt;br /&gt;&amp;diams; 5-ethyl-4-methyl-2-(2-methylpropyl)thiazoline&lt;br /&gt;&amp;diams; InChI=1S/C10H19NS/c1-5-9-8(4)11-10(12-9)6-7(2)3/h7-9H,5-6H2,1-4H3&lt;br /&gt;&amp;diams; InChIKey: VRMJLCZXVASWQJ-UHFFFAOYSA-N</t>
  </si>
  <si>
    <t xml:space="preserve"> 18433-93-7</t>
  </si>
  <si>
    <t xml:space="preserve"> CIS- AND TRANS-2-ISOBUTYL-4-METHYL-1,3-DIOXOLANE</t>
  </si>
  <si>
    <t xml:space="preserve"> &amp;diams; 3-METHYLBUTYRALDEHYDE PROPYLENE GLYCOL ACETAL&lt;br /&gt;&amp;diams; 1,3-dioxolane, 4-methyl-2-(2-methylpropyl)-&lt;br /&gt;&amp;diams; 4-methyl-2-(2-methylpropyl)-1,3-dioxolane&lt;br /&gt;&amp;diams; 1,3-dioxolane, 2-isobutyl-4-methyl-&lt;br /&gt;&amp;diams; 2-isobutyl-4-methyl-1,3-dioxolane&lt;br /&gt;&amp;diams; isovaleraldehyde propylene glycol acetal&lt;br /&gt;&amp;diams; InChI=1S/C8H16O2/c1-6(2)4-8-9-5-7(3)10-8/h6-8H,4-5H2,1-3H3&lt;br /&gt;&amp;diams; InChIKey: PDVLTWPJDBXATJ-UHFFFAOYSA-N</t>
  </si>
  <si>
    <t xml:space="preserve"> 67879-60-1</t>
  </si>
  <si>
    <t xml:space="preserve"> CIS- AND TRANS-2-ISOPROPYL-4-METHYL-1,3-DIOXOLANE</t>
  </si>
  <si>
    <t xml:space="preserve"> &amp;diams; ISOBUTYRALDEHYDE PROPYLENE GLYCOL ACETAL&lt;br /&gt;&amp;diams; 1,3-dioxolane, 4-methyl-2-(1-methylethyl)-&lt;br /&gt;&amp;diams;  4-methyl-2-(1-methylethyl)-1,3-dioxolane&lt;br /&gt;&amp;diams; 2-isopropyl-4-methyl-1,3-dioxolane&lt;br /&gt;&amp;diams; InChI=1S/C7H14O2/c1-5(2)7-8-4-6(3)9-7/h5-7H,4H2,1-3H3&lt;br /&gt;&amp;diams; InChIKey: NWXXKKDLGZLEGH-UHFFFAOYSA-N</t>
  </si>
  <si>
    <t xml:space="preserve"> 29725-66-4</t>
  </si>
  <si>
    <t xml:space="preserve"> CIS- AND TRANS-L-MERCAPTO-P-MENTHAN-3-ONE</t>
  </si>
  <si>
    <t xml:space="preserve"> &amp;diams; 1-MERCAPTO-P-MENTHAN-3-ONE&lt;br /&gt;&amp;diams; cyclohexane, 5-mercapto-5-methyl-2-(1-methylethyl)-&lt;br /&gt;&amp;diams; 5-mercapto-5-methyl-2-(1-methylethyl)cyclohexanone&lt;br /&gt;&amp;diams; p-menthan-3-one, 1-mercapto-, (+)-&lt;br /&gt;&amp;diams; 1-mercapto-p-menthan-3-one, (+)-&lt;br /&gt;&amp;diams; InChI=1S/C10H18OS/c1-7(2)8-4-5-10(3,12)6-9(8)11/h7-8,12H,4-6H2,1-3H3&lt;br /&gt;&amp;diams;  InChIKey: LCFWUUYRTYROGC-UHFFFAOYSA-N</t>
  </si>
  <si>
    <t xml:space="preserve"> 904929-41-5</t>
  </si>
  <si>
    <t xml:space="preserve"> (+/-)-CIS- AND TRANS-2-METHYL-2-(4-METHYL-3-PENTENYL)CYCLOPROPANECARBALDEHYDE</t>
  </si>
  <si>
    <t xml:space="preserve"> &amp;diams; 2-METHYL-2-(40METHYL-3-PENTEN-1-YL)CYCLOPROPANECARBOXALDEHYDE&lt;br /&gt;&amp;diams; cyclopropanecarboxaldehyde, 2-methyl-2-(4-methyl-3-penten-1-yl)-&lt;br /&gt;&amp;diams; cyclopropanecarboxaldehyde, 2-methyl-2-(4-methyl-3-pentenyl)-&lt;br /&gt;&amp;diams; 2-methyl-2-(4-methyl-3-penten-1-yl)cyclopropanecarboxaldehyde</t>
  </si>
  <si>
    <t xml:space="preserve"> 59323-81-8</t>
  </si>
  <si>
    <t xml:space="preserve"> (+/-)CIS- AND TRANS-2-PENTYL-4-PROPYL-1,3-OXATHIANE</t>
  </si>
  <si>
    <t xml:space="preserve"> &amp;diams; 2-PENTYL-4-PROPYL-1,3-OXATHIANE&lt;br /&gt;&amp;diams; 1,3-oxathiane, 2-pentyl-4-propyl-</t>
  </si>
  <si>
    <t xml:space="preserve"> 57074-37-0</t>
  </si>
  <si>
    <t xml:space="preserve"> CIS-4-DECENOL</t>
  </si>
  <si>
    <t xml:space="preserve"> &amp;diams; 4-DECENOL, CIS-&lt;br /&gt;&amp;diams; 4-decen-1-ol, (4Z)-&lt;br /&gt;&amp;diams; 4-decen-1-ol, (Z)-&lt;br /&gt;&amp;diams; 4-decen-1-ol, cis-&lt;br /&gt;&amp;diams; InChI=1S/C10H20O/c1-2-3-4-5-6-7-8-9-10-11/h6-7,11H,2-5,8-10H2,1H3/b7-6-&lt;br /&gt;&amp;diams; InChIKey: VUNFOJWKJSYIDH-SREVYHEPSA-N</t>
  </si>
  <si>
    <t xml:space="preserve"> 6728-31-0</t>
  </si>
  <si>
    <t xml:space="preserve"> CIS-4-HEPTENAL</t>
  </si>
  <si>
    <t xml:space="preserve"> &amp;diams; 4-HEPTENAL, CIS-&lt;br /&gt;&amp;diams; PROPYLIDENEBUTYRALDEHYDE&lt;br /&gt;&amp;diams; 4-HEPTENAL, (Z)-</t>
  </si>
  <si>
    <t xml:space="preserve"> 1775-43-5</t>
  </si>
  <si>
    <t xml:space="preserve"> CIS-3-HEXENOIC ACID</t>
  </si>
  <si>
    <t xml:space="preserve"> &amp;diams; 3-HEXENOIC ACID, CIS-&lt;br /&gt;&amp;diams; 3-hexenoic acid, (3Z)-&lt;br /&gt;&amp;diams; 3-hexenoic acid, (Z)-&lt;br /&gt;&amp;diams; InChI=1S/C6H10O2/c1-2-3-4-5-6(7)8/h3-4H,2,5H2,1H3,(H,7,8)/b4-3-&lt;br /&gt;&amp;diams; InChIKey: XXHDAWYDNSXJQM-ARJAWSKDSA-N</t>
  </si>
  <si>
    <t xml:space="preserve"> 928-96-1</t>
  </si>
  <si>
    <t xml:space="preserve"> CIS-3-HEXEN-1-OL</t>
  </si>
  <si>
    <t xml:space="preserve"> &amp;diams; 3-HEXEN-1-OL, CIS-&lt;br /&gt;&amp;diams; BLATTERALKOHOL&lt;br /&gt;&amp;diams; BETA,GAMMA-HEXENOL&lt;br /&gt;&amp;diams; LEAF ALCOHOL&lt;br /&gt;&amp;diams; 3-HEXENOL, CIS-&lt;br /&gt;&amp;diams; NSC-74451&lt;br /&gt;&amp;diams; 3-HEXEN-1-OL, (Z)-&lt;br /&gt;&amp;diams; 3-HEXEN-1-OL, (3Z)-</t>
  </si>
  <si>
    <t xml:space="preserve"> 3681-71-8</t>
  </si>
  <si>
    <t xml:space="preserve"> CIS-3-HEXEN-1-YL ACETATE</t>
  </si>
  <si>
    <t xml:space="preserve"> &amp;diams; 3-HEXENYL ACETATE, CIS-&lt;br /&gt;&amp;diams; 3-HEXENYL ETHANOATE, CIS-&lt;br /&gt;&amp;diams; 3-HEXEN-1-OL, ACETATE, (Z)-&lt;br /&gt;&amp;diams; 3-HEXENYL ACETATE, (Z)-&lt;br /&gt;&amp;diams; 3-HEXEN-1-OL, ACETATE, (3Z)-</t>
  </si>
  <si>
    <t xml:space="preserve"> 84434-20-8</t>
  </si>
  <si>
    <t xml:space="preserve"> CIS-3-HEXENYL ACETOACETATE</t>
  </si>
  <si>
    <t xml:space="preserve"> &amp;diams; 3-HEXENYL ACETOACETATE, CIS-&lt;br /&gt;&amp;diams; butanoic acid, 3-oxo-, (3Z)-3-hexenyl ester&lt;br /&gt;&amp;diams; 3-hexenyl 3-oxobutanoate, (Z)-&lt;br /&gt;&amp;diams; InChI=1S/C10H16O3/c1-3-4-5-6-7-13-10(12)8-9(2)11/h4-5H,3,6-8H2,1-2H3/b5-4-&lt;br /&gt;&amp;diams; InChIKey: JCPGKFSGEPVXMI-PLNGDYQASA-N</t>
  </si>
  <si>
    <t xml:space="preserve"> 16491-36-4</t>
  </si>
  <si>
    <t xml:space="preserve"> CIS-3-HEXENYL BUTYRATE</t>
  </si>
  <si>
    <t xml:space="preserve"> &amp;diams; 3-HEXENYL BUTYRATE, CIS-&lt;br /&gt;&amp;diams; BETA,GAMMA-HEXENYL BUTYRATE&lt;br /&gt;&amp;diams; BUTANOIC ACID, (3Z)-3-HEXENYL ESTER&lt;br /&gt;&amp;diams; BUTYRIC ACID, 3-HEXENYL ESTER, (Z)-&lt;br /&gt;&amp;diams; 3-HEXENYL BUTANOATE, CIS-&lt;br /&gt;&amp;diams; 3-HEXENYL BUTANOATE, (Z)-&lt;br /&gt;&amp;diams; 3-HEXENYL BUTYRATE, (Z)-</t>
  </si>
  <si>
    <t xml:space="preserve"> 61444-38-0</t>
  </si>
  <si>
    <t xml:space="preserve"> CIS-3-HEXENYL CIS-3-HEXENOATE</t>
  </si>
  <si>
    <t xml:space="preserve"> &amp;diams; 3-HEXENYL CIS-3-HEXENOATE, CIS-&lt;br /&gt;&amp;diams; 3-HEXENYL (Z)-3-HEXENOATE, (Z)-&lt;br /&gt;&amp;diams; 3-HEXENYL 3-HEXENOATE, (Z,Z)-&lt;br /&gt;&amp;diams; 3-HEXENOIC ACID, (3Z)-3-HEXENYL ESTER, (3Z)-</t>
  </si>
  <si>
    <t xml:space="preserve"> 33467-73-1</t>
  </si>
  <si>
    <t xml:space="preserve"> CIS-3-HEXENYL FORMATE</t>
  </si>
  <si>
    <t xml:space="preserve"> &amp;diams; 3-HEXENYL FORMATE, CIS-&lt;br /&gt;&amp;diams; 3-HEXENYL METHANOATE, CIS-&lt;br /&gt;&amp;diams; 3-HEXEN-1-OL, FORMATE, (Z)-&lt;br /&gt;&amp;diams; 3-HEXEN-1-OL, FORMATE, (3Z)-</t>
  </si>
  <si>
    <t xml:space="preserve"> 31501-11-8</t>
  </si>
  <si>
    <t xml:space="preserve"> CIS-3-HEXENYL HEXANOATE</t>
  </si>
  <si>
    <t xml:space="preserve"> &amp;diams; 3-HEXENYL HEXANOATE, CIS-&lt;br /&gt;&amp;diams; HEXANOIC ACID, 3-HEXENYL ESTER, (Z)-&lt;br /&gt;&amp;diams; HEXANOIC ACID, (3Z)-3-HEXENYL ESTER&lt;br /&gt;&amp;diams; 3-HEXENYL CAPROATE, CIS-&lt;br /&gt;&amp;diams; 3-HEXENYL HEXANOATE, (Z)-</t>
  </si>
  <si>
    <t xml:space="preserve"> 55253-28-6</t>
  </si>
  <si>
    <t xml:space="preserve"> CIS-5-ISOPROPENYL-CIS-2-METHYLCYCLOPENTAN-1-CARBOXALDEHYDE</t>
  </si>
  <si>
    <t xml:space="preserve"> &amp;diams; 5-ISOPROPENYL-CIS-2-METHYLCYCLOPENTANE-1-CARBOXALDEHYDE, CIS-&lt;br /&gt;&amp;diams; CYCLOPENTANECARBOXALDEHYDE, 2-METHYL-5-(1-METHYLETHENYL)-, (1R-(1ALPHA,2ALPHA,5ALPHA))-&lt;br /&gt;&amp;diams; PHOTOCITRAL A, CIS,CIS-&lt;br /&gt;&amp;diams; 2-METHYL-CIS-5-ISOPROPENYLCYCLOPENTANE-1-CARBOXALDEHYDE, CIS-&lt;br /&gt;&amp;diams; 2-METHYL-5-(1-METHYLETHENYL)CYCLOPENTANECARBOXALDEHYDE, 1ALPHA,2ALPHA,5ALPHA-</t>
  </si>
  <si>
    <t xml:space="preserve"> 10340-23-5</t>
  </si>
  <si>
    <t xml:space="preserve"> CIS-3-NONEN-1-OL</t>
  </si>
  <si>
    <t xml:space="preserve"> &amp;diams; 3-NONEN-1-OL, CIS-&lt;br /&gt;&amp;diams; 3-nonen-1-ol, (3Z)-&lt;br /&gt;&amp;diams; 3-nonen-1-ol, (Z)-&lt;br /&gt;&amp;diams; InChI=1S/C9H18O/c1-2-3-4-5-6-7-8-9-10/h6-7,10H,2-5,8-9H2,1H3/b7-6-&lt;br /&gt;&amp;diams; InChIKey: IFTBJDZSLBRRMC-SREVYHEPSA-N</t>
  </si>
  <si>
    <t xml:space="preserve"> 693-80-1</t>
  </si>
  <si>
    <t xml:space="preserve"> CIS-9-OCTADECENYL ACETATE</t>
  </si>
  <si>
    <t xml:space="preserve"> &amp;diams; OLEYL ACETATE&lt;br /&gt;&amp;diams; 9-octadeen-1-ol, 1-acetate, (9Z)-&lt;br /&gt;&amp;diams; 9-octadecen-1-yl 1-acetate, (9Z)-&lt;br /&gt;&amp;diams; 9-octadecen-1-ol, acetate, (9Z)-&lt;br /&gt;&amp;diams; 9-octadecen-1-yl acetate, (9Z)-&lt;br /&gt;&amp;diams; 9-octadecen-1-ol, acetate, (Z)-&lt;br /&gt;&amp;diams; 9-octadecenyl acetate, cis-&lt;br /&gt;&amp;diams; InChI=1S/C20H38O2/c1-3-4-5-6-7-8-9-10-11-12-13-14-15-16-17-18-19-22-20(2)21/h10-11H,3-9,12-19H2,1-2H3/b11-10-&lt;br /&gt;&amp;diams; InChIKey: GYGAZRPDUOHMAF-KHPPLWFESA-N</t>
  </si>
  <si>
    <t xml:space="preserve"> 41653-97-8</t>
  </si>
  <si>
    <t xml:space="preserve"> CIS-5-OCTENOIC ACID</t>
  </si>
  <si>
    <t xml:space="preserve"> &amp;diams; 5-OCTENOIC ACID, CIS-&lt;br /&gt;&amp;diams; InChI=1S/C8H14O2/c1-2-3-4-5-6-7-8(9)10/h3-4H,2,5-7H2,1H3,(H,9,10)/b4-3-&lt;br /&gt;&amp;diams; InChIKey: RRGOKSYVAZDNKR-ARJAWSKDSA-N&lt;br /&gt;&amp;diams; 5-octenoic acid, (5Z)-&lt;br /&gt;&amp;diams; 5-octenoic acid, (Z)-</t>
  </si>
  <si>
    <t xml:space="preserve"> 5392-40-5</t>
  </si>
  <si>
    <t xml:space="preserve"> CITRAL</t>
  </si>
  <si>
    <t xml:space="preserve"> &amp;diams; CITRAL&lt;br /&gt;&amp;diams; 3,7-DIMETHYL-2,6-OCTADIENAL&lt;br /&gt;&amp;diams; 2,6-DIMETHYLOCTADIEN-2,6-AL-8&lt;br /&gt;&amp;diams; 2,6-OCTADIENAL, 3,7-DIMETHYL-</t>
  </si>
  <si>
    <t xml:space="preserve"> 7492-66-2</t>
  </si>
  <si>
    <t xml:space="preserve"> CITRAL DIETHYL ACETAL</t>
  </si>
  <si>
    <t xml:space="preserve"> &amp;diams; CITRAL DIETHYL ACETAL&lt;br /&gt;&amp;diams; 1,1-DIETHOXY-3,7-DIMETHYL-2,6-OCTADIENE&lt;br /&gt;&amp;diams; 3,7-DIMETHYL-2,6-OCTADIENAL DIETHYL ACETAL&lt;br /&gt;&amp;diams; 2,6-OCTADIENE, 1,1-DIETHOXY-3,7-DIMETHYL-&lt;br /&gt;&amp;diams; 2,6-OCTADIENAL, 3,7-DIMETHYL-, DIETHYL ACETAL</t>
  </si>
  <si>
    <t xml:space="preserve"> 7549-37-3</t>
  </si>
  <si>
    <t xml:space="preserve"> CITRAL DIMETHYL ACETAL</t>
  </si>
  <si>
    <t xml:space="preserve"> &amp;diams; CITRAL DIMETHYL ACETAL&lt;br /&gt;&amp;diams; 1,1-DIMETHOXY-3,7-DIMETHYL-2,6-OCTADIENE&lt;br /&gt;&amp;diams; 3,7-DIMETHYL-2,6-OCTADIENAL DIMETHYL ACETAL&lt;br /&gt;&amp;diams; 2,6-OCTADIENE, 1,1-DIMETHOXY-3,7-DIMETHYL-&lt;br /&gt;&amp;diams; 2,6-OCTADIENAL, 3,7-DIMETHYL-, DIMETHYL ACETAL</t>
  </si>
  <si>
    <t xml:space="preserve"> 5694-82-6</t>
  </si>
  <si>
    <t xml:space="preserve"> CITRAL GLYCERYL ACETAL</t>
  </si>
  <si>
    <t xml:space="preserve"> &amp;diams; CITRAL 1,2-GLYCERYL ACETAL&lt;br /&gt;&amp;diams; 1,3-dioxolane-4-methanol, 2-(2,6-dimethyl-1,5-heptadien-1-yl)-&lt;br /&gt;&amp;diams; 2-(2,6-dimethyl-1,5-heptadien-1-yl)-1,3-dioxolane-4-methanol&lt;br /&gt;&amp;diams; 1,3-dioxolane-4-methanol, 2-(2,6-dimethyl-1,5-heptadienyl)-&lt;br /&gt;&amp;diams; 2-(2,6-dimethyl-1,5-heptadienyl)-1,3-dioxolane-4-methanol&lt;br /&gt;&amp;diams; 2,6-octadienal, 3,7-dimethyl, cyclic 1-(hydroxymethyl)-1,2-ethanediyl acetal</t>
  </si>
  <si>
    <t xml:space="preserve"> 10444-50-5</t>
  </si>
  <si>
    <t xml:space="preserve"> CITRAL PROPYLENE GLYCOL ACETAL</t>
  </si>
  <si>
    <t xml:space="preserve"> &amp;diams; CITRAL PROPYLENE GLYCOL ACETAL&lt;br /&gt;&amp;diams; 2-(2,6-DIMETHYL-1,5-HEPTADIENYL)-4-METHYL-1,3-DIOXOLANE&lt;br /&gt;&amp;diams; 1,3-DIOXOLANE, 2-(2,6-DIMETHYL-1,5-HEPTADIENYL)-4-METHYL-</t>
  </si>
  <si>
    <t xml:space="preserve"> 97593-31-2</t>
  </si>
  <si>
    <t xml:space="preserve"> CITRIC AND FATTY ACID ESTERS OF GLYCEROL</t>
  </si>
  <si>
    <t xml:space="preserve"> 106-23-0</t>
  </si>
  <si>
    <t xml:space="preserve"> CITRONELLAL</t>
  </si>
  <si>
    <t xml:space="preserve"> &amp;diams; CITRONELLAL&lt;br /&gt;&amp;diams; 3,7-DIMETHYL-6-OCTENAL&lt;br /&gt;&amp;diams; RHODINAL&lt;br /&gt;&amp;diams; 6-OCTENAL, 3,7-DIMETHYL-&lt;br /&gt;&amp;diams; CITRONELLAL, BETA-&lt;br /&gt;&amp;diams; 2,3-DIHYDROCITRAL</t>
  </si>
  <si>
    <t xml:space="preserve"> 8000-29-1</t>
  </si>
  <si>
    <t xml:space="preserve"> CITRONELLA, OIL (CYMBOPOGON NARDUS RENDLE)</t>
  </si>
  <si>
    <t xml:space="preserve"> &amp;diams; CITRONELLA OIL&lt;br /&gt;&amp;diams; OILS, CITRONELLA&lt;br /&gt;&amp;diams; CYMBOPOGON NARDUS OIL</t>
  </si>
  <si>
    <t xml:space="preserve"> 106-22-9</t>
  </si>
  <si>
    <t xml:space="preserve"> DL-CITRONELLOL</t>
  </si>
  <si>
    <t xml:space="preserve"> &amp;diams; CITRONELLOL&lt;br /&gt;&amp;diams; CITRONELLOL, BETA-&lt;br /&gt;&amp;diams; CEPHROL&lt;br /&gt;&amp;diams; RODINOL&lt;br /&gt;&amp;diams; 2,6-DIMETHYL-2-OCTEN-8-OL&lt;br /&gt;&amp;diams; 3,7-DIMETHYL-6-OCTEN-1-OL&lt;br /&gt;&amp;diams; 6-OCTEN-1-OL, 3,7-DIMETHYL-&lt;br /&gt;&amp;diams; CITRONELLOL, DL-&lt;br /&gt;&amp;diams; CITRONELLOL, (+-)-</t>
  </si>
  <si>
    <t xml:space="preserve"> 7492-67-3</t>
  </si>
  <si>
    <t xml:space="preserve"> CITRONELLOXYACETALDEHYDE</t>
  </si>
  <si>
    <t xml:space="preserve"> &amp;diams; CITRONELLOXYACETALDEHYDE&lt;br /&gt;&amp;diams; ACETALDEHYDE, ((3,7-DIMETHYL-6-OCTENYL)OXY)-&lt;br /&gt;&amp;diams; ((3,7-DIMETHYL-6-OCTENYL)OXY)ACETALDEHYDE&lt;br /&gt;&amp;diams; CITRONELLYLOXYACETALDEHYDE&lt;br /&gt;&amp;diams; MUGET ALDEHYDE&lt;br /&gt;&amp;diams; 6,10-DIMETHYL-3-OXA-9-UNDECENAL</t>
  </si>
  <si>
    <t xml:space="preserve"> 150-84-5</t>
  </si>
  <si>
    <t xml:space="preserve"> CITRONELLYL ACETATE</t>
  </si>
  <si>
    <t xml:space="preserve"> &amp;diams; CITRONELLYL ACETATE&lt;br /&gt;&amp;diams; 3,7-DIMETHYL-6-OCTENYL ACETATE&lt;br /&gt;&amp;diams; CITRONELLYL ACETATE, BETA-&lt;br /&gt;&amp;diams; CITRONELLYL ETHANOATE&lt;br /&gt;&amp;diams; 3,7-DIMETHYL-6-OCTEN-1-YL ETHANOATE&lt;br /&gt;&amp;diams; 6-OCTEN-1-OL, 3,7-DIMETHYL-, ACETATE&lt;br /&gt;&amp;diams; 1-ACETOXY-3,7-DIMETHYLOCT-6-ENE&lt;br /&gt;&amp;diams; BETA-CITRONELLYL ACETATE</t>
  </si>
  <si>
    <t xml:space="preserve"> 68555-57-7</t>
  </si>
  <si>
    <t xml:space="preserve"> CITRONELLYL ANTHRANILATE</t>
  </si>
  <si>
    <t xml:space="preserve"> &amp;diams; CITRONELLYL ANTHRANILATE&lt;br /&gt;&amp;diams; 3,7-dimethyl-6-octen-1-yl 2-aminobenzoate&lt;br /&gt;&amp;diams; 3,7-dimethyl-6-octen-1-yl 1-(2-aminobenzoate)&lt;br /&gt;&amp;diams; 6-octen-1-ol, 3,7-dimethyl-, 1-(2-aminobenzoate)&lt;br /&gt;&amp;diams; 6-octen-1-ol, 3,7-dimethyl-, 2-aminobenzoate</t>
  </si>
  <si>
    <t xml:space="preserve"> 141-16-2</t>
  </si>
  <si>
    <t xml:space="preserve"> CITRONELLYL BUTYRATE</t>
  </si>
  <si>
    <t xml:space="preserve"> &amp;diams; CITRONELLYL BUTYRATE&lt;br /&gt;&amp;diams; 3,7-DIMETHYL-6-OCTENYL BUTYRATE&lt;br /&gt;&amp;diams; CITRONELLYL BUTANOATE&lt;br /&gt;&amp;diams; BUTANOIC ACID, 3,7-DIMETHYL-6-OCTENYL ESTER&lt;br /&gt;&amp;diams; 3,7-DIMETHYL-6-OCTENYL BUTANOATE&lt;br /&gt;&amp;diams; BUTYRIC ACID, 3,7-DIMETHYL-6-OCTENYL ESTER&lt;br /&gt;&amp;diams; 6-OCTEN-1-OL, 3,7-DIMETHYL-, BUTYRATE</t>
  </si>
  <si>
    <t xml:space="preserve"> 105-85-1</t>
  </si>
  <si>
    <t xml:space="preserve"> CITRONELLYL FORMATE</t>
  </si>
  <si>
    <t xml:space="preserve"> &amp;diams; CITRONELLYL FORMATE&lt;br /&gt;&amp;diams; 3,7-DIMETHYL-6-OCTENYL FORMATE&lt;br /&gt;&amp;diams; CITRONELLYL METHANOATE&lt;br /&gt;&amp;diams; 3,7-DIMETHYL-6-OCTEN-1-YL METHANOATE&lt;br /&gt;&amp;diams; 6-OCTEN-1-OL, 3,7-DIMETHYL-, FORMATE</t>
  </si>
  <si>
    <t xml:space="preserve"> 97-89-2</t>
  </si>
  <si>
    <t xml:space="preserve"> CITRONELLYL ISOBUTYRATE</t>
  </si>
  <si>
    <t xml:space="preserve"> &amp;diams; CITRONELLYL ISOBUTYRATE&lt;br /&gt;&amp;diams; CITRONELLYL 2-METHYLPROPANOATE&lt;br /&gt;&amp;diams; ISOBUTYRIC ACID, 3,7-DIMETHYL-6-OCTENYL ESTER&lt;br /&gt;&amp;diams; PROPANOIC ACID, 2-METHYL-, 3,7-DIMETHYL-6-OCTENYL ESTER&lt;br /&gt;&amp;diams; 3,7-DIMETHYL-6-OCTENYL ISOBUTYRATE&lt;br /&gt;&amp;diams; 3,7-DIMETHYL-6-OCTENYL 2-METHYLPROPANOATE</t>
  </si>
  <si>
    <t xml:space="preserve"> 139-70-8</t>
  </si>
  <si>
    <t xml:space="preserve"> CITRONELLYL PHENYLACETATE</t>
  </si>
  <si>
    <t xml:space="preserve"> &amp;diams; CITRONELLYL PHENYLACETATE&lt;br /&gt;&amp;diams; BENZENEACETIC ACID, 3,7-DIMETHYL-6-OCTENYL ESTER&lt;br /&gt;&amp;diams; ACETIC ACID, PHENYL-, 3,7-DIMETHYL-6-OCTENYL ESTER&lt;br /&gt;&amp;diams; CITRONELLYL ALPHA-TOLUATE&lt;br /&gt;&amp;diams; 3,7-DIMETHYL-6-OCTENYL PHENYLACETATE&lt;br /&gt;&amp;diams; 3,7-DIMETHYL-6-OCTENYL BENZENEACETATE</t>
  </si>
  <si>
    <t xml:space="preserve"> 141-14-0</t>
  </si>
  <si>
    <t xml:space="preserve"> CITRONELLYL PROPIONATE</t>
  </si>
  <si>
    <t xml:space="preserve"> &amp;diams; CITRONELLYL PROPIONATE&lt;br /&gt;&amp;diams; CITRONELLYL PROPANOATE&lt;br /&gt;&amp;diams; 3,7-DIMETHYL-6-OCTENYL PROPANOATE&lt;br /&gt;&amp;diams; 3,7-DIMETHYL-6-OCTENYL PROPIONATE&lt;br /&gt;&amp;diams; 6-OCTEN-1-OL, 3,7-DIMETHYL-, PROPANOATE&lt;br /&gt;&amp;diams; 6-OCTEN-1-OL, 3,7-DIMETHYL-, PROPIONATE</t>
  </si>
  <si>
    <t xml:space="preserve"> 24717-85-9</t>
  </si>
  <si>
    <t xml:space="preserve"> CITRONELLYL TRANS-2-METHYL-2-BUTENOATE</t>
  </si>
  <si>
    <t xml:space="preserve"> &amp;diams; CITRONELLYL TIGLATE&lt;br /&gt;&amp;diams; 2-butenoic acid, 2-methyl-, 3,7-dimethyl-6-octen-1-yl ester, (2E)-&lt;br /&gt;&amp;diams; 3,7-dimethyl-6-octen-1-yl 2-methyl-2-butenoate, (2E)-&lt;br /&gt;&amp;diams; 2-butenoic acid, 2-methyl-, 3,7-dimethyl-6-octenyl ester, (2E)-&lt;br /&gt;&amp;diams; 3,7-dimethyl-6-octenyl 2-methyl-2-butenoate, (2E)-&lt;br /&gt;&amp;diams; 6-octen-1-ol, 3,7-dimethyl-, 2-methylcrotonate, (E)-&lt;br /&gt;&amp;diams; crotonic acid, 2-methyl-, 3,7-dimethyl-6-othenyl ester, (E)-&lt;br /&gt;&amp;diams; 3,7-dimethyl-6-octenyl 2-methylcrotonate, (E)-&lt;br /&gt;&amp;diams; InChI=1S/C15H26O2/c1-6-14(5)15(16)17-11-10-13(4)9-7-8-12(2)3/h6,8,13H,7,9-11H2,1-5H3/b14-6+,&lt;br /&gt;&amp;diams; InChIKey: UCFQYMKLDPWFHZ-MKMNVTDBSA-N</t>
  </si>
  <si>
    <t xml:space="preserve"> 7540-53-6</t>
  </si>
  <si>
    <t xml:space="preserve"> CITRONELLYL VALERATE</t>
  </si>
  <si>
    <t xml:space="preserve"> &amp;diams; CITRONELLYL VALERATE&lt;br /&gt;&amp;diams; 3,7-DIMETHYL-6-OCTEN-1-YL VALERATE&lt;br /&gt;&amp;diams; CITRONELLYL PENTANOATE&lt;br /&gt;&amp;diams; 3,7-DIMETHYL-6-OCTENYL PENTANOATE&lt;br /&gt;&amp;diams; PENTANOIC ACID, 3,7-DIMETHYL-6-OCTENYL ESTER&lt;br /&gt;&amp;diams; VALERIC ACID, 3,7-DIMETHYL-6-OCTEN-1-YL ESTER&lt;br /&gt;&amp;diams; CITRONELLYL VALERIANATE</t>
  </si>
  <si>
    <t xml:space="preserve"> 977038-62-2</t>
  </si>
  <si>
    <t xml:space="preserve"> CITRUS PEELS, EXTRACT (CITRUS SPP.)</t>
  </si>
  <si>
    <t xml:space="preserve"> &amp;diams; CITRUS PEEL EXTRACT</t>
  </si>
  <si>
    <t xml:space="preserve"> 68916-26-7</t>
  </si>
  <si>
    <t xml:space="preserve"> CIVET, ABSOLUTE (VIVERRA CIVETTA SCHREBER AND VIVERRA ZIBETHA SCHREBER)</t>
  </si>
  <si>
    <t xml:space="preserve"> &amp;diams; CIVET&lt;br /&gt;&amp;diams; PARADOXURUS SPP.&lt;br /&gt;&amp;diams; VIVERRA SPP.&lt;br /&gt;&amp;diams; CIVET (SECRETION)&lt;br /&gt;&amp;diams; CIVET ABSOLUTE</t>
  </si>
  <si>
    <t xml:space="preserve"> 977051-94-7</t>
  </si>
  <si>
    <t xml:space="preserve"> CLARY (SALVIA SCLAREA L.)</t>
  </si>
  <si>
    <t xml:space="preserve"> &amp;diams; SAGE, CLARY&lt;br /&gt;&amp;diams; CLARY SAGE&lt;br /&gt;&amp;diams; CLARY&lt;br /&gt;&amp;diams; SALVIA SCLAREA&lt;br /&gt;&amp;diams; MUSCATEL SAGE&lt;br /&gt;&amp;diams; SAGE, MUSCATEL</t>
  </si>
  <si>
    <t xml:space="preserve"> 8016-63-5</t>
  </si>
  <si>
    <t xml:space="preserve"> CLARY, OIL (SALVIA SCLAREA L.)</t>
  </si>
  <si>
    <t xml:space="preserve"> &amp;diams; SAGE OIL, CLARY&lt;br /&gt;&amp;diams; MUSCATEL OIL&lt;br /&gt;&amp;diams; CLARY SAGE OIL&lt;br /&gt;&amp;diams; CLARY OIL&lt;br /&gt;&amp;diams; OILS, CLARY SAGE&lt;br /&gt;&amp;diams; SALVIA SCLAREA OIL</t>
  </si>
  <si>
    <t xml:space="preserve"> 8022-75-1</t>
  </si>
  <si>
    <t xml:space="preserve"> CLARY SAGE, ABSOLUTE</t>
  </si>
  <si>
    <t xml:space="preserve"> &amp;diams; SAGE ABSOLUTE, CLARY&lt;br /&gt;&amp;diams; SALVIA SCLAREA ABSOLUTE&lt;br /&gt;&amp;diams; CLARY ABSOLUTE</t>
  </si>
  <si>
    <t xml:space="preserve"> 977183-97-3</t>
  </si>
  <si>
    <t xml:space="preserve"> CLARY SAGE, CONCRETE</t>
  </si>
  <si>
    <t xml:space="preserve"> &amp;diams; SAGE CONCRETE, CLARY&lt;br /&gt;&amp;diams; CLARY SAGE CONCRETE&lt;br /&gt;&amp;diams; CLARY CONCRETE&lt;br /&gt;&amp;diams; SALVIA SCLAREA CONCRETE</t>
  </si>
  <si>
    <t xml:space="preserve"> 12174-11-7</t>
  </si>
  <si>
    <t xml:space="preserve"> CLAY, ATTAPULGITE</t>
  </si>
  <si>
    <t xml:space="preserve"> &amp;diams; ATTAPULGITE&lt;br /&gt;&amp;diams; ATTAPULGITE, ACTIVATED&lt;br /&gt;&amp;diams; PALYGORSKITE&lt;br /&gt;&amp;diams; PALYGORSKITE ((MG(AL0.5-1FE0-0.5))SI4(OH)O10.4H2O)&lt;br /&gt;&amp;diams; PERMAGEL&lt;br /&gt;&amp;diams; CLAY, ATTAPULGITE</t>
  </si>
  <si>
    <t xml:space="preserve"> 84961-50-2</t>
  </si>
  <si>
    <t xml:space="preserve"> CLOVE BUD, EXTRACT (EUGENIA SPP.)</t>
  </si>
  <si>
    <t xml:space="preserve"> &amp;diams; CLOVE EXTRACT&lt;br /&gt;&amp;diams; CLOVE BUD EXTRACT&lt;br /&gt;&amp;diams; CLOVE, EXT.&lt;br /&gt;&amp;diams; SYZYGIUM AROMATICUM BUD EXTRACT&lt;br /&gt;&amp;diams; EUGENIA CARYOPHYLLATA BUD EXTRACT&lt;br /&gt;&amp;diams; EUGENIA AROMATICA BUD EXTRACT</t>
  </si>
  <si>
    <t xml:space="preserve"> 8000-34-8</t>
  </si>
  <si>
    <t xml:space="preserve"> CLOVE BUD, OIL (EUGENIA SPP.)</t>
  </si>
  <si>
    <t xml:space="preserve"> &amp;diams; CLOVE OIL&lt;br /&gt;&amp;diams; CLOVE BUD OIL&lt;br /&gt;&amp;diams; OILS, CLOVE&lt;br /&gt;&amp;diams; EUGENIA CARYOPHYLLATA BUD OIL&lt;br /&gt;&amp;diams; EUGENIA AROMATICA BUD OIL</t>
  </si>
  <si>
    <t xml:space="preserve"> 977017-85-8</t>
  </si>
  <si>
    <t xml:space="preserve"> CLOVE BUD, OLEORESIN (EUGENIA SPP.)</t>
  </si>
  <si>
    <t xml:space="preserve"> &amp;diams; CLOVE OLEORESIN&lt;br /&gt;&amp;diams; CLOVE BUD OLEORESIN&lt;br /&gt;&amp;diams; EUGENIA CARYOPHYLLATA BUD OLEORESIN&lt;br /&gt;&amp;diams; EUGENIA AROMATICA BUD OLEORESIN</t>
  </si>
  <si>
    <t xml:space="preserve"> 8015-97-2</t>
  </si>
  <si>
    <t xml:space="preserve"> CLOVE LEAF, OIL (EUGENIA SPP.)</t>
  </si>
  <si>
    <t xml:space="preserve"> &amp;diams; CLOVE LEAF OIL&lt;br /&gt;&amp;diams; OILS, CLOVE LEAF&lt;br /&gt;&amp;diams; EUGENIA CARYOPHYLLATA LEAF OIL&lt;br /&gt;&amp;diams; EUGENIA AROMATICA LEAF OIL</t>
  </si>
  <si>
    <t xml:space="preserve"> 977002-83-7</t>
  </si>
  <si>
    <t xml:space="preserve"> CLOVER (TRIFOLIUM SPP.)</t>
  </si>
  <si>
    <t xml:space="preserve"> &amp;diams; CLOVER&lt;br /&gt;&amp;diams; CLOVER, DRIED&lt;br /&gt;&amp;diams; TREFLE (TRIFOLIUM SPP.)</t>
  </si>
  <si>
    <t xml:space="preserve"> 977070-51-1</t>
  </si>
  <si>
    <t xml:space="preserve"> CLOVER, EXTRACT (TRIFOLIUM SPP.)</t>
  </si>
  <si>
    <t xml:space="preserve"> &amp;diams; CLOVER EXTRACT&lt;br /&gt;&amp;diams; TRIFOLIUM EXTRACT&lt;br /&gt;&amp;diams; clover, ext.</t>
  </si>
  <si>
    <t xml:space="preserve"> 977188-84-3</t>
  </si>
  <si>
    <t xml:space="preserve"> CLOVER HERB DISTILLATE</t>
  </si>
  <si>
    <t xml:space="preserve"> &amp;diams; YELLOW SWEET CLOVER DISTILLATE&lt;br /&gt;&amp;diams; clover herb distillate (Melilotus officinalis)&lt;br /&gt;&amp;diams; Melilotus officinalis (L.) Pall. distillate&lt;br /&gt;&amp;diams; yellow melilot distillate&lt;br /&gt;&amp;diams; Melilotus officinalis (L.) Lam. distillate&lt;br /&gt;&amp;diams; sweet clover distillate, yellow&lt;br /&gt;&amp;diams; yellow sweetclover distillate</t>
  </si>
  <si>
    <t xml:space="preserve"> 977042-18-4</t>
  </si>
  <si>
    <t xml:space="preserve"> CLOVER, OIL (TRIFOLIUM SPP.)</t>
  </si>
  <si>
    <t xml:space="preserve"> &amp;diams; CLOVER OIL&lt;br /&gt;&amp;diams; TRIFOLIUM OIL</t>
  </si>
  <si>
    <t xml:space="preserve"> 977038-65-5</t>
  </si>
  <si>
    <t xml:space="preserve"> CLOVER TOPS, RED, EXTRACT SOLID (TRIFOLIUM PRATENSE L.)</t>
  </si>
  <si>
    <t xml:space="preserve"> &amp;diams; CLOVER TOP EXTRACT, SOLID, RED&lt;br /&gt;&amp;diams; TRIFOLIUM PRATENSE EXTRACT, SOLID&lt;br /&gt;&amp;diams; RED CLOVER TOP EXTRACT, SOLID</t>
  </si>
  <si>
    <t xml:space="preserve"> 977007-79-6</t>
  </si>
  <si>
    <t xml:space="preserve"> CLOVES (EUGENIA SPP.)</t>
  </si>
  <si>
    <t xml:space="preserve"> &amp;diams; CLOVE&lt;br /&gt;&amp;diams; CLOVE BUD&lt;br /&gt;&amp;diams; CARYOPHYLLUS&lt;br /&gt;&amp;diams; EUGENIA AROMATICA&lt;br /&gt;&amp;diams; SYZYGIUM AROMATICUM&lt;br /&gt;&amp;diams; GIROFLE (SYZYGIUM AROMATICUM OU EUGENIA CARYOPHYLLATA)&lt;br /&gt;&amp;diams; EUGENIA CARYOPHYLLATA</t>
  </si>
  <si>
    <t xml:space="preserve"> 8015-98-3</t>
  </si>
  <si>
    <t xml:space="preserve"> CLOVE STEM, OIL (EUGENIA SPP.)</t>
  </si>
  <si>
    <t xml:space="preserve"> &amp;diams; CLOVE STEM OIL&lt;br /&gt;&amp;diams; EUGENIA CARYOPHYLLATA STEM OIL&lt;br /&gt;&amp;diams; EUGENIA AROMATICA STEM OIL</t>
  </si>
  <si>
    <t xml:space="preserve"> 7646-79-9</t>
  </si>
  <si>
    <t xml:space="preserve"> COBALTOUS CHLORIDE--PROHIBITED</t>
  </si>
  <si>
    <t xml:space="preserve"> &amp;diams; COBALT(II) CHLORIDE&lt;br /&gt;&amp;diams; COBALT CHLORIDE (COCL2)&lt;br /&gt;&amp;diams; COBALTOUS CHLORIDE&lt;br /&gt;&amp;diams; COBALT(2+) CHLORIDE&lt;br /&gt;&amp;diams; COBALT DICHLORIDE&lt;br /&gt;&amp;diams; DICHLOROCOBALT</t>
  </si>
  <si>
    <t xml:space="preserve"> 10124-43-3</t>
  </si>
  <si>
    <t xml:space="preserve"> COBALT SULFATE--PROHIBITED WITH EXCEPTIONS</t>
  </si>
  <si>
    <t xml:space="preserve"> &amp;diams; COBALT(II) SULFATE&lt;br /&gt;&amp;diams; COBALT SULFATE&lt;br /&gt;&amp;diams; SULFURIC ACID, COBALT(2+) SALT (1:1)&lt;br /&gt;&amp;diams; COBALTOUS SULFATE&lt;br /&gt;&amp;diams; COBALT(2+) SULFATE</t>
  </si>
  <si>
    <t xml:space="preserve"> MALTING OR FERMENTING AID,&lt;br /&gt; SURFACE-ACTIVE AGENT</t>
  </si>
  <si>
    <t xml:space="preserve"> 977073-62-3</t>
  </si>
  <si>
    <t xml:space="preserve"> COCA LEAF, EXTRACT (DECOCAINIZED) (ERYTHROXYLON COCA LAM.)</t>
  </si>
  <si>
    <t xml:space="preserve"> &amp;diams; COCA LEAF EXTRACT, DECOCAINIZED&lt;br /&gt;&amp;diams; ERYTHROXYLUM COCA LEAF EXTRACT, DECOCAINIZED</t>
  </si>
  <si>
    <t xml:space="preserve"> 1260-17-9</t>
  </si>
  <si>
    <t xml:space="preserve"> COCHINEAL EXTRACT (COCCUS CACTI L.)</t>
  </si>
  <si>
    <t xml:space="preserve"> &amp;diams; CARMINIC ACID&lt;br /&gt;&amp;diams; C.I. NATURAL RED 4&lt;br /&gt;&amp;diams; COCHINEAL TINCTURE&lt;br /&gt;&amp;diams; COCHINEAL EXTRACT&lt;br /&gt;&amp;diams; NATURAL RED 4&lt;br /&gt;&amp;diams; C.I. 75470&lt;br /&gt;&amp;diams; 2-ANTHRACENECARBOXYLIC ACID, 7BETA-D-GLUCOPYRANOSYL-9,10-DIHYDRO-3,5,6,8-TETRAHYDROXY-1-METHYL-9,10-DIOXO-&lt;br /&gt;&amp;diams; 7BETA-D-GLUCOPYRANOSYL-9,10-DIHYDRO-3,5,6,8-TETRAHYDROXY-1-METHYL-9,10-DIOXO-2-ANTHRACENECARBOXYLIC ACID&lt;br /&gt;&amp;diams; 2-ANTHROIC ACID, 7-D-GLUCOPYROSYL-9,10-DIHYDRO-3,5,6,8-TETRAHYDROXY-1-METHYL-9,10-DIOXO-&lt;br /&gt;&amp;diams; 7-D-GLUCOPYRANOSYL-9,10-DIHYDRO-3,5,6,8-TETRAHYDROXY-1-METHYL-9,10-DIOXO-2-ANTHROIC ACID&lt;br /&gt;&amp;diams; COCCUS CACTI EXTRACT</t>
  </si>
  <si>
    <t xml:space="preserve"> 85665-33-4</t>
  </si>
  <si>
    <t xml:space="preserve"> COCOA BUTTER SUBSTITUTE FROM COCONUT OIL, PALM KERNEL OIL OR BOTH OILS</t>
  </si>
  <si>
    <t xml:space="preserve"> &amp;diams; TRIGLYCERIDES, C10-18 FATTY ACIDS&lt;br /&gt;&amp;diams; FATTY ACIDS(C10-18), TRIGLYCERIDES&lt;br /&gt;&amp;diams; C10-18 ACID TRIGLYCERIDE&lt;br /&gt;&amp;diams; C10-18 FATTY ACIDS, TRIGLYCERIDES&lt;br /&gt;&amp;diams; C10-18 GLYCERIDES&lt;br /&gt;&amp;diams; COCOA BUTTER SUBSTITUTE FROM COCONUT OIL, PALM KERNEL OIL, OR BOTH OILS&lt;br /&gt;&amp;diams; C10-18 HYDROGENATED FATTY ACIDS TRIGLYCERIDES&lt;br /&gt;&amp;diams; GLYCERYL TRI-C10-18 ACID&lt;br /&gt;&amp;diams; GLYCERIDES, C10-18&lt;br /&gt;&amp;diams; TRIGLYCERIDES, C10-18</t>
  </si>
  <si>
    <t xml:space="preserve"> 2190-27-4</t>
  </si>
  <si>
    <t xml:space="preserve"> COCOA BUTTER SUBSTITUTE FROM PALM OIL</t>
  </si>
  <si>
    <t xml:space="preserve"> &amp;diams; 1-PALMITO-3-STEARO-2-OLEIN&lt;br /&gt;&amp;diams; COCOA BUTTER SUBSTITUTE PRIMARILY FROM PALM OIL&lt;br /&gt;&amp;diams; OLEIN, 1-PALMITO-3-STEARO-2-&lt;br /&gt;&amp;diams; PALMITIN, 2-OLEO-3-STEARO-1-&lt;br /&gt;&amp;diams; STEARIN, 2-OLEO-3-PALMITO-1-&lt;br /&gt;&amp;diams; 1-PALMITOYL-2-OLEOYL-3-STEARIN&lt;br /&gt;&amp;diams; 2-OLEOPALMITOSTEARIN&lt;br /&gt;&amp;diams; 2-OLEO-3-STEARO-1-PALMITIN&lt;br /&gt;&amp;diams; 2-OLEO-3-PALMITO-1-STEARIN&lt;br /&gt;&amp;diams; 1-(((1-OXOHEXADECYL)OXY)METHYL)-2-((1-OXOOCTADECYL)OXY)ETHYL (Z)-9-OCTADECENOATE&lt;br /&gt;&amp;diams; 9-OCTADECENOIC ACID (Z)-, 1-(((1-OXOHEXADECYL)OXY)METHYL)-2-((1-OXOOCTADECYL)OXY)ETHYL ESTER</t>
  </si>
  <si>
    <t xml:space="preserve"> ANTICAKING AGENT OR FREE-FLOW AGENT,&lt;br /&gt; DRYING AGENT,&lt;br /&gt; FLAVOR ENHANCER,&lt;br /&gt; FLAVORING AGENT OR ADJUVANT,&lt;br /&gt; HUMECTANT,&lt;br /&gt; TEXTURIZER</t>
  </si>
  <si>
    <t xml:space="preserve"> 2846-04-0</t>
  </si>
  <si>
    <t xml:space="preserve"> COCOA BUTTER SUBSTITUTE PRIMARILY FROM HIGH-OLEIC SAFFLOWER OR SUNFLOWER OIL</t>
  </si>
  <si>
    <t xml:space="preserve"> &amp;diams; 1,3-DISTEARO-2-OLEIN&lt;br /&gt;&amp;diams; 1,3-DISTEAROYL-2-OLEIN&lt;br /&gt;&amp;diams; 2-OLEO-1,3-DISTEARIN&lt;br /&gt;&amp;diams; 9-OCTADECENOIC ACID (Z)-, 2-((1-OXOOCTADECYL)OXY)-1-(((1-OXOOCTADECYL)OXY)METHYL)ETHYL ESTER&lt;br /&gt;&amp;diams; 2-((1-OXOOCTADECYL)OXY)-1-(((1-OXOOCTADECYL)OXY)METHYL)ETHYL 9-OCTADECENOATE, (Z)-&lt;br /&gt;&amp;diams; OLEIN, 1,3-DISTEARO-2-&lt;br /&gt;&amp;diams; COCOA BUTTER SUBSTITUTE PRIMARILY FROM HIGH-OLEIC SAFFLOWER OR SUNFLOWER OIL&lt;br /&gt;&amp;diams; 2-OLEOYLDISTEARIN&lt;br /&gt;&amp;diams; 2-OEOYL-1,3-DISTEARIN</t>
  </si>
  <si>
    <t xml:space="preserve"> SURFACE-FINISHING AGENT</t>
  </si>
  <si>
    <t xml:space="preserve"> 84649-99-0</t>
  </si>
  <si>
    <t xml:space="preserve"> COCOA EXTRACT</t>
  </si>
  <si>
    <t xml:space="preserve"> &amp;diams; CACAO EXTRACT&lt;br /&gt;&amp;diams; COCOA EXTRACT&lt;br /&gt;&amp;diams; THEOBROMA CACAO EXTRACT&lt;br /&gt;&amp;diams; COCOA, EXT.</t>
  </si>
  <si>
    <t xml:space="preserve"> 977038-67-7</t>
  </si>
  <si>
    <t xml:space="preserve"> COCOA WITH DIOCTYL SODIUM SULFOSUCCINATE</t>
  </si>
  <si>
    <t xml:space="preserve"> &amp;diams; COCOA WITH DIOCTYL SODIUM SULFOSUCCINATE FOR MANUFACTURING</t>
  </si>
  <si>
    <t xml:space="preserve"> 8001-31-8</t>
  </si>
  <si>
    <t xml:space="preserve"> COCONUT OIL</t>
  </si>
  <si>
    <t xml:space="preserve"> &amp;diams; COCONUT OIL&lt;br /&gt;&amp;diams; COCONUT EXTRACT&lt;br /&gt;&amp;diams; COCONUT KERNEL EXTRACT&lt;br /&gt;&amp;diams; OILS, COCONUT&lt;br /&gt;&amp;diams; OILS, COPRA&lt;br /&gt;&amp;diams; OILS, GLYCERIDIC, COCONUT&lt;br /&gt;&amp;diams; OILS, GLYCERIDIC, COPRA&lt;br /&gt;&amp;diams; COPRA OIL&lt;br /&gt;&amp;diams; OIL, COCONUT&lt;br /&gt;&amp;diams; cocos nucifera extract</t>
  </si>
  <si>
    <t xml:space="preserve"> ANTICAKING AGENT OR FREE-FLOW AGENT,&lt;br /&gt; DRYING AGENT,&lt;br /&gt; FORMULATION AID,&lt;br /&gt; HUMECTANT,&lt;br /&gt; LUBRICANT OR RELEASE AGENT,&lt;br /&gt; NUTRIENT SUPPLEMENT,&lt;br /&gt; SOLVENT OR VEHICLE,&lt;br /&gt; SURFACE-ACTIVE AGENT,&lt;br /&gt; SURFACE-FINISHING AGENT,&lt;br /&gt; TEXTURIZER</t>
  </si>
  <si>
    <t xml:space="preserve"> 977082-98-6</t>
  </si>
  <si>
    <t xml:space="preserve"> COCONUT OIL, REFINED</t>
  </si>
  <si>
    <t xml:space="preserve"> &amp;diams; COCONUT OIL, REFINED</t>
  </si>
  <si>
    <t xml:space="preserve"> 977091-25-0</t>
  </si>
  <si>
    <t xml:space="preserve"> COFFEE CONCENTRATE, PURE</t>
  </si>
  <si>
    <t xml:space="preserve"> &amp;diams; COFFEE CONCENTRATE, PURE</t>
  </si>
  <si>
    <t xml:space="preserve"> 84650-00-0</t>
  </si>
  <si>
    <t xml:space="preserve"> COFFEE EXTRACT (COFFEA SPP.)</t>
  </si>
  <si>
    <t xml:space="preserve"> &amp;diams; COFFEE EXTRACT&lt;br /&gt;&amp;diams; COFFEE BEAN EXTRACT&lt;br /&gt;&amp;diams; COFFEE, COFFEA ARABICA, EXT.</t>
  </si>
  <si>
    <t xml:space="preserve"> 977091-26-1</t>
  </si>
  <si>
    <t xml:space="preserve"> COFFEE EXTRACT, SOLID</t>
  </si>
  <si>
    <t xml:space="preserve"> &amp;diams; COFFEE EXTRACT, SOLID</t>
  </si>
  <si>
    <t xml:space="preserve"> 8016-21-5</t>
  </si>
  <si>
    <t xml:space="preserve"> COGNAC, GREEN, OIL</t>
  </si>
  <si>
    <t xml:space="preserve"> &amp;diams; COGNAC OIL, GREEN&lt;br /&gt;&amp;diams; WINE YEAST OIL&lt;br /&gt;&amp;diams; OILS, COGNAC&lt;br /&gt;&amp;diams; WINE LEES OIL&lt;br /&gt;&amp;diams; LIE DE VIN OIL</t>
  </si>
  <si>
    <t xml:space="preserve"> 977050-49-9</t>
  </si>
  <si>
    <t xml:space="preserve"> COGNAC, WHITE, OIL</t>
  </si>
  <si>
    <t xml:space="preserve"> &amp;diams; COGNAC OIL, WHITE</t>
  </si>
  <si>
    <t xml:space="preserve"> 9007-34-5</t>
  </si>
  <si>
    <t xml:space="preserve"> COLLAGEN</t>
  </si>
  <si>
    <t xml:space="preserve"> &amp;diams; COLLAGEN&lt;br /&gt;&amp;diams; COLLAGENS&lt;br /&gt;&amp;diams; ATELOCOLLAGEN</t>
  </si>
  <si>
    <t xml:space="preserve"> FLAVOR ENHANCER,&lt;br /&gt; FLAVORING AGENT OR ADJUVANT,&lt;br /&gt; SOLVENT OR VEHICLE</t>
  </si>
  <si>
    <t xml:space="preserve"> 977054-26-4</t>
  </si>
  <si>
    <t xml:space="preserve"> COMBUSTION PRODUCT GAS</t>
  </si>
  <si>
    <t xml:space="preserve"> &amp;diams; COMBUSTION PRODUCT GAS</t>
  </si>
  <si>
    <t xml:space="preserve"> PH CONTROL AGENT,&lt;br /&gt; PROCESSING AID</t>
  </si>
  <si>
    <t xml:space="preserve"> 8001-61-4</t>
  </si>
  <si>
    <t xml:space="preserve"> COPAIBA (SOUTH AMERICAN SPP. OF COPAIFERA L.)</t>
  </si>
  <si>
    <t xml:space="preserve"> &amp;diams; COPAIBA&lt;br /&gt;&amp;diams; COPAIBA BALSAM&lt;br /&gt;&amp;diams; BALSAMS, COPAIBA&lt;br /&gt;&amp;diams; JESUIT'S BALSAM&lt;br /&gt;&amp;diams; COPAIFERA OFFICINALIS&lt;br /&gt;&amp;diams; ARACIABO COPAIBA&lt;br /&gt;&amp;diams; VENEZULA COPAIBA</t>
  </si>
  <si>
    <t xml:space="preserve"> 8013-97-6</t>
  </si>
  <si>
    <t xml:space="preserve"> COPAIBA, OIL (SOUTH AMERICAN SPP. OF COPAIFERA L.)</t>
  </si>
  <si>
    <t xml:space="preserve"> &amp;diams; COPAIBA OIL&lt;br /&gt;&amp;diams; OILS, COPAIBA</t>
  </si>
  <si>
    <t xml:space="preserve"> 9000-42-4</t>
  </si>
  <si>
    <t xml:space="preserve"> COPALS, MANILA</t>
  </si>
  <si>
    <t xml:space="preserve"> &amp;diams; COPAL, MANILA&lt;br /&gt;&amp;diams; COPALS, MANILA&lt;br /&gt;&amp;diams; MANILA COPAL</t>
  </si>
  <si>
    <t xml:space="preserve"> 527-09-3</t>
  </si>
  <si>
    <t xml:space="preserve"> COPPER GLUCONATE</t>
  </si>
  <si>
    <t xml:space="preserve"> &amp;diams; COPPER(II) GLUCONATE&lt;br /&gt;&amp;diams; CUPRIC GLUCONATE MONOHYDRATE&lt;br /&gt;&amp;diams; COPPER, BIS(D-GLUCONATO-KAPPAO1,KAPPAO2)-&lt;br /&gt;&amp;diams; BIS(D-GLUCONATO-O1,O2)COPPER&lt;br /&gt;&amp;diams; GLUCONIC ACID, COPPER(2+) SALT (2:1), D-&lt;br /&gt;&amp;diams; COPPER(2+) D-GLUCONATE, (1:2)&lt;br /&gt;&amp;diams; CUPRIC GLUCONATE&lt;br /&gt;&amp;diams; BIS(D-GLUCONATO-KAPPAO1,KAPPAO2)COPPER</t>
  </si>
  <si>
    <t xml:space="preserve"> NUTRIENT SUPPLEMENT,&lt;br /&gt; SYNERGIST</t>
  </si>
  <si>
    <t xml:space="preserve"> 7758-98-7</t>
  </si>
  <si>
    <t xml:space="preserve"> COPPER SULFATE</t>
  </si>
  <si>
    <t xml:space="preserve"> &amp;diams; COPPER(II) SULFATE, ANHYDROUS&lt;br /&gt;&amp;diams; CUPRIC SULFATE&lt;br /&gt;&amp;diams; CUPRIC SULFATE, ANHYDROUS&lt;br /&gt;&amp;diams; COPPER(II) SULFATE&lt;br /&gt;&amp;diams; SULFURIC ACID COPPER(2+) SALT (1:1)</t>
  </si>
  <si>
    <t xml:space="preserve"> NUTRIENT SUPPLEMENT,&lt;br /&gt; PROCESSING AID</t>
  </si>
  <si>
    <t xml:space="preserve"> 977007-81-0</t>
  </si>
  <si>
    <t xml:space="preserve"> CORIANDER (CORIANDRUM SATIVUM L.)</t>
  </si>
  <si>
    <t xml:space="preserve"> &amp;diams; CORIANDER&lt;br /&gt;&amp;diams; CORIANDRUM SATIVUM&lt;br /&gt;&amp;diams; CHINESE PARSLEY&lt;br /&gt;&amp;diams; CILANTRO&lt;br /&gt;&amp;diams; CORIANDRE (CORIANDRUM SATIVUM)&lt;br /&gt;&amp;diams; YUIN SI TSOI&lt;br /&gt;&amp;diams; HSIANG TSAI&lt;br /&gt;&amp;diams; PARSLEY, CHINESE</t>
  </si>
  <si>
    <t xml:space="preserve"> 977183-62-2</t>
  </si>
  <si>
    <t xml:space="preserve"> CORIANDER LEAF OIL (CORIANDRUM SATIVUM L.)</t>
  </si>
  <si>
    <t xml:space="preserve"> &amp;diams; CORIANDER LEAF OIL&lt;br /&gt;&amp;diams; CILANTRO OIL&lt;br /&gt;&amp;diams; CHINESE PARSLEY OIL&lt;br /&gt;&amp;diams; CORIANDRUM SATIVUM LEAF OIL</t>
  </si>
  <si>
    <t xml:space="preserve"> 8008-52-4</t>
  </si>
  <si>
    <t xml:space="preserve"> CORIANDER, OIL (CORIANDRUM SATIVUM L.)</t>
  </si>
  <si>
    <t xml:space="preserve"> &amp;diams; CORIANDER OIL&lt;br /&gt;&amp;diams; OILS, CORIANDER&lt;br /&gt;&amp;diams; CORIANDRUM SATIVUM OIL</t>
  </si>
  <si>
    <t xml:space="preserve"> 977038-68-8</t>
  </si>
  <si>
    <t xml:space="preserve"> CORK, OAK (QUERCUS SPP.)</t>
  </si>
  <si>
    <t xml:space="preserve"> &amp;diams; CORK OAK&lt;br /&gt;&amp;diams; QUERCUS SUBER</t>
  </si>
  <si>
    <t xml:space="preserve"> 977010-50-6</t>
  </si>
  <si>
    <t xml:space="preserve"> CORN ENDOSPERM OIL</t>
  </si>
  <si>
    <t xml:space="preserve"> &amp;diams; CORN ENDOSPERM OIL</t>
  </si>
  <si>
    <t xml:space="preserve"> 66071-96-3</t>
  </si>
  <si>
    <t xml:space="preserve"> CORN GLUTEN</t>
  </si>
  <si>
    <t xml:space="preserve"> &amp;diams; CORN GLUTEN&lt;br /&gt;&amp;diams; GLUTEN, CORN&lt;br /&gt;&amp;diams; CORN GLUTEN MEAL&lt;br /&gt;&amp;diams; GLUTENS, CORN_x000D_
</t>
  </si>
  <si>
    <t xml:space="preserve"> 68917-18-0</t>
  </si>
  <si>
    <t xml:space="preserve"> CORN MINT OIL</t>
  </si>
  <si>
    <t xml:space="preserve"> &amp;diams; FIELD MINT OIL&lt;br /&gt;&amp;diams; MENTHA ARVENSIS OIL&lt;br /&gt;&amp;diams; OILS, MINT, MENTHA ARVENSIS PIPERASCENS&lt;br /&gt;&amp;diams; CORN MINT OIL</t>
  </si>
  <si>
    <t xml:space="preserve"> 977000-79-5</t>
  </si>
  <si>
    <t xml:space="preserve"> CORN SILK</t>
  </si>
  <si>
    <t xml:space="preserve"> &amp;diams; CORN SILK&lt;br /&gt;&amp;diams; ZEA MAYS STYLE AND STIGMA</t>
  </si>
  <si>
    <t xml:space="preserve"> 977071-11-6</t>
  </si>
  <si>
    <t xml:space="preserve"> CORN SILK EXTRACT (ZEA MAYS L.)</t>
  </si>
  <si>
    <t xml:space="preserve"> &amp;diams; CORN SILK EXTRACT&lt;br /&gt;&amp;diams; ZEA MAYS EXTRACT&lt;br /&gt;&amp;diams; STIGMATA MAYDIS EXTRACT</t>
  </si>
  <si>
    <t xml:space="preserve"> 977089-40-9</t>
  </si>
  <si>
    <t xml:space="preserve"> CORN SILK, OIL(ZEA MAYS L.)</t>
  </si>
  <si>
    <t xml:space="preserve"> &amp;diams; CORN SILK OIL</t>
  </si>
  <si>
    <t xml:space="preserve"> 977050-51-3</t>
  </si>
  <si>
    <t xml:space="preserve"> CORNSTARCH</t>
  </si>
  <si>
    <t xml:space="preserve"> &amp;diams; CORNSTARCH&lt;br /&gt;&amp;diams; STARCH, CORN&lt;br /&gt;&amp;diams; CORN STARCH&lt;br /&gt;&amp;diams; STARCH, MAIZE</t>
  </si>
  <si>
    <t xml:space="preserve"> ANTICAKING AGENT OR FREE-FLOW AGENT,&lt;br /&gt; DRYING AGENT,&lt;br /&gt; FLAVORING AGENT OR ADJUVANT,&lt;br /&gt; FORMULATION AID,&lt;br /&gt; HUMECTANT,&lt;br /&gt; NON-NUTRITIVE SWEETENER,&lt;br /&gt; NUTRITIVE SWEETENER,&lt;br /&gt; SOLVENT OR VEHICLE,&lt;br /&gt; STABILIZER OR THICKENER,&lt;br /&gt; TEXTURIZER</t>
  </si>
  <si>
    <t xml:space="preserve"> 977050-52-4</t>
  </si>
  <si>
    <t xml:space="preserve"> CORNSTARCH, WAXY</t>
  </si>
  <si>
    <t xml:space="preserve"> &amp;diams; CORNSTARCH, WAXY&lt;br /&gt;&amp;diams; STARCH, WAXY, MAIZE&lt;br /&gt;&amp;diams; waxy corn starch</t>
  </si>
  <si>
    <t xml:space="preserve"> STABILIZER OR THICKENER,&lt;br /&gt; TEXTURIZER</t>
  </si>
  <si>
    <t xml:space="preserve"> 66071-94-1</t>
  </si>
  <si>
    <t xml:space="preserve"> CORN STEEP LIQUOR</t>
  </si>
  <si>
    <t xml:space="preserve"> &amp;diams; CORN STEEP LIQUOR&lt;br /&gt;&amp;diams; CORN STEEP WATER&lt;br /&gt;&amp;diams; CORN, STEEP LIQUOR&lt;br /&gt;&amp;diams; STEEP LIQUOR, CORN</t>
  </si>
  <si>
    <t xml:space="preserve"> 977004-12-8</t>
  </si>
  <si>
    <t xml:space="preserve"> CORN SYRUP</t>
  </si>
  <si>
    <t xml:space="preserve"> &amp;diams; CORN SYRUP&lt;br /&gt;&amp;diams; CORN SIRUP&lt;br /&gt;&amp;diams; syrups, hydrolyzed starch&lt;br /&gt;&amp;diams; hydrolyzed starch syrup</t>
  </si>
  <si>
    <t xml:space="preserve"> ANTICAKING AGENT OR FREE-FLOW AGENT,&lt;br /&gt; DRYING AGENT,&lt;br /&gt; FLAVOR ENHANCER,&lt;br /&gt; FLAVORING AGENT OR ADJUVANT,&lt;br /&gt; HUMECTANT,&lt;br /&gt; LEAVENING AGENT,&lt;br /&gt; NUTRIENT SUPPLEMENT,&lt;br /&gt; NUTRITIVE SWEETENER,&lt;br /&gt; SOLVENT OR VEHICLE,&lt;br /&gt; TEXTURIZER</t>
  </si>
  <si>
    <t xml:space="preserve"> 131.112 ,  133.124 ,  133.178 ,  133.179 ,  145.134 ,  145.180 ,  145.3 ,  146.145 ,  146.146 ,  146.3 ,  155.200 ,  169.175</t>
  </si>
  <si>
    <t xml:space="preserve"> 977017-86-9</t>
  </si>
  <si>
    <t xml:space="preserve"> COSTMARY (CHRYSANTHEMUM BALSAMITA L.)</t>
  </si>
  <si>
    <t xml:space="preserve"> &amp;diams; COSTMARY&lt;br /&gt;&amp;diams; ALECOST&lt;br /&gt;&amp;diams; SWEET MARY&lt;br /&gt;&amp;diams; CHRYSANTHEMUM BALSAMITA&lt;br /&gt;&amp;diams; BIBLE LEAF</t>
  </si>
  <si>
    <t xml:space="preserve"> 8023-88-9</t>
  </si>
  <si>
    <t xml:space="preserve"> COSTUS ROOT, OIL (SAUSSUREA LAPPA CLARKE)</t>
  </si>
  <si>
    <t xml:space="preserve"> &amp;diams; COSTUS ROOT OIL&lt;br /&gt;&amp;diams; SAUSSUREA LAPPA ROOT OIL&lt;br /&gt;&amp;diams; SPIRAL FLAG OIL&lt;br /&gt;&amp;diams; OILS, COSTUS</t>
  </si>
  <si>
    <t xml:space="preserve"> 977100-17-6</t>
  </si>
  <si>
    <t xml:space="preserve"> COTTONSEED FLOUR, DEFATTED</t>
  </si>
  <si>
    <t xml:space="preserve"> &amp;diams; COTTONSEED FLOUR, FAT REMOVED&lt;br /&gt;&amp;diams; COTTONSEED FLOUR, DEFATTED&lt;br /&gt;&amp;diams; COTTONSEED FLOUR, EXTRACTED DEGLANDED</t>
  </si>
  <si>
    <t xml:space="preserve"> 977050-54-6</t>
  </si>
  <si>
    <t xml:space="preserve"> COTTONSEED FLOUR, PARTIALLY DEFATTED, COOKED</t>
  </si>
  <si>
    <t xml:space="preserve"> &amp;diams; COTTONSEED FLOUR, PARTIALLY DEFATTED, COOKED</t>
  </si>
  <si>
    <t xml:space="preserve"> 977043-77-8</t>
  </si>
  <si>
    <t xml:space="preserve"> COTTONSEED FLOUR, PARTIALLY DEFATTED, COOKED, TOASTED</t>
  </si>
  <si>
    <t xml:space="preserve"> &amp;diams; COTTONSEED FLOUR, COOKED, PARTIALLY DEFATTED, TOASTED&lt;br /&gt;&amp;diams; COTTONSEED FLOUR, PARTIALLY DEFATTED, COOKED, TOASTED&lt;br /&gt;&amp;diams; COTTONSEED FLOUR, TOASTED, PARTIALLY DEFATTED, COOKED&lt;br /&gt;&amp;diams; TOASTED PARTIALLY DEFATTED COOKED COTTONSEED FLOUR</t>
  </si>
  <si>
    <t xml:space="preserve"> 977043-56-3</t>
  </si>
  <si>
    <t xml:space="preserve"> COTTONSEED KERNELS, GLANDLESS, RAW</t>
  </si>
  <si>
    <t xml:space="preserve"> &amp;diams; COTTONSEED KERNEL, RAW, GLANDLESS&lt;br /&gt;&amp;diams; COTTONSEED KERNEL, GLANDLESS, RAW</t>
  </si>
  <si>
    <t xml:space="preserve"> 977043-78-9</t>
  </si>
  <si>
    <t xml:space="preserve"> COTTONSEED KERNELS, GLANDLESS, ROASTED</t>
  </si>
  <si>
    <t xml:space="preserve"> &amp;diams; COTTONSEED KERNEL, ROASTED, GLANDLESS&lt;br /&gt;&amp;diams; COTTONSEED KERNEL, GLANDLESS, ROASTED</t>
  </si>
  <si>
    <t xml:space="preserve"> 91-64-5</t>
  </si>
  <si>
    <t xml:space="preserve"> COUMARIN--PROHIBITED</t>
  </si>
  <si>
    <t xml:space="preserve"> &amp;diams; COUMARIN&lt;br /&gt;&amp;diams; CUMARIN&lt;br /&gt;&amp;diams; 1,2-BENZOPYRONE&lt;br /&gt;&amp;diams; 2H-1-BENZOPYRAN-2-ONE&lt;br /&gt;&amp;diams; COUMARINIC ACID LACTONE, CIS-O-&lt;br /&gt;&amp;diams; COUMARINIC ANHYDRIDE&lt;br /&gt;&amp;diams; HYDROXYCINNAMIC ACID LACTONE, O-&lt;br /&gt;&amp;diams; 3-(2-HYDROXYPHENYL)-2-PROPENOIC DELTA-LACTONE&lt;br /&gt;&amp;diams; BENZO-ALPHA-PYRONE</t>
  </si>
  <si>
    <t xml:space="preserve"> 63393-89-5</t>
  </si>
  <si>
    <t xml:space="preserve"> COUMARONE-INDENE RESINS</t>
  </si>
  <si>
    <t xml:space="preserve"> &amp;diams; COUMARONE-INDENE RESIN (CLASS)&lt;br /&gt;&amp;diams; COUMARONE-INDENE RESINS&lt;br /&gt;&amp;diams; COUMARIN-INDENE RESIN</t>
  </si>
  <si>
    <t xml:space="preserve"> PROCESSING AID,&lt;br /&gt; SURFACE-FINISHING AGENT</t>
  </si>
  <si>
    <t xml:space="preserve"> 108-39-4</t>
  </si>
  <si>
    <t xml:space="preserve"> M-CRESOL</t>
  </si>
  <si>
    <t xml:space="preserve"> &amp;diams; 3-METHYLPHENOL&lt;br /&gt;&amp;diams; METHYLPHENOL, M-&lt;br /&gt;&amp;diams; 1-HYDROXY-3-METHYLBENZENE&lt;br /&gt;&amp;diams; 3-HYDROXYTOLUENE&lt;br /&gt;&amp;diams; CRESYLIC ACID, M-&lt;br /&gt;&amp;diams; PHENOL, 3-METHYL-&lt;br /&gt;&amp;diams; M-CRESOL&lt;br /&gt;&amp;diams; 3-CRESOL&lt;br /&gt;&amp;diams; TOLUOL, M-&lt;br /&gt;&amp;diams; HYDROXYTOLUENE, M-&lt;br /&gt;&amp;diams; 1-METHYL-3-HYDROXYBENZENE&lt;br /&gt;&amp;diams; METACRESOL&lt;br /&gt;&amp;diams; oxytoluene, m-</t>
  </si>
  <si>
    <t xml:space="preserve"> 95-48-7</t>
  </si>
  <si>
    <t xml:space="preserve"> O-CRESOL</t>
  </si>
  <si>
    <t xml:space="preserve"> &amp;diams; 2-METHYLPHENOL&lt;br /&gt;&amp;diams; METHYLPHENOL, O-&lt;br /&gt;&amp;diams; 1-HYDROXY-2-METHYLBENZENE&lt;br /&gt;&amp;diams; 2-HYDROXYTOLUENE&lt;br /&gt;&amp;diams; HYDROXYTOLUENE, O-&lt;br /&gt;&amp;diams; 2-HYDROXY-1-METHYLBENZENE&lt;br /&gt;&amp;diams; CRESYLIC ACID, O-&lt;br /&gt;&amp;diams; PHENOL, 2-METHYL-&lt;br /&gt;&amp;diams; O-CRESOL&lt;br /&gt;&amp;diams; 2-CRESOL&lt;br /&gt;&amp;diams; METHYLPHENYLOL, O-&lt;br /&gt;&amp;diams; TOLUOL, O-&lt;br /&gt;&amp;diams; Oxytoluene, o-</t>
  </si>
  <si>
    <t xml:space="preserve"> 106-44-5</t>
  </si>
  <si>
    <t xml:space="preserve"> P-CRESOL</t>
  </si>
  <si>
    <t xml:space="preserve"> &amp;diams; 4-METHYLPHENOL&lt;br /&gt;&amp;diams; METHYLPHENOL, P-&lt;br /&gt;&amp;diams; 1-HYDROXY-4-METHYLBENZENE&lt;br /&gt;&amp;diams; HYDROXYTOLUENE, P-&lt;br /&gt;&amp;diams; 4-CRESOL&lt;br /&gt;&amp;diams; P-CRESOL&lt;br /&gt;&amp;diams; 1-METHYL-4-HYDROXYBENZENE&lt;br /&gt;&amp;diams; CRESYLIC ACID, P-&lt;br /&gt;&amp;diams; PHENOL, 4-METHYL-&lt;br /&gt;&amp;diams; 4-HYDROXYTOLUENE&lt;br /&gt;&amp;diams; TOLUOL, P-&lt;br /&gt;&amp;diams; TOLYL ALCOHOL, P-</t>
  </si>
  <si>
    <t xml:space="preserve"> 9000-15-1</t>
  </si>
  <si>
    <t xml:space="preserve"> CROWN GUM</t>
  </si>
  <si>
    <t xml:space="preserve"> &amp;diams; CROWN GUM&lt;br /&gt;&amp;diams; RESINS, CROWN GUM</t>
  </si>
  <si>
    <t xml:space="preserve"> 977000-82-0</t>
  </si>
  <si>
    <t xml:space="preserve"> CUBEB (PIPER CUBEBA L. F.)</t>
  </si>
  <si>
    <t xml:space="preserve"> &amp;diams; CUBEB&lt;br /&gt;&amp;diams; PIPER CUBEBA&lt;br /&gt;&amp;diams; CUBEB PEPPER</t>
  </si>
  <si>
    <t xml:space="preserve"> 8007-87-2</t>
  </si>
  <si>
    <t xml:space="preserve"> CUBEB, OIL (PIPER CUBEBA L. F.)</t>
  </si>
  <si>
    <t xml:space="preserve"> &amp;diams; CUBEB OIL&lt;br /&gt;&amp;diams; OILS, CUBEB&lt;br /&gt;&amp;diams; PIPER CUBEBA OIL</t>
  </si>
  <si>
    <t xml:space="preserve"> 23445-02-5</t>
  </si>
  <si>
    <t xml:space="preserve"> CUBEBOL</t>
  </si>
  <si>
    <t xml:space="preserve"> &amp;diams; CUBEBOL&lt;br /&gt;&amp;diams; cubebol, (-)-&lt;br /&gt;&amp;diams; 1-H-cyclopenta(1,3)cyclopropa(1,2)benzen-3-ol, octahydro-3, 7-dimethyl-4-(1-methylethyl)-, (3S,3aR,3bR,4S,7R,7aR)-&lt;br /&gt;&amp;diams; octahydro-3,7-dimethyl-4-(1-methylethyl)-1H-cyclopenta(1,3)cyclopropa(1,2)benzen-3-ol, (3S,saR,3bR,4S,7R,7aR)-&lt;br /&gt;&amp;diams; 1H-cyclopenta(1,3)cyclopropa(1,2)benzen-3-ol, 2,3,3aalpha,3balpha,4,5,6,7-octahydro-4alpha-isopropyl-3beta,7beta-dimethyl-, (-)-&lt;br /&gt;&amp;diams; 2,3,3aalpha,3balpha,4,5,6,7-octahydro-4alpha-isoprpyl-3beta,7beta-dimethyl-1H-cyclopenta(1,3)cyclopropa(1,2)benezen-3-ol, (-)-&lt;br /&gt;&amp;diams; InChI=1S/C15H26O/c1-9(2)11-6-5-10(3)15-8-7-14(4,16)13(15)12(11)15/h9-13,16H,5-8H2,1-4H3/t10-,11+,12-,13+,14+,15-/m1/s1&lt;br /&gt;&amp;diams; InChIKey: KONGRWVLXLWGDV-BYGOPZEFSA-N</t>
  </si>
  <si>
    <t xml:space="preserve"> 977050-55-7</t>
  </si>
  <si>
    <t xml:space="preserve"> CUMIN (CUMINUM CYMINUM L.)</t>
  </si>
  <si>
    <t xml:space="preserve"> &amp;diams; CUMIN&lt;br /&gt;&amp;diams; CUMINUM CYMINUM&lt;br /&gt;&amp;diams; CUMIN (CUMINUM CYMINUM)&lt;br /&gt;&amp;diams; CUMMIN</t>
  </si>
  <si>
    <t xml:space="preserve"> 122-03-2</t>
  </si>
  <si>
    <t xml:space="preserve"> CUMINALDEHYDE</t>
  </si>
  <si>
    <t xml:space="preserve"> &amp;diams; CUMINALDEHYDE&lt;br /&gt;&amp;diams; ISOPROPYLBENZALDEHYDE, P-&lt;br /&gt;&amp;diams; 4-ISOPROPYLBENZENECARBOXYLATE&lt;br /&gt;&amp;diams; CUMINAL&lt;br /&gt;&amp;diams; CUMINIC ALDEHYDE&lt;br /&gt;&amp;diams; CUMALDEHYDE&lt;br /&gt;&amp;diams; 4-(1-METHYLETHYL)BENZALDEHYDE&lt;br /&gt;&amp;diams; BENZALDEHYDE, 4-(1-METHYLETHYL)-&lt;br /&gt;&amp;diams; BENZALDEHYDE, P-ISOPROPYL-</t>
  </si>
  <si>
    <t xml:space="preserve"> 8014-13-9</t>
  </si>
  <si>
    <t xml:space="preserve"> CUMIN, OIL (CUMINUM CYMINUM L.)</t>
  </si>
  <si>
    <t xml:space="preserve"> &amp;diams; CUMIN OIL&lt;br /&gt;&amp;diams; CUMIN SEED OIL&lt;br /&gt;&amp;diams; OILS, CUMIN&lt;br /&gt;&amp;diams; CUMINUM CYMINUM OIL</t>
  </si>
  <si>
    <t xml:space="preserve"> 7681-65-4</t>
  </si>
  <si>
    <t xml:space="preserve"> CUPROUS IODIDE</t>
  </si>
  <si>
    <t xml:space="preserve"> &amp;diams; CUPROUS IODIDE&lt;br /&gt;&amp;diams; COPPER(I) IODIDE&lt;br /&gt;&amp;diams; COPPER IODIDE (CUI)&lt;br /&gt;&amp;diams; COPPER(1+) IODIDE</t>
  </si>
  <si>
    <t xml:space="preserve"> 54724-00-4</t>
  </si>
  <si>
    <t xml:space="preserve"> CURDLAN</t>
  </si>
  <si>
    <t xml:space="preserve"> &amp;diams; CURDLAN</t>
  </si>
  <si>
    <t xml:space="preserve"> FORMULATION AID,&lt;br /&gt; PROCESSING AID,&lt;br /&gt; STABILIZER OR THICKENER,&lt;br /&gt; TEXTURIZER</t>
  </si>
  <si>
    <t xml:space="preserve"> 68606-81-5</t>
  </si>
  <si>
    <t xml:space="preserve"> CURRANT BUDS, BLACK, ABSOLUTE (RIBES NIGRUM L.)</t>
  </si>
  <si>
    <t xml:space="preserve"> &amp;diams; BLACK CURRANT BUD ABSOLUTE&lt;br /&gt;&amp;diams; CASSIS&lt;br /&gt;&amp;diams; CURRANT BUD ABSOLUTE, BLACK&lt;br /&gt;&amp;diams; CURRANT BUD, BLACK, ABSOLUTE&lt;br /&gt;&amp;diams; CURRANT, RIBES NIGRUM, EXT.&lt;br /&gt;&amp;diams; RIBES NIGRUM BUD ABSOLUTE</t>
  </si>
  <si>
    <t xml:space="preserve"> 977038-70-2</t>
  </si>
  <si>
    <t xml:space="preserve"> CURRANT JUICE, BLACK</t>
  </si>
  <si>
    <t xml:space="preserve"> &amp;diams; BLACK CURRANT JUICE&lt;br /&gt;&amp;diams; CURRANT JUICE, BLACK</t>
  </si>
  <si>
    <t xml:space="preserve"> 977032-41-9</t>
  </si>
  <si>
    <t xml:space="preserve"> CURRANT LEAVES, BLACK (RIBES NIGRUM L.)</t>
  </si>
  <si>
    <t xml:space="preserve"> &amp;diams; BLACK CURRANT LEAF&lt;br /&gt;&amp;diams; CURRANT LEAF, BLACK&lt;br /&gt;&amp;diams; RIBES NIGRUM LEAF</t>
  </si>
  <si>
    <t xml:space="preserve"> 977016-96-8</t>
  </si>
  <si>
    <t xml:space="preserve"> CYCLAMATE--PROHIBITED</t>
  </si>
  <si>
    <t xml:space="preserve"> &amp;diams; CYCLAMATE</t>
  </si>
  <si>
    <t xml:space="preserve"> 7585-39-9</t>
  </si>
  <si>
    <t xml:space="preserve"> BETA-CYCLODEXTRIN</t>
  </si>
  <si>
    <t xml:space="preserve"> &amp;diams; BETA-CYCLODEXTRIN&lt;br /&gt;&amp;diams; CYCLOHEPTAAMYLOSE&lt;br /&gt;&amp;diams; CYCLOHEPTAGLUCOSAN&lt;br /&gt;&amp;diams; NSC-314334&lt;br /&gt;&amp;diams; CYCLODEXTRIN, BETA-&lt;br /&gt;&amp;diams; BETADEX&lt;br /&gt;&amp;diams; CYCLOMALTOHEPTAOSE&lt;br /&gt;&amp;diams; CYCLOHEPTAPENTYLOSE</t>
  </si>
  <si>
    <t xml:space="preserve"> FLAVORING AGENT OR ADJUVANT,&lt;br /&gt; FORMULATION AID</t>
  </si>
  <si>
    <t xml:space="preserve"> 542-46-1</t>
  </si>
  <si>
    <t xml:space="preserve"> CYCLOHEPTADECA-9-EN-1-ONE</t>
  </si>
  <si>
    <t xml:space="preserve"> &amp;diams; CIVETONE&lt;br /&gt;&amp;diams; CYCLOHEPTADECA-9-EN-1-ONE&lt;br /&gt;&amp;diams; 9-CYCLOHEPTADECEN-1-ONE, CIS-&lt;br /&gt;&amp;diams; CIVETTONE, ALPHA-TRANS-&lt;br /&gt;&amp;diams; 9-CYCLOHEPTADECEN-1-ONE, (Z)-&lt;br /&gt;&amp;diams; CIVETONE, CIS-</t>
  </si>
  <si>
    <t xml:space="preserve"> 110-82-7</t>
  </si>
  <si>
    <t xml:space="preserve"> CYCLOHEXANE</t>
  </si>
  <si>
    <t xml:space="preserve"> &amp;diams; CYCLOHEXANE&lt;br /&gt;&amp;diams; HEXAHYDROBENZENE&lt;br /&gt;&amp;diams; HEXAMETHYLENE&lt;br /&gt;&amp;diams; HEXANAPHTHENE</t>
  </si>
  <si>
    <t xml:space="preserve"> 5292-21-7</t>
  </si>
  <si>
    <t xml:space="preserve"> CYCLOHEXANEACETIC ACID</t>
  </si>
  <si>
    <t xml:space="preserve"> &amp;diams; CYCLOHEXANEACETIC ACID&lt;br /&gt;&amp;diams; CYCLOHEXYLACETIC ACID&lt;br /&gt;&amp;diams; HEXAHYDROPHENYLACETIC ACID</t>
  </si>
  <si>
    <t xml:space="preserve"> 98-89-5</t>
  </si>
  <si>
    <t xml:space="preserve"> CYCLOHEXANECARBOXYLIC ACID</t>
  </si>
  <si>
    <t xml:space="preserve"> &amp;diams; CYCLOHEXANECARBOXYLIC ACID&lt;br /&gt;&amp;diams; CYCLOHEXANOIC ACID&lt;br /&gt;&amp;diams; CARBOXYCYCLOHEXANE&lt;br /&gt;&amp;diams; CYCLOHEXYLCARBOXYLIC ACID&lt;br /&gt;&amp;diams; CYCLOHEXYLFORMIC ACID&lt;br /&gt;&amp;diams; CYCLOHEXYLMETHANOIC ACID&lt;br /&gt;&amp;diams; HEXAHYDROBENZOIC ACID</t>
  </si>
  <si>
    <t xml:space="preserve"> 21722-83-8</t>
  </si>
  <si>
    <t xml:space="preserve"> CYCLOHEXANEETHYL ACETATE</t>
  </si>
  <si>
    <t xml:space="preserve"> &amp;diams; CYCLOHEXANEETHYL ACETATE&lt;br /&gt;&amp;diams; CYCLOHEXYLETHYL ACETATE&lt;br /&gt;&amp;diams; CYCLOHEXANEETHANOL, ACETATE&lt;br /&gt;&amp;diams; HEXAHYDROPHENETHYL ACETATE</t>
  </si>
  <si>
    <t xml:space="preserve"> 108-94-1</t>
  </si>
  <si>
    <t xml:space="preserve"> CYCLOHEXANONE</t>
  </si>
  <si>
    <t xml:space="preserve"> &amp;diams; CYCLOHEXANONE&lt;br /&gt;&amp;diams; PIMELIC KETONE&lt;br /&gt;&amp;diams; PIMELIN KETONE&lt;br /&gt;&amp;diams; KETOHEXAMETHYLENE&lt;br /&gt;&amp;diams; CYCLOHEXYL KETONE</t>
  </si>
  <si>
    <t xml:space="preserve"> 1670-47-9</t>
  </si>
  <si>
    <t xml:space="preserve"> CYCLOHEXANONE DIETHYL KETAL</t>
  </si>
  <si>
    <t xml:space="preserve"> &amp;diams; CYCLOHEXANONE DIETHYL KETAL&lt;br /&gt;&amp;diams; cyclohexane, 1,1-diethoxy-&lt;br /&gt;&amp;diams; 1,1-diethoxy-cyclohexane&lt;br /&gt;&amp;diams; cyclohexane, diethyl acetal</t>
  </si>
  <si>
    <t xml:space="preserve"> 930-68-7</t>
  </si>
  <si>
    <t xml:space="preserve"> 2-CYCLOHEXENONE</t>
  </si>
  <si>
    <t xml:space="preserve"> &amp;diams; 2-CYCLOHEXEN-1-ONE&lt;br /&gt;&amp;diams; 2-CYCLOHEXENONE</t>
  </si>
  <si>
    <t xml:space="preserve"> 622-45-7</t>
  </si>
  <si>
    <t xml:space="preserve"> CYCLOHEXYL ACETATE</t>
  </si>
  <si>
    <t xml:space="preserve"> &amp;diams; CYCLOHEXYL ACETATE&lt;br /&gt;&amp;diams; CYCLOHEXANE ACETATE&lt;br /&gt;&amp;diams; ACETIC ACID, CYCLOHEXYL ESTER</t>
  </si>
  <si>
    <t xml:space="preserve"> 108-91-8</t>
  </si>
  <si>
    <t xml:space="preserve"> CYCLOHEXYLAMINE</t>
  </si>
  <si>
    <t xml:space="preserve"> &amp;diams; CYCLOHEXYLAMINE&lt;br /&gt;&amp;diams; AMINOCYCLOHEXANE&lt;br /&gt;&amp;diams; CYCLOHEXANAMINE&lt;br /&gt;&amp;diams; HEXAHYDROANILINE&lt;br /&gt;&amp;diams; HEXAHYDROBENZENAMINE&lt;br /&gt;&amp;diams; AMINOHEXAHYDROBENZENE&lt;br /&gt;&amp;diams; 1-AMINOCYCLOHEXANE&lt;br /&gt;&amp;diams; 1-CYCLOHEXYLAMINE</t>
  </si>
  <si>
    <t xml:space="preserve"> 7779-16-0</t>
  </si>
  <si>
    <t xml:space="preserve"> CYCLOHEXYL ANTHRANILATE</t>
  </si>
  <si>
    <t xml:space="preserve"> &amp;diams; CYCLOHEXYL ANTHRANILATE&lt;br /&gt;&amp;diams; BENZOIC ACID, 2-AMINO-, CYCLOHEXYL ESTER&lt;br /&gt;&amp;diams; ANTHRANILIC ACID, CYCLOHEXYL ESTER&lt;br /&gt;&amp;diams; CYCLOHEXYL 2-AMINOBENZOATE</t>
  </si>
  <si>
    <t xml:space="preserve"> 1551-44-6</t>
  </si>
  <si>
    <t xml:space="preserve"> CYCLOHEXYL BUTYRATE</t>
  </si>
  <si>
    <t xml:space="preserve"> &amp;diams; CYCLOHEXYL BUTYRATE&lt;br /&gt;&amp;diams; CYCLOHEXYL BUTANOATE&lt;br /&gt;&amp;diams; BUTANOIC ACID, CYCLOHEXYL ESTER&lt;br /&gt;&amp;diams; BUTYRIC ACID, CYCLOHEXYL ESTER</t>
  </si>
  <si>
    <t xml:space="preserve"> 7779-17-1</t>
  </si>
  <si>
    <t xml:space="preserve"> CYCLOHEXYL CINNAMATE</t>
  </si>
  <si>
    <t xml:space="preserve"> &amp;diams; CYCLOHEXYL CINNAMATE&lt;br /&gt;&amp;diams; CYCLOHEXYL 3-PHENYLPROPENOATE&lt;br /&gt;&amp;diams; CYCLOHEXYL BETA-PHENYLACRYLATE&lt;br /&gt;&amp;diams; 2-PROPENOIC ACID, 3-PHENYL-, CYCLOHEXYL ESTER&lt;br /&gt;&amp;diams; CYCLOHEXYL 3-PHENYL-2-PROPENOATE&lt;br /&gt;&amp;diams; CINNAMIC ACID, CYCLOHEXYL ESTER</t>
  </si>
  <si>
    <t xml:space="preserve"> 4351-54-6</t>
  </si>
  <si>
    <t xml:space="preserve"> CYCLOHEXYL FORMATE</t>
  </si>
  <si>
    <t xml:space="preserve"> &amp;diams; CYCLOHEXYL FORMATE&lt;br /&gt;&amp;diams; FORMIC ACID, CYCLOHEXYL ESTER</t>
  </si>
  <si>
    <t xml:space="preserve"> 7774-44-9</t>
  </si>
  <si>
    <t xml:space="preserve"> CYCLOHEXYL ISOVALERATE</t>
  </si>
  <si>
    <t xml:space="preserve"> &amp;diams; CYCLOHEXYL ISOVALERATE&lt;br /&gt;&amp;diams; BUTANOIC ACID, 3-METHYL-, CYCLOHEXYL ESTER&lt;br /&gt;&amp;diams; CYCLOHEXYL ISOPENTANOATE&lt;br /&gt;&amp;diams; CYCLOHEXYL 3-METHYLBUTANOATE&lt;br /&gt;&amp;diams; CYCLOHEXYL ISOVALERIANATE&lt;br /&gt;&amp;diams; ISOVALERIC ACID, CYCLOHEXYL ESTER</t>
  </si>
  <si>
    <t xml:space="preserve"> 28217-92-7</t>
  </si>
  <si>
    <t xml:space="preserve"> CYCLOHEXYLMETHYL PYRAZINE</t>
  </si>
  <si>
    <t xml:space="preserve"> &amp;diams; CYCLOHEXYLMETHYL PYRAZINE&lt;br /&gt;&amp;diams; (2-PYRAZINYLMETHYL)CYCLOHEXANE&lt;br /&gt;&amp;diams; (CYCLOHEXYLMETHYL)PYRAZINE&lt;br /&gt;&amp;diams; PYRAZINE, (CYCLOHEXYLMETHYL)-&lt;br /&gt;&amp;diams; 2-PYRAZINYL CYCLOHEXYL METHANE&lt;br /&gt;&amp;diams; 2-PYRAZINE CYCLOHEXYL METHANE&lt;br /&gt;&amp;diams; 2-(CYCLOHEXYLMETHYL)PYRAZINE</t>
  </si>
  <si>
    <t xml:space="preserve"> 6222-35-1</t>
  </si>
  <si>
    <t xml:space="preserve"> CYCLOHEXYL PROPIONATE</t>
  </si>
  <si>
    <t xml:space="preserve"> &amp;diams; CYCLOHEXYL PROPIONATE&lt;br /&gt;&amp;diams; CYCLOHEXYL PROPANOATE&lt;br /&gt;&amp;diams; PROPANOIC ACID, CYCLOHEXYL ESTER&lt;br /&gt;&amp;diams; PROPIONIC ACID, CYCLOHEXYL ESTER</t>
  </si>
  <si>
    <t xml:space="preserve"> 5552-30-7</t>
  </si>
  <si>
    <t xml:space="preserve"> CYCLOIONONE</t>
  </si>
  <si>
    <t xml:space="preserve"> &amp;diams; CYCLOIONONE&lt;br /&gt;&amp;diams; 5H-1-BENZOPYRAN, 6,7,8,8A-TETRAHYDRO-2,5,5,8A-TETRAMETHYL-&lt;br /&gt;&amp;diams; 6,7,8,8A-TETRAHYDRO-2,5,5,8A-TETRAMETHYL-5H-1-BENZOPYRAN</t>
  </si>
  <si>
    <t xml:space="preserve"> 1679-07-8</t>
  </si>
  <si>
    <t xml:space="preserve"> CYCLOPENTANETHIOL</t>
  </si>
  <si>
    <t xml:space="preserve"> &amp;diams; CYCLOPENTANETHIOL&lt;br /&gt;&amp;diams; CYCLOPENTYL MERCAPTAN&lt;br /&gt;&amp;diams; MERCAPTOCYCLOPENTANE&lt;br /&gt;&amp;diams; CYCLOPENTYLTHIOL</t>
  </si>
  <si>
    <t xml:space="preserve"> 120-92-3</t>
  </si>
  <si>
    <t xml:space="preserve"> CYCLOPENTANONE</t>
  </si>
  <si>
    <t xml:space="preserve"> &amp;diams; CYCLOPENTANONE&lt;br /&gt;&amp;diams; KETOCYCLOPENTANE&lt;br /&gt;&amp;diams; KETOPENTAMETHYLENE&lt;br /&gt;&amp;diams; ADIPIC KETONE</t>
  </si>
  <si>
    <t xml:space="preserve"> 4884-24-6</t>
  </si>
  <si>
    <t xml:space="preserve"> 2-CYCLOPENTYLCYCLOPENTANONE</t>
  </si>
  <si>
    <t xml:space="preserve"> &amp;diams; 2-CYCLOPENTYLCYCLOPENTANONE&lt;br /&gt;&amp;diams; (1,1'-bicyclopentyl)-2-one&lt;br /&gt;&amp;diams; cyclopentanone, 2-cyclopentyl-&lt;br /&gt;&amp;diams; (bicyclopentyl)-2-one&lt;br /&gt;&amp;diams; InChI=1S/C10H16O/c11-10-7-3-6-9(10)8-4-1-2-5-8/h8-9H,1-7H2&lt;br /&gt;&amp;diams; InChIKey: CWZGKTMWPFTJCS-UHFFFAOYSA-N</t>
  </si>
  <si>
    <t xml:space="preserve"> 977188-03-6</t>
  </si>
  <si>
    <t xml:space="preserve"> CYCLOPROPANECARBOXYLIC ACID (2-ISOPROPYL-5-METHYL-CYCLOHEXYL)-AMIDE</t>
  </si>
  <si>
    <t xml:space="preserve"> &amp;diams; MENTHYL CYCLOPROPANECARBOXAMIDE&lt;br /&gt;&amp;diams; N-(5-methyl-2-(1-methylethyl)cyclohexyl)cyclopropanecarboxamide&lt;br /&gt;&amp;diams; N-(2-isopropyl-5-methylcyclohexyl)cyclopropanecarboxamide&lt;br /&gt;&amp;diams; cyclopropanecarboxamide, N-(5-methyl-2-(1-methylethyl)cyclohexyl)-&lt;br /&gt;&amp;diams; cyclopropanecarboxylic acid (2-isopropyl-5-methyl-cyclohexyl)-amide</t>
  </si>
  <si>
    <t xml:space="preserve"> 73435-61-7</t>
  </si>
  <si>
    <t xml:space="preserve"> N-CYCLOPROPYL-5-METHYL-2-ISOPROPYLCYCLOHEXANECARBOXAMIDE</t>
  </si>
  <si>
    <t xml:space="preserve"> &amp;diams; N-CYCLOPROPYL-2-ISOPROPYL-5-METHYLCYCLOHEXANECARBOXAMIDE&lt;br /&gt;&amp;diams; cyclohexanecarboxamide, N-(4-methoxyphenyl)-5-methyl-2-(1-methylethyl)-&lt;br /&gt;&amp;diams; N-(4-methoxyphenyl)-5-methyl-2-(1-methylethyl)cyclohexanecarboxamide&lt;br /&gt;&amp;diams; N-cyclopropyl-5-methyl-2-isopropylcyclohexanecarboxamide</t>
  </si>
  <si>
    <t xml:space="preserve"> 608514-55-2</t>
  </si>
  <si>
    <t xml:space="preserve"> N-CYCLOPROPYL-TRANS-2-CIS-6-NONADIENAMIDE</t>
  </si>
  <si>
    <t xml:space="preserve"> &amp;diams; N-CYCLOPROPYL-TRANS-2-CIS-6-NONADIENAMIDE&lt;br /&gt;&amp;diams; 2,6-nonadienamide, N-cyclopropyl-, (2E,6Z)-&lt;br /&gt;&amp;diams; N-cyclopropyl-2-trans,6-cis-nonadienamide&lt;br /&gt;&amp;diams; N-cyclopropyl-2,6-nonadienamide, trans, cis-&lt;br /&gt;&amp;diams; N-cyclopropyl-trans-2-cis-6-nonadienamide</t>
  </si>
  <si>
    <t xml:space="preserve"> 68227-51-0</t>
  </si>
  <si>
    <t xml:space="preserve"> CYCLOTENE BUTYRATE</t>
  </si>
  <si>
    <t xml:space="preserve"> &amp;diams; 2-METHYL-5-OXO-1-CYCLOPENTEN-1-YL BUTYRATE&lt;br /&gt;&amp;diams; 1-METHYL-1-CYCLOPENTEN-2-OL-3-ONE BUTYRATE&lt;br /&gt;&amp;diams; 2-methyl-5-oxo-1-cyclopenten-1-yl butyrate&lt;br /&gt;&amp;diams; butanoic acid, 2-methyl-5-oxo-1-cyclopenten-1-yl ester&lt;br /&gt;&amp;diams; 2-methyl-5-oxo-1-cyclopenten-1-yl butanoate&lt;br /&gt;&amp;diams; butyric acid, 2-methyl-5-oxo-1-cyclopenten-1-yl ester&lt;br /&gt;&amp;diams; cyclotene butyrate</t>
  </si>
  <si>
    <t xml:space="preserve"> 87-55-8</t>
  </si>
  <si>
    <t xml:space="preserve"> CYCLOTENE PROPIONATE</t>
  </si>
  <si>
    <t xml:space="preserve"> &amp;diams; 2-HYDROXY-3-METHYL-2-CYCLOPENTEN-1-ONE PROPIONATE&lt;br /&gt;&amp;diams; 2-cyclopenten-1-one, 3-methyl-2-(1-oxopropoxy)-&lt;br /&gt;&amp;diams; 3-methyl-2-(1-oxopropoxy)-2-cyclopenten-1-one&lt;br /&gt;&amp;diams; 2-cyclopenten-1-one, 2-hydroxy-3-methyl-, propionate&lt;br /&gt;&amp;diams; cyclotene propionate&lt;br /&gt;&amp;diams; (2-methyl-5-oxo-1-cyclopentenyl)) propanoate</t>
  </si>
  <si>
    <t xml:space="preserve"> 99-87-6</t>
  </si>
  <si>
    <t xml:space="preserve"> P-CYMENE</t>
  </si>
  <si>
    <t xml:space="preserve"> &amp;diams; CYMENE, P-&lt;br /&gt;&amp;diams; METHYLISOPROPYLBENZENE, P-&lt;br /&gt;&amp;diams; ISOPROPYLTOLUENE, P-&lt;br /&gt;&amp;diams; METHYLCUMENE, P-&lt;br /&gt;&amp;diams; 1-METHYL-4-ISOPROPYLBENZENE&lt;br /&gt;&amp;diams; 4-METHYL-1-ISOPROPYLBENZENE&lt;br /&gt;&amp;diams; CYMOL, P-&lt;br /&gt;&amp;diams; BENZENE, 1-METHYL-4-(1-METHYLETHYL)-&lt;br /&gt;&amp;diams; 1-METHYL-4-(1-METHYLETHYL)BENZENE&lt;br /&gt;&amp;diams; P-CYMENE</t>
  </si>
  <si>
    <t xml:space="preserve"> 52-90-4</t>
  </si>
  <si>
    <t xml:space="preserve"> L-CYSTEINE</t>
  </si>
  <si>
    <t xml:space="preserve"> &amp;diams; CYSTEINE, L-&lt;br /&gt;&amp;diams; L-CYSTEINE&lt;br /&gt;&amp;diams; 2-AMINO-3-MERCAPTOPROPANOIC ACID, (R)-&lt;br /&gt;&amp;diams; BETA-MERCAPTOALANINE, L-&lt;br /&gt;&amp;diams; ALPHA-AMINO-BETA-MERCAPTOPROPIONIC ACID, L-&lt;br /&gt;&amp;diams; ALPHA-AMINO-BETA-MERCAPTOPROPANOIC ACID, L-&lt;br /&gt;&amp;diams; ALPHA-AMINO-BETA-THIOLPROPIONIC ACID, L-</t>
  </si>
  <si>
    <t xml:space="preserve"> DOUGH STRENGTHENER,&lt;br /&gt; FLAVOR ENHANCER,&lt;br /&gt; FLAVORING AGENT OR ADJUVANT,&lt;br /&gt; FLOUR TREATING AGENT,&lt;br /&gt; NUTRIENT SUPPLEMENT</t>
  </si>
  <si>
    <t xml:space="preserve"> 52-89-1</t>
  </si>
  <si>
    <t xml:space="preserve"> L-CYSTEINE MONOHYDROCHLORIDE</t>
  </si>
  <si>
    <t xml:space="preserve"> &amp;diams; CYSTEINE, L-, HYDROCHLORIDE&lt;br /&gt;&amp;diams; CYSTEINE MONOHYDROCHLORIDE&lt;br /&gt;&amp;diams; CYSTEINE, HYDROCHLORIDE, L-&lt;br /&gt;&amp;diams; CYSTEINE, L-, MONOHYDROCHLORIDE&lt;br /&gt;&amp;diams; L-CYSTEINE, HYDROCHLORIDE&lt;br /&gt;&amp;diams; L-CYSTEINE MONOHYDROCHLORIDE</t>
  </si>
  <si>
    <t xml:space="preserve"> DOUGH STRENGTHENER,&lt;br /&gt; FLAVOR ENHANCER,&lt;br /&gt; FLAVORING AGENT OR ADJUVANT,&lt;br /&gt; FLOUR TREATING AGENT,&lt;br /&gt; LEAVENING AGENT,&lt;br /&gt; NUTRIENT SUPPLEMENT</t>
  </si>
  <si>
    <t xml:space="preserve"> 923-32-0</t>
  </si>
  <si>
    <t xml:space="preserve"> DL-CYSTINE</t>
  </si>
  <si>
    <t xml:space="preserve"> &amp;diams; CYSTINE, DL-&lt;br /&gt;&amp;diams; 3,3'-DITHIOBIS(2-AMINOPROPANOIC ACID), DL-&lt;br /&gt;&amp;diams; BETA,BETA'-DITHIOALANINE, DL-&lt;br /&gt;&amp;diams; DL-CYSTINE</t>
  </si>
  <si>
    <t xml:space="preserve"> DOUGH STRENGTHENER,&lt;br /&gt; FLAVOR ENHANCER,&lt;br /&gt; FLAVORING AGENT OR ADJUVANT,&lt;br /&gt; NUTRIENT SUPPLEMENT</t>
  </si>
  <si>
    <t xml:space="preserve"> 56-89-3</t>
  </si>
  <si>
    <t xml:space="preserve"> L-CYSTINE</t>
  </si>
  <si>
    <t xml:space="preserve"> &amp;diams; CYSTINE, L-&lt;br /&gt;&amp;diams; L-CYSTINE&lt;br /&gt;&amp;diams; BETA,BETA'-DITHIOALANINE, L-&lt;br /&gt;&amp;diams; CYSTINE, (-)-&lt;br /&gt;&amp;diams; 3,3'-DITHIOBIS(2-AMINOPROPANOIC ACID), (R-(R*,R*))-</t>
  </si>
  <si>
    <t xml:space="preserve"> 977185-28-6</t>
  </si>
  <si>
    <t xml:space="preserve"> DAIDAI PEEL OIL</t>
  </si>
  <si>
    <t xml:space="preserve"> &amp;diams; DAIDAI PEEL OIL&lt;br /&gt;&amp;diams; CITRUS AURANTIUM SUBSP. CYATHIFERA PEEL OIL</t>
  </si>
  <si>
    <t xml:space="preserve"> 9000-16-2</t>
  </si>
  <si>
    <t xml:space="preserve"> DAMAR GUM (SHOREA DIPTEROCARPACEAE)</t>
  </si>
  <si>
    <t xml:space="preserve"> &amp;diams; DAMAR&lt;br /&gt;&amp;diams; DAMMAR&lt;br /&gt;&amp;diams; GUM DAMAR&lt;br /&gt;&amp;diams; DAMAR GUM&lt;br /&gt;&amp;diams; RESIN DAMAR&lt;br /&gt;&amp;diams; DAMAR RESIN&lt;br /&gt;&amp;diams; DAMMAR GUM</t>
  </si>
  <si>
    <t xml:space="preserve"> 43052-87-5</t>
  </si>
  <si>
    <t xml:space="preserve"> ALPHA-DAMASCONE</t>
  </si>
  <si>
    <t xml:space="preserve"> &amp;diams; DAMASCONE, ALPHA-&lt;br /&gt;&amp;diams; 1-(2,6,6-TRIMETHYL-2-CYCLOHEXEN-1-YL)-2-BUTEN-1-ONE&lt;br /&gt;&amp;diams; 4-(2,6,6-TRIMETHYL-2-CYCLOHEXENYL)-2-BUTEN-4-ONE&lt;br /&gt;&amp;diams; 2-BUTEN-1-ONE, 1-(2,6,6-TRIMETHYL-2-CYCLOHEXEN-1-YL)-&lt;br /&gt;&amp;diams; alpha-damascone</t>
  </si>
  <si>
    <t xml:space="preserve"> 24720-09-0</t>
  </si>
  <si>
    <t xml:space="preserve"> TRANS-ALPHA-DAMASCONE</t>
  </si>
  <si>
    <t xml:space="preserve"> &amp;diams; DAMASCONE, TRANS-ALPHA-&lt;br /&gt;&amp;diams; 2-buten-1-one, 1-(2,6,6-trimethyl-2-cyclohexen-1-yl-), (2E)-&lt;br /&gt;&amp;diams; 2-buten-1-one, 1-(2,6,6-trimethyl-2-cyclohexen-1-yl)-, (E)-&lt;br /&gt;&amp;diams; 1-(2,6,6-trimethyl-2-cyclohexen-1-yl)-2-buten-1-one, (2E)-&lt;br /&gt;&amp;diams; 1-(2,6,6-trimethyl-2-cyclohexen-1-yl)-2-buten-1-one, (E)-&lt;br /&gt;&amp;diams; alpha-damascone, trans-&lt;br /&gt;&amp;diams; InChI=1S/C13H20O/c1-5-7-11(14)12-10(2)8-6-9-13(12,3)4/h5,7-8,12H,6,9H2,1-4H3/b7-5+&lt;br /&gt;&amp;diams; InChIKey: CRIGTVCBMUKRSL-FNORWQNLSA-N</t>
  </si>
  <si>
    <t xml:space="preserve"> 57378-68-4</t>
  </si>
  <si>
    <t xml:space="preserve"> DELTA-DAMASCONE</t>
  </si>
  <si>
    <t xml:space="preserve"> &amp;diams; DAMASCONE, DELTA-&lt;br /&gt;&amp;diams; 8-DAMASCONE&lt;br /&gt;&amp;diams; 1-(2,6,6-TRIMETHYL-3-CYCLOHEXEN-1-YL)-2-BUTEN-1-ONE&lt;br /&gt;&amp;diams; 2-BUTEN-1-ONE, 1-(2,6,6-TRIMETHYL-3-CYCLOHEXEN-1-YL)-&lt;br /&gt;&amp;diams; delta-damascone</t>
  </si>
  <si>
    <t xml:space="preserve"> 977000-85-3</t>
  </si>
  <si>
    <t xml:space="preserve"> DAMIANA LEAVES (TURNERA DIFFUSA WILLD.)</t>
  </si>
  <si>
    <t xml:space="preserve"> &amp;diams; DAMIANA&lt;br /&gt;&amp;diams; DAMIANA LEAF&lt;br /&gt;&amp;diams; TURNERA DIFFUSA&lt;br /&gt;&amp;diams; TURNERA DIFFUSA VAR. APHRODISIACA&lt;br /&gt;&amp;diams; TURNERA DIFFUSA VAR. DIFFUSA&lt;br /&gt;&amp;diams; TURNERA APHRODISIACA&lt;br /&gt;&amp;diams; TURNERA MICROPHYLLA</t>
  </si>
  <si>
    <t xml:space="preserve"> 977038-71-3</t>
  </si>
  <si>
    <t xml:space="preserve"> DANDELION, FLUID EXTRACT (TARAXACUM SPP.)</t>
  </si>
  <si>
    <t xml:space="preserve"> &amp;diams; DANDELION FLUIDEXTRACT&lt;br /&gt;&amp;diams; TARAXACUM ROOT FLUIDEXTRACT</t>
  </si>
  <si>
    <t xml:space="preserve"> 977038-72-4</t>
  </si>
  <si>
    <t xml:space="preserve"> DANDELION ROOT, EXTRACT SOLID (TARAXACUM SPP.)</t>
  </si>
  <si>
    <t xml:space="preserve"> &amp;diams; DANDELION ROOT EXTRACT, SOLID&lt;br /&gt;&amp;diams; TARAXACUM ROOT SOLID EXTRACT</t>
  </si>
  <si>
    <t xml:space="preserve"> 8016-03-3</t>
  </si>
  <si>
    <t xml:space="preserve"> DAVANA OIL (ARTEMESIA PALLENS WALL.)</t>
  </si>
  <si>
    <t xml:space="preserve"> &amp;diams; DAVANA OIL&lt;br /&gt;&amp;diams; OILS, DAVANA&lt;br /&gt;&amp;diams; ARTEMISIA PALLENS OIL</t>
  </si>
  <si>
    <t xml:space="preserve"> 25152-84-5</t>
  </si>
  <si>
    <t xml:space="preserve"> 2-TRANS,4-TRANS-DECADIENAL</t>
  </si>
  <si>
    <t xml:space="preserve"> &amp;diams; 2,4-DECADIENAL, TRANS,TRANS-&lt;br /&gt;&amp;diams; 2-TRANS,4-TRANS-DECADIENAL&lt;br /&gt;&amp;diams; 2,4-DECADIENAL, (E,E)-</t>
  </si>
  <si>
    <t xml:space="preserve"> 18409-21-7</t>
  </si>
  <si>
    <t xml:space="preserve"> (E,E)-2,4-DECADIEN-1-OL</t>
  </si>
  <si>
    <t xml:space="preserve"> &amp;diams; 2,4-DECADIEN-1-OL, TRANS,TRANS-&lt;br /&gt;&amp;diams; 2,4-DECADIEN-1-OL, (2E,4E)-&lt;br /&gt;&amp;diams; 2,4-DECADIEN-1-OL, (E,E)-&lt;br /&gt;&amp;diams; 2,4-DECADIENOL, TRANS,TRANS-</t>
  </si>
  <si>
    <t xml:space="preserve"> 705-86-2</t>
  </si>
  <si>
    <t xml:space="preserve"> DELTA-DECALACTONE</t>
  </si>
  <si>
    <t xml:space="preserve"> &amp;diams; DELTA-DECALACTONE&lt;br /&gt;&amp;diams; TETRAHYDRO-6-PENTYL-2H-PYRAN-2-ONE&lt;br /&gt;&amp;diams; 5-HYDROXYDECANOIC ACID DELTA-LACTONE&lt;br /&gt;&amp;diams; 5-DECALACTONE&lt;br /&gt;&amp;diams; 5-DECANOLIDE&lt;br /&gt;&amp;diams; DELTA-AMYL-DELTA-VALEROLACTONE&lt;br /&gt;&amp;diams; DECANOLIDE-1,5&lt;br /&gt;&amp;diams; 5-AMYL-5-HYDROXYPENTANOIC ACID LACTONE&lt;br /&gt;&amp;diams; 5-PENTYL-5-PENTANOLIDE&lt;br /&gt;&amp;diams; DECALACTONE, DELTA-&lt;br /&gt;&amp;diams; 2H-PYRAN-2-ONE, TETRAHYDRO-6-PENTYL-&lt;br /&gt;&amp;diams; DELTA-AMYLVALEROLACTONE&lt;br /&gt;&amp;diams; DELTA-PENTYL-DELTA-VALEROLACTONE&lt;br /&gt;&amp;diams; 6-PENTYLTETRAHYDRO-2H-PYRAN-2-ONE&lt;br /&gt;&amp;diams; DECAN-5-OLIDE</t>
  </si>
  <si>
    <t xml:space="preserve"> 706-14-9</t>
  </si>
  <si>
    <t xml:space="preserve"> GAMMA-DECALACTONE</t>
  </si>
  <si>
    <t xml:space="preserve"> &amp;diams; GAMMA-DECALACTONE&lt;br /&gt;&amp;diams; 4-HEXYL-4-BUTANOLIDE&lt;br /&gt;&amp;diams; 4-HEXYL-4-HYDROXYBUTANOIC ACID LACTONE&lt;br /&gt;&amp;diams; 4-HYDROXYDECANOIC ACID GAMMA-LACTONE&lt;br /&gt;&amp;diams; 5-HEXYLDIHYDRO-2(3H)-FURANONE&lt;br /&gt;&amp;diams; DECALACTONE, GAMMA-&lt;br /&gt;&amp;diams; 2(3H)-FURANONE, 5-HEXYLDIHYDRO-&lt;br /&gt;&amp;diams; GAMMA-DECANOLACTONE&lt;br /&gt;&amp;diams; DECANOLACTONE&lt;br /&gt;&amp;diams; GAMMA-HEXYLBUTYROLACTONE&lt;br /&gt;&amp;diams; 4-HEXYL-GAMMA-BUTYROLACTONE&lt;br /&gt;&amp;diams; 2-DECALACTONE&lt;br /&gt;&amp;diams; GAMMA-HEXYL-GAMMA-BUTYROLACTONE&lt;br /&gt;&amp;diams; 4-HYDROXYDECANOIC ACID LACTONE</t>
  </si>
  <si>
    <t xml:space="preserve"> 853947-36-1</t>
  </si>
  <si>
    <t xml:space="preserve"> DECALEPIS HAMILTONII EXTRACT</t>
  </si>
  <si>
    <t xml:space="preserve"> &amp;diams; DECALEPIS HAMILTONII EXTRACT&lt;br /&gt;&amp;diams; Decalepis hamiltonii, ext.</t>
  </si>
  <si>
    <t xml:space="preserve"> 112-31-2</t>
  </si>
  <si>
    <t xml:space="preserve"> DECANAL</t>
  </si>
  <si>
    <t xml:space="preserve"> &amp;diams; DECANAL&lt;br /&gt;&amp;diams; ALDEHYDE C-10&lt;br /&gt;&amp;diams; CAPRALDEHYDE&lt;br /&gt;&amp;diams; DECYL ALDEHYDE&lt;br /&gt;&amp;diams; 1-DECANAL&lt;br /&gt;&amp;diams; CAPRINALDEHYDE&lt;br /&gt;&amp;diams; C10 ALDEHYDE&lt;br /&gt;&amp;diams; CAPRIC ALDEHYDE&lt;br /&gt;&amp;diams; CAPRINIC ALDEHYDE&lt;br /&gt;&amp;diams; DECALDEHYDE&lt;br /&gt;&amp;diams; DECYLIC ALDEHYDE&lt;br /&gt;&amp;diams; DECANALDEHYDE</t>
  </si>
  <si>
    <t xml:space="preserve"> 7779-41-1</t>
  </si>
  <si>
    <t xml:space="preserve"> DECANAL DIMETHYL ACETAL</t>
  </si>
  <si>
    <t xml:space="preserve"> &amp;diams; DECANAL DIMETHYL ACETAL&lt;br /&gt;&amp;diams; CAPRALDEHYDE DIMETHYL ACETAL&lt;br /&gt;&amp;diams; DECYLALDEHYDE DIMETHYL ACETAL&lt;br /&gt;&amp;diams; DECANE, 1,1-DIMETHOXY-&lt;br /&gt;&amp;diams; DECANAL, DIMETHYL ACETAL&lt;br /&gt;&amp;diams; 1,1-DIMETHOXYDECANE</t>
  </si>
  <si>
    <t xml:space="preserve"> 5421-12-5</t>
  </si>
  <si>
    <t xml:space="preserve"> DECANAL PROPYLENEGLYCOL ACETAL</t>
  </si>
  <si>
    <t xml:space="preserve"> &amp;diams; DECANAL PROPYLENE GLYCOL ACETAL&lt;br /&gt;&amp;diams; 1,3-dioxolane, 4-methyl-2-nonyl-&lt;br /&gt;&amp;diams; 4-methyl-2-nonyl-1,3-dioxolane&lt;br /&gt;&amp;diams; InChI=1S/C13H26O2/c1-3-4-5-6-7-8-9-10-13-14-11-12(2)15-13/h12-13H,3-11H2,1-2H3&lt;br /&gt;&amp;diams; InChIKey: SJLDHKPBFAHHSI-UHFFFAOYSA-N</t>
  </si>
  <si>
    <t xml:space="preserve"> 334-48-5</t>
  </si>
  <si>
    <t xml:space="preserve"> DECANOIC ACID</t>
  </si>
  <si>
    <t xml:space="preserve"> &amp;diams; DECANOIC ACID&lt;br /&gt;&amp;diams; N-CAPRIC ACID&lt;br /&gt;&amp;diams; C10 FATTY ACID&lt;br /&gt;&amp;diams; FATTY ACID(C10)&lt;br /&gt;&amp;diams; DECYLIC ACID&lt;br /&gt;&amp;diams; CAPRINIC ACID&lt;br /&gt;&amp;diams; 1-NONANECARBOXYLIC ACID&lt;br /&gt;&amp;diams; CAPRYNIC ACID</t>
  </si>
  <si>
    <t xml:space="preserve"> FLAVOR ENHANCER,&lt;br /&gt; FLAVORING AGENT OR ADJUVANT,&lt;br /&gt; LUBRICANT OR RELEASE AGENT,&lt;br /&gt; SURFACE-ACTIVE AGENT</t>
  </si>
  <si>
    <t xml:space="preserve"> 1565-81-7</t>
  </si>
  <si>
    <t xml:space="preserve"> 3-DECANOL</t>
  </si>
  <si>
    <t xml:space="preserve"> &amp;diams; 3-DECANOL&lt;br /&gt;&amp;diams; HEPTYL ETHYL CARBINOL&lt;br /&gt;&amp;diams; ETHYL HEPTYL CARBINOL</t>
  </si>
  <si>
    <t xml:space="preserve"> 112-30-1</t>
  </si>
  <si>
    <t xml:space="preserve"> 1-DECANOL</t>
  </si>
  <si>
    <t xml:space="preserve"> &amp;diams; DECYL ALCOHOL&lt;br /&gt;&amp;diams; ALCOHOL(C10)&lt;br /&gt;&amp;diams; 1-DECANOL&lt;br /&gt;&amp;diams; DECANOL-1&lt;br /&gt;&amp;diams; NONYLCARBINOL&lt;br /&gt;&amp;diams; CAPRIC ALCOHOL&lt;br /&gt;&amp;diams; C10 ALCOHOL&lt;br /&gt;&amp;diams; FATTY ALCOHOL(C10)&lt;br /&gt;&amp;diams; DECYLIC ALCOHOL&lt;br /&gt;&amp;diams; CAPRINIC ALCOHOL&lt;br /&gt;&amp;diams; 1-HYDROXYDECANE</t>
  </si>
  <si>
    <t xml:space="preserve"> 693-54-9</t>
  </si>
  <si>
    <t xml:space="preserve"> 2-DECANONE</t>
  </si>
  <si>
    <t xml:space="preserve"> &amp;diams; 2-DECANONE&lt;br /&gt;&amp;diams; methyl n-octyl ketone&lt;br /&gt;&amp;diams; octyl methyl ketone&lt;br /&gt;&amp;diams; InChI=1S/C10H20O/c1-3-4-5-6-7-8-9-10(2)11/h3-9H2,1-2H3&lt;br /&gt;&amp;diams; InChIKey: ZAJNGDIORYACQU-UHFFFAOYSA-N</t>
  </si>
  <si>
    <t xml:space="preserve"> 928-80-3</t>
  </si>
  <si>
    <t xml:space="preserve"> 3-DECANONE</t>
  </si>
  <si>
    <t xml:space="preserve"> &amp;diams; 3-DECANONE&lt;br /&gt;&amp;diams; ETHYL HEPTYL KETONE</t>
  </si>
  <si>
    <t xml:space="preserve"> 66642-86-2</t>
  </si>
  <si>
    <t xml:space="preserve"> 2-TRANS-4-TRANS-7-CIS-DECATRIENAL</t>
  </si>
  <si>
    <t xml:space="preserve"> &amp;diams; 2,4,7-decatrienal, trans,trans,cis-&lt;br /&gt;&amp;diams; 2,4,7-decatrienal, (2E,4E,7Z)-&lt;br /&gt;&amp;diams; 2-trans,4-trans,7-cis-decatrienal</t>
  </si>
  <si>
    <t xml:space="preserve"> 39770-05-3</t>
  </si>
  <si>
    <t xml:space="preserve"> 9-DECENAL</t>
  </si>
  <si>
    <t xml:space="preserve"> &amp;diams; 9-DECENAL</t>
  </si>
  <si>
    <t xml:space="preserve"> 3913-71-1</t>
  </si>
  <si>
    <t xml:space="preserve"> 2-DECENAL</t>
  </si>
  <si>
    <t xml:space="preserve"> &amp;diams; DECENALDEHYDE&lt;br /&gt;&amp;diams; 2-DECENAL&lt;br /&gt;&amp;diams; DECYLENIC ALDEHYDE&lt;br /&gt;&amp;diams; 3-HEPTYLACROLEIN&lt;br /&gt;&amp;diams; 2-DECEN-1-AL</t>
  </si>
  <si>
    <t xml:space="preserve"> 30390-50-2</t>
  </si>
  <si>
    <t xml:space="preserve"> 4-DECENAL</t>
  </si>
  <si>
    <t xml:space="preserve"> &amp;diams; 4-DECENAL&lt;br /&gt;&amp;diams; 4-DECENE-1-AL</t>
  </si>
  <si>
    <t xml:space="preserve"> 334-49-6</t>
  </si>
  <si>
    <t xml:space="preserve"> (E)-2-DECENOIC ACID</t>
  </si>
  <si>
    <t xml:space="preserve"> &amp;diams; 2-DECENOIC ACID, TRANS-&lt;br /&gt;&amp;diams; 2-DECENOIC ACID, (2E)-&lt;br /&gt;&amp;diams; 2-DECENOIC ACID, (E)-</t>
  </si>
  <si>
    <t xml:space="preserve"> 26303-90-2</t>
  </si>
  <si>
    <t xml:space="preserve"> 4-DECENOIC ACID</t>
  </si>
  <si>
    <t xml:space="preserve"> &amp;diams; 4-DECENOIC ACID</t>
  </si>
  <si>
    <t xml:space="preserve"> 85392-03-6</t>
  </si>
  <si>
    <t xml:space="preserve"> 5-DECENOIC ACID</t>
  </si>
  <si>
    <t xml:space="preserve"> &amp;diams; 5-DECENOIC ACID</t>
  </si>
  <si>
    <t xml:space="preserve"> 85392-04-7</t>
  </si>
  <si>
    <t xml:space="preserve"> 6-DECENOIC ACID</t>
  </si>
  <si>
    <t xml:space="preserve"> &amp;diams; 6-DECENOIC ACID</t>
  </si>
  <si>
    <t xml:space="preserve"> 14436-32-9</t>
  </si>
  <si>
    <t xml:space="preserve"> 9-DECENOIC ACID</t>
  </si>
  <si>
    <t xml:space="preserve"> &amp;diams; 9-DECENOIC ACID&lt;br /&gt;&amp;diams; CAPROLEIC ACID</t>
  </si>
  <si>
    <t xml:space="preserve"> 51100-54-0</t>
  </si>
  <si>
    <t xml:space="preserve"> 1-DECEN-3-OL</t>
  </si>
  <si>
    <t xml:space="preserve"> &amp;diams; 1-DECEN-3-OL&lt;br /&gt;&amp;diams; 3-HYDROXY-1-DECENE</t>
  </si>
  <si>
    <t xml:space="preserve"> 67114-38-9</t>
  </si>
  <si>
    <t xml:space="preserve"> 7-DECEN-4-OLIDE</t>
  </si>
  <si>
    <t xml:space="preserve"> &amp;diams; 4-HYDROXY-7-DECENOIC ACID GAMMA-LACTONE&lt;br /&gt;&amp;diams; 2(3H)-furanone, 5-(3-hexen-1-yl)dihydro-&lt;br /&gt;&amp;diams; 5-(3-hexen-1-yl)dihydro-2(3H)-furanone&lt;br /&gt;&amp;diams; 2(3H)-furanone, 5-(3-hexenyl)dihydro-&lt;br /&gt;&amp;diams; 5-(3-hexenyl)dihydro-2(3H)-furanone&lt;br /&gt;&amp;diams; 7-decen-4-olide&lt;br /&gt;&amp;diams; jasmolactone, gamma-</t>
  </si>
  <si>
    <t xml:space="preserve"> 32764-98-0</t>
  </si>
  <si>
    <t xml:space="preserve"> 8-DECEN-5-OLIDE</t>
  </si>
  <si>
    <t xml:space="preserve"> &amp;diams; 5-HYDROXY-8-DECENOIC ACID DELTA-LACTONE&lt;br /&gt;&amp;diams; 2H-pyran-2-one, tetrahydro-6-(3-penten-1-yl)-&lt;br /&gt;&amp;diams; tetrahydro-6-(3-penten-1-yl)-2H-pyran-2-one&lt;br /&gt;&amp;diams; 2H-pyran-one, tetrahydro-6-(3-pentenyl)-&lt;br /&gt;&amp;diams; tetrahydro-6-(3-pentenyl)-2H-pyran-2-one&lt;br /&gt;&amp;diams; 8-decen-5-olide&lt;br /&gt;&amp;diams; 8-decenoic acid, 5-hydroxy, delta-lactone</t>
  </si>
  <si>
    <t xml:space="preserve"> 74585-00-5</t>
  </si>
  <si>
    <t xml:space="preserve"> 9-DECEN-5-OLIDE</t>
  </si>
  <si>
    <t xml:space="preserve"> &amp;diams; 5-HYDROXY-9-DECENOIC ACID DELTA-LACTONE&lt;br /&gt;&amp;diams; 2H-pyran-2-one, tetrahydro-6-(4-penten-1-yl)-&lt;br /&gt;&amp;diams; tetrahydro-6-(4-penten-1-yl)-2H-pyran-2-one&lt;br /&gt;&amp;diams; 2H-pyran-2-one, tetrahydro-6-(4-pentenyl)-&lt;br /&gt;&amp;diams; tetrahydro-6-(4-pentenyl)-2H-pyran-2-one&lt;br /&gt;&amp;diams; 9-decenoic acid, 5-hydroxy-, delta-lactone&lt;br /&gt;&amp;diams; 9-decen-5-olide</t>
  </si>
  <si>
    <t xml:space="preserve"> 10519-33-2</t>
  </si>
  <si>
    <t xml:space="preserve"> 3-DECEN-2-ONE</t>
  </si>
  <si>
    <t xml:space="preserve"> &amp;diams; 3-DECEN-2-ONE&lt;br /&gt;&amp;diams; HEPTYLIDENE ACETONE&lt;br /&gt;&amp;diams; ENANTHYLIDENE ACETONE&lt;br /&gt;&amp;diams; OENANTHYLIDENE ACETONE</t>
  </si>
  <si>
    <t xml:space="preserve"> 35194-30-0</t>
  </si>
  <si>
    <t xml:space="preserve"> 9-DECEN-2-ONE</t>
  </si>
  <si>
    <t xml:space="preserve"> &amp;diams; 9-DECEN-2-ONE</t>
  </si>
  <si>
    <t xml:space="preserve"> 977187-83-9</t>
  </si>
  <si>
    <t xml:space="preserve"> 6-[5(6)-DECENOYLOXY]DECANOIC ACID</t>
  </si>
  <si>
    <t xml:space="preserve"> &amp;diams; 6-(5(OR 6)-DECENOYLOXY)DECANOIC ACID&lt;br /&gt;&amp;diams; 6-(5(6)-decenoyloxy)decanoic acid</t>
  </si>
  <si>
    <t xml:space="preserve"> 67452-27-1</t>
  </si>
  <si>
    <t xml:space="preserve"> 4-DECENYL ACETATE, CIS-</t>
  </si>
  <si>
    <t xml:space="preserve"> &amp;diams; 4-DECENYL ACETATE, CIS-&lt;br /&gt;&amp;diams; 4-DECEN-1-OL, ACETATE, (4Z)-</t>
  </si>
  <si>
    <t xml:space="preserve"> 112-17-4</t>
  </si>
  <si>
    <t xml:space="preserve"> DECYL ACETATE</t>
  </si>
  <si>
    <t xml:space="preserve"> &amp;diams; DECYL ACETATE&lt;br /&gt;&amp;diams; ACETATE C-10&lt;br /&gt;&amp;diams; DECYL ETHANOATE&lt;br /&gt;&amp;diams; DECANYL ACETATE&lt;br /&gt;&amp;diams; ACETIC ACID, DECYL ESTER&lt;br /&gt;&amp;diams; 1-DECYL ACETATE</t>
  </si>
  <si>
    <t xml:space="preserve"> 5454-09-1</t>
  </si>
  <si>
    <t xml:space="preserve"> DECYL BUTYRATE</t>
  </si>
  <si>
    <t xml:space="preserve"> &amp;diams; DECYL BUTYRATE&lt;br /&gt;&amp;diams; DECYL BUTANOATE&lt;br /&gt;&amp;diams; BUTANOIC ACID, DECYL ESTER&lt;br /&gt;&amp;diams; BUTYRIC ACID, DECYL ESTER</t>
  </si>
  <si>
    <t xml:space="preserve"> 83469-85-6</t>
  </si>
  <si>
    <t xml:space="preserve"> 2-DECYLFURAN</t>
  </si>
  <si>
    <t xml:space="preserve"> &amp;diams; 2-DECYLFURAN&lt;br /&gt;&amp;diams; furan, 2-decyl-</t>
  </si>
  <si>
    <t xml:space="preserve"> 5454-19-3</t>
  </si>
  <si>
    <t xml:space="preserve"> DECYL PROPIONATE</t>
  </si>
  <si>
    <t xml:space="preserve"> &amp;diams; DECYL PROPIONATE&lt;br /&gt;&amp;diams; DECYL PROPANOATE&lt;br /&gt;&amp;diams; PROPANOIC ACID, DECYL ESTER&lt;br /&gt;&amp;diams; PROPIONIC ACID, DECYL ESTER</t>
  </si>
  <si>
    <t xml:space="preserve"> 68602-86-8</t>
  </si>
  <si>
    <t xml:space="preserve"> DEERTONGUE SOLID EXTRACT</t>
  </si>
  <si>
    <t xml:space="preserve"> &amp;diams; DEERTONGUE EXTRACT&lt;br /&gt;&amp;diams; LIATRIS ODORATISSIMA, EXT.&lt;br /&gt;&amp;diams; TRILISA ODORATISSIMA EXTRACT</t>
  </si>
  <si>
    <t xml:space="preserve"> 977010-48-2</t>
  </si>
  <si>
    <t xml:space="preserve"> DEHYDRATED BEETS</t>
  </si>
  <si>
    <t xml:space="preserve"> &amp;diams; BEET, DEHYDRATED&lt;br /&gt;&amp;diams; BEET POWDER&lt;br /&gt;&amp;diams; DEHYDRATED BEET</t>
  </si>
  <si>
    <t xml:space="preserve"> 520-45-6</t>
  </si>
  <si>
    <t xml:space="preserve"> DEHYDROACETIC ACID</t>
  </si>
  <si>
    <t xml:space="preserve"> &amp;diams; DEHYDROACETIC ACID&lt;br /&gt;&amp;diams; DHAA&lt;br /&gt;&amp;diams; 2H-PYRAN-2,4(3H)-DIONE, 3-ACETYL-6-METHYL-&lt;br /&gt;&amp;diams; 3-ACETYL-6-METHYL-2H-PYRAN-2,4(3H)-DIONE&lt;br /&gt;&amp;diams; 2H-PYRAN-2-ONE, 3-ACETYL-4-HYDROXY-6-METHYL-&lt;br /&gt;&amp;diams; 3-ACETYL-4-HYDROXY-6-METHYL-2H-PYRAN-2-ONE&lt;br /&gt;&amp;diams; SORBIC ACID, 2-ACETYL-3,5-DIHYDROXY-, DELTA-LACTONE&lt;br /&gt;&amp;diams; 2-ACETYL-3,5-DIHYDROXYSORBIC ACID DELTA-LACTONE</t>
  </si>
  <si>
    <t xml:space="preserve"> 57069-86-0</t>
  </si>
  <si>
    <t xml:space="preserve"> DEHYDRODIHYDROIONOL</t>
  </si>
  <si>
    <t xml:space="preserve"> &amp;diams; DEHYDRODIHYDROIONOL&lt;br /&gt;&amp;diams; ALPHA,2,6,6-TETRAMETHYL-1,3-CYCLOHEXADIENE-1-PROPANOL&lt;br /&gt;&amp;diams; 1,3-CYCLOHEXADIENE-1-PROPANOL, ALPHA,2,6,6-TETRAMETHYL-</t>
  </si>
  <si>
    <t xml:space="preserve"> 20483-36-7</t>
  </si>
  <si>
    <t xml:space="preserve"> DEHYDRODIHYDROIONONE</t>
  </si>
  <si>
    <t xml:space="preserve"> &amp;diams; DIHYDRODEHYDRO-BETA-IONONE&lt;br /&gt;&amp;diams; DEHYDRODIHYDROIONONE&lt;br /&gt;&amp;diams; 2-BUTANONE, 4-(2,6,6-TRIMETHYL-1,3-CYCLOHEXADIEN-1-YL)-&lt;br /&gt;&amp;diams; 4-(2,6,6-TRIMETHYL-1,3-CYCLOHEXADIEN-1-YL)-2-BUTANONE</t>
  </si>
  <si>
    <t xml:space="preserve"> 75640-26-5</t>
  </si>
  <si>
    <t xml:space="preserve"> DEHYDROMENTHOFUROLACTONE</t>
  </si>
  <si>
    <t xml:space="preserve"> &amp;diams; DEHYDROMENTHOFUROLACTONE&lt;br /&gt;&amp;diams; 3,6-DIMETHYL-5,6-DIHYDRO-2(4H)BENZOFURANONE&lt;br /&gt;&amp;diams; 3,6-DIMETHYL-4,5-DIHYDRO-6H-BENZO(B)FURAN-2-ONE&lt;br /&gt;&amp;diams; 2(4H)-BENZOFURANONE, 5,6-DIHYDRO-3,6-DIMETHYL-, (R)-&lt;br /&gt;&amp;diams; 5,6-DIHYDRO-3,6-DIMETHYL-2(4H)-BENZOFURANONE, (R)-</t>
  </si>
  <si>
    <t xml:space="preserve"> 5090-63-1</t>
  </si>
  <si>
    <t xml:space="preserve"> DEHYDRONOOTKATONE</t>
  </si>
  <si>
    <t xml:space="preserve"> &amp;diams; 8,9-DIDEHYDRONOOTKATONE&lt;br /&gt;&amp;diams; DEHYDRONOOTKATONE&lt;br /&gt;&amp;diams; 2(3H)-NAPHTHALENONE, 4,4A,5,6-TETRAHYDRO-4,4A-DIMETHYL-6-(1-METHYLETHENYL)-, (4R-(4ALPHA,4AALPHA,6BETA))-&lt;br /&gt;&amp;diams; 4BETAH,5ALPHA-EREMOPHILA-1(10),8,11-TRIEN-2-ONE&lt;br /&gt;&amp;diams; 4,4A,5,6-TETRAHYDRO-4,4A-DIMETHYL-6-(1-METHYLETHENYL)-2(3H)-NAPHTHALENONE, (4R-(4ALPHA,4AALPHA,6BETA))-</t>
  </si>
  <si>
    <t xml:space="preserve"> 85248-56-2</t>
  </si>
  <si>
    <t xml:space="preserve"> 8,9-DEHYDROTHEASPIRONE</t>
  </si>
  <si>
    <t xml:space="preserve"> &amp;diams; 8,9-DEHYDROTHEASPIRONE&lt;br /&gt;&amp;diams; 1-oxaspiro[4.5]deca-2,6-dien-8-one, 2,6,10,10-tetramethyl, (5S)-&lt;br /&gt;&amp;diams;  2,6,10,10-tetramethyl-1-oxaspiro(4.5)deca-2,6-dien-8-one, (5S)-</t>
  </si>
  <si>
    <t xml:space="preserve"> 83-44-3</t>
  </si>
  <si>
    <t xml:space="preserve"> DESOXYCHOLIC ACID</t>
  </si>
  <si>
    <t xml:space="preserve"> &amp;diams; DEOXYCHOLIC ACID&lt;br /&gt;&amp;diams; DIHYDROXYCHOLANOIC ACID&lt;br /&gt;&amp;diams; DESOXYCHOLIC ACID&lt;br /&gt;&amp;diams; 3,12-DIHYDROXYCHOLANIC ACID&lt;br /&gt;&amp;diams; 3ALPHA,12ALPHA-DIHYDROXY-5BETA-CHOLANIC ACID&lt;br /&gt;&amp;diams; 3ALPHA,12ALPHA-DIHYDROXYCHOLANIC ACID&lt;br /&gt;&amp;diams; CHOLAN-24-OIC ACID, 3,12-DIHYDROXY-, (3ALPHA,5BETA,12ALPHA)-&lt;br /&gt;&amp;diams; 3,12-DIHYDROXYCHOLAN-24-OIC ACID, (3ALPHA,5BETA,12ALPHA)-&lt;br /&gt;&amp;diams; 5BETA-CHOLAN-24-OIC ACID, 3ALPHA,12ALPHA-DIHYDROXY-&lt;br /&gt;&amp;diams; 3ALPHA,12ALPHA-DIHYDROXY-5BETA-CHOLAN-24-OIC ACID</t>
  </si>
  <si>
    <t xml:space="preserve"> EMULSIFIER OR EMULSIFIER SALT</t>
  </si>
  <si>
    <t xml:space="preserve"> 9004-54-0</t>
  </si>
  <si>
    <t xml:space="preserve"> DEXTRANS (AVG M W LESS THAN 100,000)</t>
  </si>
  <si>
    <t xml:space="preserve"> &amp;diams; DEXTRAN</t>
  </si>
  <si>
    <t xml:space="preserve"> FORMULATION AID,&lt;br /&gt; PROCESSING AID,&lt;br /&gt; STABILIZER OR THICKENER,&lt;br /&gt; SURFACE-FINISHING AGENT,&lt;br /&gt; TEXTURIZER</t>
  </si>
  <si>
    <t xml:space="preserve"> 9004-53-9</t>
  </si>
  <si>
    <t xml:space="preserve"> DEXTRIN</t>
  </si>
  <si>
    <t xml:space="preserve"> &amp;diams; DEXTRIN&lt;br /&gt;&amp;diams; STARCH GUM&lt;br /&gt;&amp;diams; BRITISH GUM&lt;br /&gt;&amp;diams; DEXTRINS</t>
  </si>
  <si>
    <t xml:space="preserve"> ANTICAKING AGENT OR FREE-FLOW AGENT,&lt;br /&gt; DRYING AGENT,&lt;br /&gt; FLAVOR ENHANCER,&lt;br /&gt; FLAVORING AGENT OR ADJUVANT,&lt;br /&gt; FORMULATION AID,&lt;br /&gt; HUMECTANT,&lt;br /&gt; LUBRICANT OR RELEASE AGENT,&lt;br /&gt; NUTRITIVE SWEETENER,&lt;br /&gt; SOLVENT OR VEHICLE,&lt;br /&gt; STABILIZER OR THICKENER</t>
  </si>
  <si>
    <t xml:space="preserve"> 50-99-7</t>
  </si>
  <si>
    <t xml:space="preserve"> DEXTROSE</t>
  </si>
  <si>
    <t xml:space="preserve"> &amp;diams; DEXTROSE&lt;br /&gt;&amp;diams; GLUCOSE, D-&lt;br /&gt;&amp;diams; GRAPE SUGAR&lt;br /&gt;&amp;diams; DEXTROSE, ANHYDROUS&lt;br /&gt;&amp;diams; D-GLUCOSE</t>
  </si>
  <si>
    <t xml:space="preserve"> ANTICAKING AGENT OR FREE-FLOW AGENT,&lt;br /&gt; COLOR OR COLORING ADJUNCT,&lt;br /&gt; DRYING AGENT,&lt;br /&gt; FLAVOR ENHANCER,&lt;br /&gt; FLAVORING AGENT OR ADJUVANT,&lt;br /&gt; HUMECTANT,&lt;br /&gt; LUBRICANT OR RELEASE AGENT,&lt;br /&gt; NUTRITIVE SWEETENER,&lt;br /&gt; SOLVENT OR VEHICLE,&lt;br /&gt; STABILIZER OR THICKENER</t>
  </si>
  <si>
    <t xml:space="preserve"> 101.9 ,  133.124 ,  133.178 ,  133.179 ,  145.134 ,  145.180 ,  145.3 ,  146.132 ,  146.140 ,  146.141 ,  146.145 ,  146.146 ,  146.3 ,  155.170 ,  155.200 ,  168.110 ,  168.111 ,  169.175 ,  169.179</t>
  </si>
  <si>
    <t xml:space="preserve"> 431-03-8</t>
  </si>
  <si>
    <t xml:space="preserve"> DIACETYL</t>
  </si>
  <si>
    <t xml:space="preserve"> &amp;diams; DIACETYL&lt;br /&gt;&amp;diams; 2,3-BUTANEDIONE&lt;br /&gt;&amp;diams; BIACETYL&lt;br /&gt;&amp;diams; DIMETHYLGLYOXAL&lt;br /&gt;&amp;diams; BUTANEDIONE&lt;br /&gt;&amp;diams; DIMETHYL DIKETONE&lt;br /&gt;&amp;diams; 2,3-DIKETOBUTANE&lt;br /&gt;&amp;diams; 2,3-BUTADIONE&lt;br /&gt;&amp;diams; 2,3-DIOXOBUTANE</t>
  </si>
  <si>
    <t xml:space="preserve"> 61789-77-3</t>
  </si>
  <si>
    <t xml:space="preserve"> DI-N-ALKYL(C8-C18 FROM COCONUT OIL) DIMETHYL AMMONIUM CHLORIDE</t>
  </si>
  <si>
    <t xml:space="preserve"> &amp;diams; DICOCONUTDIMETHYLAMMONIUM CHLORIDE&lt;br /&gt;&amp;diams; DIALKYL(C8-18)DIMETHYLAMMONIUM CHLORIDE FROM COCONUT OIL&lt;br /&gt;&amp;diams; DIMETHYLDIALKYL(C8-18)AMMONIUM CHLORIDE&lt;br /&gt;&amp;diams; C8-18 DIALKYLDIMETHYLAMMONIUM CHLORIDE&lt;br /&gt;&amp;diams; DICOCOALKYLDIMETHYLQUATERNARY AMMONIUM CHLORIDE COMPOUND&lt;br /&gt;&amp;diams; QUATERNIUM-34&lt;br /&gt;&amp;diams; QUATERNARY AMMONIUM COMPOUNDS, DICOCO ALKYLDIMETHYL, CHLORIDES</t>
  </si>
  <si>
    <t xml:space="preserve"> 72869-75-1</t>
  </si>
  <si>
    <t xml:space="preserve"> DIALLYL POLYSULFIDES</t>
  </si>
  <si>
    <t xml:space="preserve"> &amp;diams; DIALLYL POLYSULFIDES&lt;br /&gt;&amp;diams; ALLYL POLYSULFIDES&lt;br /&gt;&amp;diams; 2-PROPENYL POLYSULFIDES&lt;br /&gt;&amp;diams; POLYSULFIDES, DIALLYL</t>
  </si>
  <si>
    <t xml:space="preserve"> 2050-87-5</t>
  </si>
  <si>
    <t xml:space="preserve"> DIALLYL TRISULFIDE</t>
  </si>
  <si>
    <t xml:space="preserve"> &amp;diams; ALLYL TRISULFIDE&lt;br /&gt;&amp;diams; DI-2-PROPENYL TRISULFIDE&lt;br /&gt;&amp;diams; DIALLYL TRISULFIDE&lt;br /&gt;&amp;diams; TRISULFIDE, DI-2-PROPENYL</t>
  </si>
  <si>
    <t xml:space="preserve"> 927-49-1</t>
  </si>
  <si>
    <t xml:space="preserve"> DIAMYL KETONE</t>
  </si>
  <si>
    <t xml:space="preserve"> &amp;diams; DIAMYL KETONE&lt;br /&gt;&amp;diams; DIPENTYL KETONE&lt;br /&gt;&amp;diams; 6-UNDECANONE</t>
  </si>
  <si>
    <t xml:space="preserve"> 9001-19-8</t>
  </si>
  <si>
    <t xml:space="preserve"> DIASTASE FROM ASPERGILLUS ORYZAE</t>
  </si>
  <si>
    <t xml:space="preserve"> &amp;diams; ALPHA-AMYLASE, ASPERGILLUS ORYZAE&lt;br /&gt;&amp;diams; ALPHA-1,4-GLUCAN 4-GLUCANOHYDROLASE, ASPERGILLUS ORYZAE&lt;br /&gt;&amp;diams; ASPERGILLUS ORYZAE ALPHA-AMYLASE&lt;br /&gt;&amp;diams; AMYLASE, ALPHA-, ASPERGILLUS ORYZAE&lt;br /&gt;&amp;diams; 1,4-ALPHA-D-GLUCAN GLUCANOHYDROLASE, ASPERGILLUS ORYZAE</t>
  </si>
  <si>
    <t xml:space="preserve"> 61790-53-2</t>
  </si>
  <si>
    <t xml:space="preserve"> DIATOMACEOUS EARTH</t>
  </si>
  <si>
    <t xml:space="preserve"> &amp;diams; SILICA, DIATOMACEOUS&lt;br /&gt;&amp;diams; DIATOMACEOUS SILICA&lt;br /&gt;&amp;diams; INFUSORIAL EARTH&lt;br /&gt;&amp;diams; KIESELGUHR&lt;br /&gt;&amp;diams; DIATOMITE&lt;br /&gt;&amp;diams; CELATOM&lt;br /&gt;&amp;diams; SILICEOUS EARTH&lt;br /&gt;&amp;diams; FOSSIL FLOUR&lt;br /&gt;&amp;diams; DIATOMACEOUS EARTH FILLER</t>
  </si>
  <si>
    <t xml:space="preserve"> 103-50-4</t>
  </si>
  <si>
    <t xml:space="preserve"> DIBENZYL ETHER</t>
  </si>
  <si>
    <t xml:space="preserve"> &amp;diams; BENZYL ETHER&lt;br /&gt;&amp;diams; BENZYL OXIDE&lt;br /&gt;&amp;diams; BENZENE, 1,1'-(OXYBIS(METHYLENE))BIS-&lt;br /&gt;&amp;diams; 1,1'-(OXYBIS(METHYLENE))BIS(BENZENE)</t>
  </si>
  <si>
    <t xml:space="preserve"> 7774-47-2</t>
  </si>
  <si>
    <t xml:space="preserve"> 4,4-DIBUTYL-GAMMA-BUTYROLACTONE</t>
  </si>
  <si>
    <t xml:space="preserve"> &amp;diams; 4,4-DIBUTYL-GAMMA-BUTYROLACTONE&lt;br /&gt;&amp;diams; DIBUTYLBUTYROLACTONE&lt;br /&gt;&amp;diams; 2(3H)-FURANONE, 5,5-DIBUTYLDIHYDRO-&lt;br /&gt;&amp;diams; 4-BUTYL-4-HYDROXYOCTANOIC ACID LACTONE&lt;br /&gt;&amp;diams; 4,4-DIBUTYL-4-HYDROXYBUTYRIC ACID GAMMA-LACTONE&lt;br /&gt;&amp;diams; 5,5-DIBUTYLDIHYDRO-2(3H)-FURANONE</t>
  </si>
  <si>
    <t xml:space="preserve"> 109-43-3</t>
  </si>
  <si>
    <t xml:space="preserve"> DIBUTYL SEBACATE</t>
  </si>
  <si>
    <t xml:space="preserve"> &amp;diams; DIBUTYL SEBACATE&lt;br /&gt;&amp;diams; BUTYL SEBACATE&lt;br /&gt;&amp;diams; DIBUTYL DECANEDIOATE&lt;br /&gt;&amp;diams; DIBUTYL 1,8-OCTANEDICARBOXYLATE&lt;br /&gt;&amp;diams; DECANEDIOIC ACID, DIBUTYL ESTER&lt;br /&gt;&amp;diams; SEBACIC ACID, DIBUTYL ESTER</t>
  </si>
  <si>
    <t xml:space="preserve"> 75-71-8</t>
  </si>
  <si>
    <t xml:space="preserve"> DICHLORODIFLUOROMETHANE</t>
  </si>
  <si>
    <t xml:space="preserve"> &amp;diams; DICHLORODIFLUOROMETHANE&lt;br /&gt;&amp;diams; DIFLUORODICHLOROMETHANE&lt;br /&gt;&amp;diams; METHANE, DICHLORODIFLUORO-&lt;br /&gt;&amp;diams; PROPELLANT 12</t>
  </si>
  <si>
    <t xml:space="preserve"> 2550-40-5</t>
  </si>
  <si>
    <t xml:space="preserve"> DICYCLOHEXYL DISULFIDE</t>
  </si>
  <si>
    <t xml:space="preserve"> &amp;diams; DICYCLOHEXYL DISULFIDE&lt;br /&gt;&amp;diams; BIS(CYCLOHEXYL) DISULFIDE&lt;br /&gt;&amp;diams; CYCLOHEXYL DISULFIDE&lt;br /&gt;&amp;diams; DISULFIDE, DICYCLOHEXYL</t>
  </si>
  <si>
    <t xml:space="preserve"> 68425-47-8</t>
  </si>
  <si>
    <t xml:space="preserve"> DIETHANOLAMIDE CONDENSATE FROM SOYBEAN OIL FATTY ACIDS (C16-C18)</t>
  </si>
  <si>
    <t xml:space="preserve"> &amp;diams; SOYBEAN OIL FATTY ACIDS DIETHANOLAMIDE&lt;br /&gt;&amp;diams; AMIDES, SOYA, N,N-BIS(HYDROXYETHYL)&lt;br /&gt;&amp;diams; SOYBEAN FATTY ACID DIETHANOLAMINE CONDENSATE</t>
  </si>
  <si>
    <t xml:space="preserve"> 977103-82-4</t>
  </si>
  <si>
    <t xml:space="preserve"> DIETHANOLAMIDE CONDENSATE FROM STRIPPED COCONUT OIL FATTY ACIDS(C10-C18)</t>
  </si>
  <si>
    <t xml:space="preserve"> &amp;diams; COCONUT OIL FATTY ACIDS (C10-18), STRIPPED, DIETHANOLAMIDE CONDENSATE</t>
  </si>
  <si>
    <t xml:space="preserve"> 67715-79-1</t>
  </si>
  <si>
    <t xml:space="preserve"> 1,2-(DI(1'-ETHOXY)ETHOXY)PROPANE</t>
  </si>
  <si>
    <t xml:space="preserve"> &amp;diams; 1,2-DI((1-ETHOXY)ETHOXY)PROPANE&lt;br /&gt;&amp;diams; 3,5,8,10-TETRAOXYDODECANE, 4,6,9-TRIMETHYL-&lt;br /&gt;&amp;diams; 4,6,9-TRIMETHYL-3,5,8,10-TETRAOXADODECANE</t>
  </si>
  <si>
    <t xml:space="preserve"> 100-37-8</t>
  </si>
  <si>
    <t xml:space="preserve"> DIETHYLAMINOETHANOL</t>
  </si>
  <si>
    <t xml:space="preserve"> &amp;diams; 2-(DIETHYLAMINO)ETHANOL&lt;br /&gt;&amp;diams; BETA-DIETHYLAMINOETHANOL&lt;br /&gt;&amp;diams; DIETHYLETHANOLAMINE&lt;br /&gt;&amp;diams; DIETHYLAMINOETHANOL&lt;br /&gt;&amp;diams; ETHANOL, 2-(DIETHYLAMINO)-&lt;br /&gt;&amp;diams; N,N-DIETHYLETHANOLAMINE&lt;br /&gt;&amp;diams; 2-DIETHYLAMINOETHANOL&lt;br /&gt;&amp;diams; 2-HYDROXYTRIETHYLAMINE</t>
  </si>
  <si>
    <t xml:space="preserve"> 110-81-6</t>
  </si>
  <si>
    <t xml:space="preserve"> DIETHYL DISULFIDE</t>
  </si>
  <si>
    <t xml:space="preserve"> &amp;diams; DIETHYL DISULFIDE&lt;br /&gt;&amp;diams; ETHYL DISULFIDE</t>
  </si>
  <si>
    <t xml:space="preserve"> 109-30-8</t>
  </si>
  <si>
    <t xml:space="preserve"> DIETHYLENE GLYCOL DISTEARATE</t>
  </si>
  <si>
    <t xml:space="preserve"> &amp;diams; DIETHYLENE GLYCOL DISTEARATE&lt;br /&gt;&amp;diams; OCTADECANOIC ACID, OXYDI-2,1-ETHANEDIYL ESTER&lt;br /&gt;&amp;diams; OXYDI-2,1-ETHANEDIYL DIOCTADECANOATE&lt;br /&gt;&amp;diams; OXYDIETHYLENE STEARATE&lt;br /&gt;&amp;diams; STEARIC ACID, OXYDIETHYLENE ESTER</t>
  </si>
  <si>
    <t xml:space="preserve"> 111-40-0</t>
  </si>
  <si>
    <t xml:space="preserve"> DIETHYLENETRIAMINE</t>
  </si>
  <si>
    <t xml:space="preserve"> &amp;diams; DIETHYLENETRIAMINE&lt;br /&gt;&amp;diams; IMINO-BIS-ETHYLAMINE&lt;br /&gt;&amp;diams; 2,2'-DIAMINODIETHYLAMINE&lt;br /&gt;&amp;diams; 2,2'-IMINOBISETHYLAMINE&lt;br /&gt;&amp;diams; BIS(2-AMINOETHYL)AMINE&lt;br /&gt;&amp;diams; N-(2-AMINOETHYL)-1,2-ETHANEDIAMINE&lt;br /&gt;&amp;diams; 1,2-ETHANEDIAMINE, N-(2-AMINOETHYL)-&lt;br /&gt;&amp;diams; 1,5-DIAMINO-3-AZAPENTANE</t>
  </si>
  <si>
    <t xml:space="preserve"> 25085-17-0</t>
  </si>
  <si>
    <t xml:space="preserve"> DIETHYLENETRIAMINE CROSSLINKED WITH EPICHLOROHYDRIN</t>
  </si>
  <si>
    <t xml:space="preserve"> &amp;diams; POLY(DIETHYLENETRIAMINE-CO-EPICHLOROHYDRIN)&lt;br /&gt;&amp;diams; DIETHYLENETRIAMINE, CROSS-LINKED WITH EPICHLOROHYDRIN&lt;br /&gt;&amp;diams; EPICHLOROHYDRIN-DIETHYLENETRIAMINE COPOLYMER&lt;br /&gt;&amp;diams; DIETHYLENETRIAMINE-EPICHLOROHYDRIN COPOLYMER&lt;br /&gt;&amp;diams; DIETHYLENETRIAMINE, POLYMER WITH 1-CHLORO-2,3-EPOXYPROPANE&lt;br /&gt;&amp;diams; POLY((CHLOROMETHYL)OXIRANE-CO-N-(2-AMINOETHYL)1,2-ETHANEDIAMINE)&lt;br /&gt;&amp;diams; POLY(1-CHLORO-2,3-EPOXYPROPANE-CO-DIETHYLENETRIAMINE)&lt;br /&gt;&amp;diams; 1,2-ETHANEDIAMINE, N-(2-AMINOETHYL)-, POLYMER WITH (CHLOROMETHYL)OXIRANE</t>
  </si>
  <si>
    <t xml:space="preserve"> 7554-12-3</t>
  </si>
  <si>
    <t xml:space="preserve"> DIETHYL MALATE</t>
  </si>
  <si>
    <t xml:space="preserve"> &amp;diams; DIETHYL MALATE&lt;br /&gt;&amp;diams; BUTANEDIOIC ACID, HYDROXY-, DIETHYL ESTER&lt;br /&gt;&amp;diams; DIETHYL HYDROXYBUTANEDIOATE&lt;br /&gt;&amp;diams; MALIC ACID, DIETHYL ESTER&lt;br /&gt;&amp;diams; ETHYL MALATE</t>
  </si>
  <si>
    <t xml:space="preserve"> 105-53-3</t>
  </si>
  <si>
    <t xml:space="preserve"> DIETHYL MALONATE</t>
  </si>
  <si>
    <t xml:space="preserve"> &amp;diams; DIETHYL MALONATE&lt;br /&gt;&amp;diams; ETHYL MALONATE&lt;br /&gt;&amp;diams; ETHYL METHANEDICARBOXYLATE&lt;br /&gt;&amp;diams; ETHYL PROPANEDIOATE&lt;br /&gt;&amp;diams; PROPANEDIOIC ACID, DIETHYL ESTER&lt;br /&gt;&amp;diams; DIETHYL PROPANEDIOATE&lt;br /&gt;&amp;diams; MALONIC ACID, DIETHYL ESTER</t>
  </si>
  <si>
    <t xml:space="preserve"> 18138-04-0</t>
  </si>
  <si>
    <t xml:space="preserve"> 2,3-DIETHYL-5-METHYLPYRAZINE</t>
  </si>
  <si>
    <t xml:space="preserve"> &amp;diams; 2,3-DIETHYL-5-METHYLPYRAZINE&lt;br /&gt;&amp;diams; PYRAZINE, 2,3-DIETHYL-5-METHYL-</t>
  </si>
  <si>
    <t xml:space="preserve"> 32736-91-7</t>
  </si>
  <si>
    <t xml:space="preserve"> 2,5-DIETHYL-3-METHYLPYRAZINE</t>
  </si>
  <si>
    <t xml:space="preserve"> &amp;diams; 2,5-DIETHYL-3-METHYLPYRAZINE&lt;br /&gt;&amp;diams; PYRAZINE, 2,5-DIETHYL-3-METHYL-</t>
  </si>
  <si>
    <t xml:space="preserve"> 18138-05-1</t>
  </si>
  <si>
    <t xml:space="preserve"> 3,5-DIETHYL-2-METHYLPYRAZINE</t>
  </si>
  <si>
    <t xml:space="preserve"> &amp;diams; 3,5-DIETHYL-2-METHYLPYRAZINE&lt;br /&gt;&amp;diams; PYRAZINE, 3,5-DIETHYL-2-METHYL-</t>
  </si>
  <si>
    <t xml:space="preserve"> 15707-24-1</t>
  </si>
  <si>
    <t xml:space="preserve"> 2,3-DIETHYLPYRAZINE</t>
  </si>
  <si>
    <t xml:space="preserve"> &amp;diams; 2,3-DIETHYLPYRAZINE&lt;br /&gt;&amp;diams; PYRAZINE, 2,3-DIETHYL-</t>
  </si>
  <si>
    <t xml:space="preserve"> 1609-47-8</t>
  </si>
  <si>
    <t xml:space="preserve"> DIETHYL PYROCARBONATE-- PROHIBITED</t>
  </si>
  <si>
    <t xml:space="preserve"> &amp;diams; DIETHYL PYROCARBONATE&lt;br /&gt;&amp;diams; ETHOXYFORMIC ACID ANHYDRIDE&lt;br /&gt;&amp;diams; DIETHYL DICARBONATE&lt;br /&gt;&amp;diams; DIETHYL OXYDIFORMATE&lt;br /&gt;&amp;diams; DEPC&lt;br /&gt;&amp;diams; DICARBONIC ACID, DIETHYL ESTER&lt;br /&gt;&amp;diams; FORMIC ACID, OXYDI-, DIETHYL ESTER</t>
  </si>
  <si>
    <t xml:space="preserve"> DOUGH STRENGTHENER</t>
  </si>
  <si>
    <t xml:space="preserve"> 110-40-7</t>
  </si>
  <si>
    <t xml:space="preserve"> DIETHYL SEBACATE</t>
  </si>
  <si>
    <t xml:space="preserve"> &amp;diams; DIETHYL SEBACATE&lt;br /&gt;&amp;diams; DIETHYL DECANEDIOATE&lt;br /&gt;&amp;diams; ETHYL SEBACATE&lt;br /&gt;&amp;diams; DIETHYL 1,8-OCTANEDICARBOXYLATE&lt;br /&gt;&amp;diams; ETHYL DECANEDIOATE&lt;br /&gt;&amp;diams; DECANEDIOIC ACID, DIETHYL ESTER&lt;br /&gt;&amp;diams; SEBACIC ACID, DIETHYL ESTER</t>
  </si>
  <si>
    <t xml:space="preserve"> 123-25-1</t>
  </si>
  <si>
    <t xml:space="preserve"> DIETHYL SUCCINATE</t>
  </si>
  <si>
    <t xml:space="preserve"> &amp;diams; DIETHYL SUCCINATE&lt;br /&gt;&amp;diams; DIETHYL BUTANEDIOATE&lt;br /&gt;&amp;diams; ETHYL SUCCINATE&lt;br /&gt;&amp;diams; DIETHYL ETHANEDICARBOXYLATE&lt;br /&gt;&amp;diams; BUTANEDIOIC ACID, DIETHYL ESTER&lt;br /&gt;&amp;diams; SUCCINIC ACID, DIETHYL ESTER</t>
  </si>
  <si>
    <t xml:space="preserve"> 352-93-2</t>
  </si>
  <si>
    <t xml:space="preserve"> DIETHYL SULFIDE</t>
  </si>
  <si>
    <t xml:space="preserve"> &amp;diams; DIETHYL SULFIDE&lt;br /&gt;&amp;diams; 1,1'-THIOBISETHANE&lt;br /&gt;&amp;diams; DIETHYL THIOETHER&lt;br /&gt;&amp;diams; ETHYL SULFIDE&lt;br /&gt;&amp;diams; ETHANE, 1,1'-THIOBIS-&lt;br /&gt;&amp;diams; 1,1'-THIOBIS(ETHANE)&lt;br /&gt;&amp;diams; NSC-75157&lt;br /&gt;&amp;diams; 3-THIAPENTANE&lt;br /&gt;&amp;diams; ETHYL MONOSULFIDE&lt;br /&gt;&amp;diams; ETHYL THIOETHER&lt;br /&gt;&amp;diams; ETHYLTHIOETHANE&lt;br /&gt;&amp;diams; THIOETHYL ETHER</t>
  </si>
  <si>
    <t xml:space="preserve"> 87-91-2</t>
  </si>
  <si>
    <t xml:space="preserve"> DIETHYL TARTRATE</t>
  </si>
  <si>
    <t xml:space="preserve"> &amp;diams; DIETHYL TARTRATE&lt;br /&gt;&amp;diams; ETHYL TARTRATE&lt;br /&gt;&amp;diams; DIETHYL 2,3-DIHYDROXYBUTANEDIOATE, (R-(R*,R*))-&lt;br /&gt;&amp;diams; DIETHYL 2,3-DIHYDROXYSUCCINATE&lt;br /&gt;&amp;diams; BUTANEDIOIC ACID, 2,3-DIHYDROXY- (R-(R*,R*)), DIETHYL ESTER&lt;br /&gt;&amp;diams; TARTARIC ACID, DIETHYL ESTER&lt;br /&gt;&amp;diams; DIETHYL 1,2-DIHYDROXY-1,2-ETHANEDICARBOXYLATE</t>
  </si>
  <si>
    <t xml:space="preserve"> 41239-48-9</t>
  </si>
  <si>
    <t xml:space="preserve"> 2,5-DIETHYLTETRAHYDROFURAN</t>
  </si>
  <si>
    <t xml:space="preserve"> &amp;diams; 2,5-DIETHYLTETRAHYDROFURAN&lt;br /&gt;&amp;diams; FURAN, 2,5-DIETHYLTETRAHYDRO-</t>
  </si>
  <si>
    <t xml:space="preserve"> 977187-62-4</t>
  </si>
  <si>
    <t xml:space="preserve"> MIXTURE OF 3,6-DIETHYL-1,2,4,5-TETRATHIANE AND 3,5-DIETHYL-1,2,4-TRITHIOLANE</t>
  </si>
  <si>
    <t xml:space="preserve"> &amp;diams; 3,5-DIETHYL-1,2,4-TRITHIOLANE, MIXTURE WITH 3,6-DIETHYL-1,2,4,5-TETRATHIANE&lt;br /&gt;&amp;diams; 3,6-diethyl-1,2,4,5-tetrathiane, mixture with 3,5-diethyl-1,2,4,5-trithiolane&lt;br /&gt;&amp;diams; InChI=1S/C6H12S3/c1-3-5-7-6(4-2)9-8-5/h5-6H,3-4H2,1-2H3&lt;br /&gt;&amp;diams; InChIKey=WQXXXHMEBYGSBG-UHFFFAOYSA-N</t>
  </si>
  <si>
    <t xml:space="preserve"> 3600-24-6</t>
  </si>
  <si>
    <t xml:space="preserve"> DIETHYL TRISULFIDE</t>
  </si>
  <si>
    <t xml:space="preserve"> &amp;diams; DIETHYL TRISULFIDE&lt;br /&gt;&amp;diams; trisulfide, diethyl&lt;br /&gt;&amp;diams; ethyl trisulfide&lt;br /&gt;&amp;diams; 3,4,5-trithiaheptane&lt;br /&gt;&amp;diams; 1-ethyltrisulfanylethane</t>
  </si>
  <si>
    <t xml:space="preserve"> 54644-28-9</t>
  </si>
  <si>
    <t xml:space="preserve"> (+/-)-CIS- AND TRANS-3,5-DIETHYL-1,2,4-TRITHIOLANE</t>
  </si>
  <si>
    <t xml:space="preserve"> &amp;diams; 3,5-DIETHYL-1,2,4-TRITHIOLANE&lt;br /&gt;&amp;diams; 1,2,4-trithiolane, 3,5-diethyl&lt;br /&gt;&amp;diams; 3,5-diethyl-1,2,4-trithiolane, (+-)-cis and trans-</t>
  </si>
  <si>
    <t xml:space="preserve"> 4437-22-3</t>
  </si>
  <si>
    <t xml:space="preserve"> DIFURFURYL ETHER</t>
  </si>
  <si>
    <t xml:space="preserve"> &amp;diams; DIFURFURYL ETHER&lt;br /&gt;&amp;diams; FURFURYL ETHER&lt;br /&gt;&amp;diams; FURAN, 2,2'-(OXYBIS(METHYLENE))BIS-&lt;br /&gt;&amp;diams; 2,2'-(OXYBIS(METHYLENE))BIS(FURAN)&lt;br /&gt;&amp;diams; FURAN, 2,2'-(OXYDIMETHYLENE)DI-&lt;br /&gt;&amp;diams; 2,2'-(OXYDIMETHYLENE)DIFURAN&lt;br /&gt;&amp;diams; 2,2'-DIFURFURYL ETHER</t>
  </si>
  <si>
    <t xml:space="preserve"> 64280-32-6</t>
  </si>
  <si>
    <t xml:space="preserve"> 2,4-DIFURFURYLFURAN</t>
  </si>
  <si>
    <t xml:space="preserve"> &amp;diams; 2,4-DIFURFURYLFURAN&lt;br /&gt;&amp;diams; 2,4-bis(2-furanylmethyl)furan&lt;br /&gt;&amp;diams; furan, 2,4-bis(2-furanylmethyl)-</t>
  </si>
  <si>
    <t xml:space="preserve"> 1197-40-6</t>
  </si>
  <si>
    <t xml:space="preserve"> DI-2-FURYLMETHANE</t>
  </si>
  <si>
    <t xml:space="preserve"> &amp;diams; 2,2'-DIFURYLMETHANE&lt;br /&gt;&amp;diams; furan, 2,2'-methylenebis-&lt;br /&gt;&amp;diams; furan, 2,2'-methylenedi-&lt;br /&gt;&amp;diams; di-2-furylmethane&lt;br /&gt;&amp;diams; 2,2'-methylenebis(furan)&lt;br /&gt;&amp;diams; 2,2'-methylenedifuran&lt;br /&gt;&amp;diams; InChI=1S/C9H8O2/c1-3-8(10-5-1)7-9-4-2-6-11-9/h1-6H,7H2&lt;br /&gt;&amp;diams; InChIKey: YHGNXEIQSHICNK-UHFFFAOYSA-N</t>
  </si>
  <si>
    <t xml:space="preserve"> 31147-36-1</t>
  </si>
  <si>
    <t xml:space="preserve"> DIGERANYL ETHER</t>
  </si>
  <si>
    <t xml:space="preserve"> &amp;diams; DIGERANYL ETHER&lt;br /&gt;&amp;diams; ether, bis(3,7-dimethyl-2,6-octadienyl), (E,E)-&lt;br /&gt;&amp;diams; (E,E)-bis(3,7-dimethyl-2,6-octadienyl) ether&lt;br /&gt;&amp;diams; 2,6-octadiene, 1,1'-oxybis[3,7-dimethyl-, (2E,6E)-&lt;br /&gt;&amp;diams; (2E,6E)-1,1'-oxybis[3,7-dimethyl-2,6-octadiene&lt;br /&gt;&amp;diams; InChI=1S/C20H34O/c1-17(2)9-7-11-19(5)13-15-21-16-14-20(6)12-8-h9-10,13-14H,7-8,11-12,15-16H2,1-6H3/b19-13+,20-14+10-18(3)4/&lt;br /&gt;&amp;diams; InChIKey: XWRJRXQNOHXIOX-IWGRKNQJSA-N</t>
  </si>
  <si>
    <t xml:space="preserve"> 31499-72-6</t>
  </si>
  <si>
    <t xml:space="preserve"> DIHYDRO-ALPHA-IONONE</t>
  </si>
  <si>
    <t xml:space="preserve"> &amp;diams; DIHYDRO-ALPHA-IONONE&lt;br /&gt;&amp;diams; 4-(2,6,6-TRIMETHYL-2-CYCLOHEXEN-1-YL)-2-BUTANONE&lt;br /&gt;&amp;diams; 4-(2,6,6-TRIMETHYL-2-CYCLOHEXEN-1-YL)BUTAN-2-ONE&lt;br /&gt;&amp;diams; 2-BUTANONE, 4-(2,6,6-TRIMETHYL-2-CYCLOHEXEN-1-YL)-</t>
  </si>
  <si>
    <t xml:space="preserve"> 619-01-2</t>
  </si>
  <si>
    <t xml:space="preserve"> DIHYDROCARVEOL</t>
  </si>
  <si>
    <t xml:space="preserve"> &amp;diams; 1,6-DIHYDROCARVEOL&lt;br /&gt;&amp;diams; 8-P-MENTHEN-2-OL&lt;br /&gt;&amp;diams; 6-METHYL-3-ISOPROPENYLCYCLOHEXANOL&lt;br /&gt;&amp;diams; DIHYDROCARVEOL&lt;br /&gt;&amp;diams; 2-METHYL-5-(1-METHYLETHENYL)CYCLOHEXANOL&lt;br /&gt;&amp;diams; CYCLOHEXANOL, 2-METHYL-5-(1-METHYLETHENYL)-&lt;br /&gt;&amp;diams; P-MENTH-8-EN-2-OL</t>
  </si>
  <si>
    <t xml:space="preserve"> 3792-53-8</t>
  </si>
  <si>
    <t xml:space="preserve"> CIS-DIHYDROCARVONE</t>
  </si>
  <si>
    <t xml:space="preserve"> &amp;diams; DIHYDROCARVONE, CIS-&lt;br /&gt;&amp;diams; MENTH-8-EN-2-ONE, CIS-P-&lt;br /&gt;&amp;diams; P-MENTH-8-EN-2-ONE, CIS-&lt;br /&gt;&amp;diams; 2-METHYL-5-(1-METHYLETHENYL)CYCLOHEXANONE, CIS-&lt;br /&gt;&amp;diams; 3-ISOPROPENYL-6-METHYLCYCLOHEXANONE, CIS-&lt;br /&gt;&amp;diams; CYCLOHEXANONE, 2-METHYL-5-(1-METHYLETHENYL)-, CIS-</t>
  </si>
  <si>
    <t xml:space="preserve"> 20777-49-5</t>
  </si>
  <si>
    <t xml:space="preserve"> DIHYDROCARVYL ACETATE</t>
  </si>
  <si>
    <t xml:space="preserve"> &amp;diams; DIHYDROCARVYL ACETATE&lt;br /&gt;&amp;diams; CARHYDRINE&lt;br /&gt;&amp;diams; CYCLOHEXANOL, 2-METHYL-5-(1-METHYLETHENYL)-, ACETATE, (1ALPHA,2BETA,5ALPHA)-&lt;br /&gt;&amp;diams; MENTH-8(9)-EN-2-YL ACETATE, P-&lt;br /&gt;&amp;diams; P-MENTH-8-EN-2-OL, ACETATE&lt;br /&gt;&amp;diams; P-MENTH-8-EN-2-YL ACETATE&lt;br /&gt;&amp;diams; TUBERYL ACETATE&lt;br /&gt;&amp;diams; 1-METHYL-4-ISOPROPENYLCYCLOHEXAN-2-YL ACETATE&lt;br /&gt;&amp;diams; 2-METHYL-5-(1-METHYLETHENYL)CYCLOHEXYL ACETATE, (1ALPHA,2BETA,5ALPHA)-&lt;br /&gt;&amp;diams; 8-P-MENTHEN-2-YL ACETATE&lt;br /&gt;&amp;diams; 6-METHYL-3-ISOPROPENYLCYCLOHEXYL ACETATE</t>
  </si>
  <si>
    <t xml:space="preserve"> 119-84-6</t>
  </si>
  <si>
    <t xml:space="preserve"> DIHYDROCOUMARIN</t>
  </si>
  <si>
    <t xml:space="preserve"> &amp;diams; HYDROCOUMARIN&lt;br /&gt;&amp;diams; MELILOTIN&lt;br /&gt;&amp;diams; DIHYDROCOUMARIN&lt;br /&gt;&amp;diams; 3,4-DIHYDROCOUMARIN&lt;br /&gt;&amp;diams; 2-CHROMANONE&lt;br /&gt;&amp;diams; DIHYDROBENZOPYRONE&lt;br /&gt;&amp;diams; 2-HDROXYDIHYDROCINNAMIC ACID LACTONE&lt;br /&gt;&amp;diams; 1,2-BENZODIHYDROPYRONE&lt;br /&gt;&amp;diams; 3,4-DIHYDRO-2H-1-BENZOPYRAN-2-ONE&lt;br /&gt;&amp;diams; MELILOTIC ACID LACTONE&lt;br /&gt;&amp;diams; HYDROXYDIHYDROCINNAMIC ACID LACTONE, O-&lt;br /&gt;&amp;diams; 2H-1-BENZOPYRAN-2-ONE, 3,4-DIHYDRO-</t>
  </si>
  <si>
    <t xml:space="preserve"> 38917-63-4</t>
  </si>
  <si>
    <t xml:space="preserve"> 6,7-DIHYDRO-2,3-DIMETHYL-5H-CYCLOPENTAPYRAZINE</t>
  </si>
  <si>
    <t xml:space="preserve"> &amp;diams; 6,7-DIHYDRO-2,3-DIMETHYL-5H-CYCLOPENTAPYRAZINE&lt;br /&gt;&amp;diams; 5H-CYCLOPENTAPYRAZINE, 6,7-DIHYDRO-2,3-DIMETHYL-</t>
  </si>
  <si>
    <t xml:space="preserve"> 114099-96-6</t>
  </si>
  <si>
    <t xml:space="preserve"> 4,5-DIHYDRO-2,5-DIMETHYL-4-OXO-3-FURANYL BUTYRATE</t>
  </si>
  <si>
    <t xml:space="preserve"> &amp;diams; 4,5-DIHYDRO-2,5-DIMETHYL-4-OXO-3-FURANYL BUTYRATE&lt;br /&gt;&amp;diams; BUTANOIC ACID, 4,5-DIHYDRO-2,5-DIMETHYL-4-OXO-3-FURANYL ESTER&lt;br /&gt;&amp;diams; 2,5-DIMETHYL-3-OXO-(2H)-FUR-4-YL BUTYRATE&lt;br /&gt;&amp;diams; 4-BUTYROXY-2,5-DIMETHYL-3(2H)-FURANONE</t>
  </si>
  <si>
    <t xml:space="preserve"> 51411-24-6</t>
  </si>
  <si>
    <t xml:space="preserve"> (+/-)-DIHYDROFARNESOL</t>
  </si>
  <si>
    <t xml:space="preserve"> &amp;diams; 2,3-DIHYDROFARNESOL&lt;br /&gt;&amp;diams; 6,10-dodecadien-1-ol, 3,7,11-trimethyl-&lt;br /&gt;&amp;diams; 3,7,11-trimethyl-6,10-dodecadien-1-ol&lt;br /&gt;&amp;diams; dihydrofarnesol, (+-)-</t>
  </si>
  <si>
    <t xml:space="preserve"> 129319-15-9</t>
  </si>
  <si>
    <t xml:space="preserve"> DIHYDROGALANGAL ACETATE</t>
  </si>
  <si>
    <t xml:space="preserve"> &amp;diams; DIHYDROGALANGAL ACETATE&lt;br /&gt;&amp;diams; benzenemethanol, 4-(acetyloxy)-alpha-ethyl-, 1-acetate&lt;br /&gt;&amp;diams; benzenemethanol, 4-(acetyloxy)-alpha-ethyl, acetate&lt;br /&gt;&amp;diams; 4-(acetyloxy)-alpha-ethylbenzenemethyl 1-acetate&lt;br /&gt;&amp;diams; 4-(acetyloxy)-alpha-ethylbenzenemethyl acetate</t>
  </si>
  <si>
    <t xml:space="preserve"> 3293-47-8</t>
  </si>
  <si>
    <t xml:space="preserve"> DIHYDRO-BETA-IONOL</t>
  </si>
  <si>
    <t xml:space="preserve"> &amp;diams; DIHYDRO-BETA-IONOL&lt;br /&gt;&amp;diams; 4-(2,6,6-TRIMETHYL-1-CYCLOHEXEN-1-YL)-2-BUTANOL&lt;br /&gt;&amp;diams; DIHYDROIONOL, BETA-&lt;br /&gt;&amp;diams; 4-(2,6,6-TRIMETHYL-1-CYCLOHEXENYL)BUTAN-2-OL&lt;br /&gt;&amp;diams; 1-CYCLOHEXENE-1-PROPANOL, ALPHA,2,6,6-TETRAMETHYL-&lt;br /&gt;&amp;diams; ALPHA,2,6,6-TETRAMETHYL-1-CYCLOHEXENE-1-PROPANOL</t>
  </si>
  <si>
    <t xml:space="preserve"> 17283-81-7</t>
  </si>
  <si>
    <t xml:space="preserve"> DIHYDRO-BETA-IONONE</t>
  </si>
  <si>
    <t xml:space="preserve"> &amp;diams; DIHYDRO-BETA-IONONE&lt;br /&gt;&amp;diams; 4-(2,6,6-TRIMETHYL-1-CYCLOHEXEN-1-YL)-2-BUTANONE&lt;br /&gt;&amp;diams; 4-(2,6,6-TRIMETHYL-1-CYCLOHEXENYL)BUTAN-2-ONE&lt;br /&gt;&amp;diams; 2-BUTANONE, 4-(2,6,6-TRIMETHYL-1-CYCLOHEXEN-1-YL)-&lt;br /&gt;&amp;diams; 7,8-DIHYDRO-BETA-IONONE&lt;br /&gt;&amp;diams; ALPHA,BETA-DIHYDRO-BETA-IONONE</t>
  </si>
  <si>
    <t xml:space="preserve"> 1786-08-9</t>
  </si>
  <si>
    <t xml:space="preserve"> 3,6-DIHYDRO-4-METHYL-2(2-METHYLPROPEN-1-YL)-2H-PYRAN</t>
  </si>
  <si>
    <t xml:space="preserve"> &amp;diams; 3,6-DIHYDRO-4-METHYL-2-(2-METHYLPROPEN-1-YL)-2H-PYRAN&lt;br /&gt;&amp;diams; NEROL OXIDE&lt;br /&gt;&amp;diams; 2H-PYRAN, 3,6-DIHYDRO-4-METHYL-2-(2-METHYL-1-PROPEYL)-&lt;br /&gt;&amp;diams; 3,6-DIHYDRO-4-METHYL-2-(2-METHYL-1-PROPENYL)-2H-PYRAN&lt;br /&gt;&amp;diams; 2H-PYRAN, 3,6-DIHYDRO-4-METHYL-2-(2-METHYLPROPENYL)-&lt;br /&gt;&amp;diams; 3,6-DIHYDRO-4-METHYL-2-(2-METHYLPROPENYL)-2H-PYRAN</t>
  </si>
  <si>
    <t xml:space="preserve"> 36267-71-7</t>
  </si>
  <si>
    <t xml:space="preserve"> 5,7-DIHYDRO-2-METHYLTHIENO(3,4-D)PYRIMIDINE</t>
  </si>
  <si>
    <t xml:space="preserve"> &amp;diams; THIENYL PYRIMIDINE&lt;br /&gt;&amp;diams; 5,7-DIHYDRO-2-METHYLTHIENO(3,4-D)PYRIMIDINE&lt;br /&gt;&amp;diams; THIENO(3,4-D)PYRIMIDINE, 5,7-DIHYDRO-2-METHYL-&lt;br /&gt;&amp;diams; 2-METHYL-5,7-DIHYDROTHIENO(3,4-D)PYRIMIDINE</t>
  </si>
  <si>
    <t xml:space="preserve"> 92015-65-1</t>
  </si>
  <si>
    <t xml:space="preserve"> (+/-)-DIHYDROMINTLACTONE</t>
  </si>
  <si>
    <t xml:space="preserve"> &amp;diams; DIHYDROMINTLACTONE&lt;br /&gt;&amp;diams; 2(3H)-benzofuranone, hexahydro-3,6-dimethyl-&lt;br /&gt;&amp;diams; 2-hydroxy-alpha,4-dimethylcyclohexaneacetic acid gamma-lactone&lt;br /&gt;&amp;diams; 3,6-dimethylcyclohexylacetolactone&lt;br /&gt;&amp;diams; 2-(2-hydroxy-4-methylcyclohexyl)propionic acid gamma-lactone&lt;br /&gt;&amp;diams; dihydromintlactone, (+-)-</t>
  </si>
  <si>
    <t xml:space="preserve"> 20489-53-6</t>
  </si>
  <si>
    <t xml:space="preserve"> DIHYDRONOOTKATONE</t>
  </si>
  <si>
    <t xml:space="preserve"> &amp;diams; DIHYDRONOOTKATONE&lt;br /&gt;&amp;diams; 1,10-DIHYDRONOOTKATONE&lt;br /&gt;&amp;diams; 4BETAH,5ALPHA-EREMOPHIL-11-EN-2-ONE&lt;br /&gt;&amp;diams; 2(1H)-NAPHTHALENONE, OCTAHYDRO-4,4A-DIMETHYL-6-(1-METHYLETHENYL)-, (4R-(4ALPHA,4AALPHA,6BETA,8ABETA))-&lt;br /&gt;&amp;diams; OCTAHYDRO-4,4A-DIMETHYL-6-(1-METHYLETHENYL)-2(1H)-NAPHTHALENONE, (4R-(4ALPHA,4AALPHA,6BETA,8ABETA))-</t>
  </si>
  <si>
    <t xml:space="preserve"> 137886-38-5</t>
  </si>
  <si>
    <t xml:space="preserve"> (+/-)-CIS- AND TRANS-1,2-DIHYDROPERILLALDEHYDE</t>
  </si>
  <si>
    <t xml:space="preserve"> &amp;diams; 1,2-DIHYDROPERILLALDEHYDE&lt;br /&gt;&amp;diams; 4-isopropenylcyclohexanecarboxaldehyde&lt;br /&gt;&amp;diams; cyclohexanecarboxaldehyde, 4-(1-methylethenyl)-&lt;br /&gt;&amp;diams; 4-(1-methylethenyl)cyclohexanecarboxaldehyde</t>
  </si>
  <si>
    <t xml:space="preserve"> 1003-04-9</t>
  </si>
  <si>
    <t xml:space="preserve"> 4,5-DIHYDRO-3(2H)THIOPHENONE</t>
  </si>
  <si>
    <t xml:space="preserve"> &amp;diams; DIHYDRO-3(2H)-THIOPHENONE&lt;br /&gt;&amp;diams; TETRAHYDROTHIOPHEN-3-ONE&lt;br /&gt;&amp;diams; 3-THIOPHANONE&lt;br /&gt;&amp;diams; 3-TETRAHYDROTHIOPHENONE&lt;br /&gt;&amp;diams; 3(2H)-THIOPHENONE, DIHYDRO-&lt;br /&gt;&amp;diams; 3-THIACYCLOPENTANONE&lt;br /&gt;&amp;diams; 3-OXO-2,3,4,5-TETRAHYDROTHIOPHENE&lt;br /&gt;&amp;diams; 3-OXOTETRAHYDROTHIOPHENE&lt;br /&gt;&amp;diams; 4,5-DIHYDRO-3(2H)THIOPHENONE</t>
  </si>
  <si>
    <t xml:space="preserve"> 86241-90-9</t>
  </si>
  <si>
    <t xml:space="preserve"> DIHYDRO-2,4,6-TRIMETHYL-4H-1,3,5-DITHIAZINE</t>
  </si>
  <si>
    <t xml:space="preserve"> &amp;diams; DIHYDRO-2,4,6-TRIMETHYL-4H-1,3,5-DITHIAZINE&lt;br /&gt;&amp;diams; 2,4,6-TRIMETHYLPERHYDRO-1,3,5-DITHIAZINE&lt;br /&gt;&amp;diams; 2,4,6-TRIMETHYLDIHYDRO-1,3,5-DITHIAZINE&lt;br /&gt;&amp;diams; 4H-1,3,5-DITHIAZINE, DIHYDRO-2,4,6-TRIMETHYL-</t>
  </si>
  <si>
    <t xml:space="preserve"> 74595-94-1</t>
  </si>
  <si>
    <t xml:space="preserve"> DIHYDRO-2,4,6-TRIS(2-METHYLPROPYL)-4H-1,3,5-DITHIAZINE</t>
  </si>
  <si>
    <t xml:space="preserve"> &amp;diams; DIHYDRO-2,4,6-TRIS(2-METHYLPROPYL)-4H-1,3,5-DITHIAZINE&lt;br /&gt;&amp;diams; 4H-1,3,5-dithiazine, dihydro-2,4,6-tris(2-methylpropyl)-&lt;br /&gt;&amp;diams; 2,4,6-triisobutyl-5,6-dihydro-4H-1,3,5-dithiazine</t>
  </si>
  <si>
    <t xml:space="preserve"> 62147-49-3</t>
  </si>
  <si>
    <t xml:space="preserve"> DIHYDROXYACETONE (DIMER)</t>
  </si>
  <si>
    <t xml:space="preserve"> &amp;diams; 2,5-DIHYDROXY-1,4-DIOXANE-2,5-DIMETHANOL, TRANS-&lt;br /&gt;&amp;diams; 1,4-dioxane-2,5-dimethanol, 2,5-dihydroxy-, (2R,5S)-rel-</t>
  </si>
  <si>
    <t xml:space="preserve"> 96-26-4</t>
  </si>
  <si>
    <t xml:space="preserve"> DIHYDROXYACETONE (MONOMER)</t>
  </si>
  <si>
    <t xml:space="preserve"> &amp;diams; DIHYDROXYACETONE&lt;br /&gt;&amp;diams; 1,3-DIHYDROXY-2-PROPANONE&lt;br /&gt;&amp;diams; 1,3-DIHYDROXYACETONE&lt;br /&gt;&amp;diams; 2-PROPANONE, 1,3-DIHYDROXY-&lt;br /&gt;&amp;diams; alpha,alpha'-dihydroxyacetone&lt;br /&gt;&amp;diams; bis(hydroxymethyl) ketone&lt;br /&gt;&amp;diams; chromelin</t>
  </si>
  <si>
    <t xml:space="preserve"> 28631-86-9</t>
  </si>
  <si>
    <t xml:space="preserve"> DIHYDROXYACETOPHENONE</t>
  </si>
  <si>
    <t xml:space="preserve"> &amp;diams; DIHYDROXYACETOPHENONE&lt;br /&gt;&amp;diams; ACETOPHENONE, DIHYDROXY-&lt;br /&gt;&amp;diams; DIHYDROXY 1-PHENYLETHANONE&lt;br /&gt;&amp;diams; DIOXYACETOPHENONE&lt;br /&gt;&amp;diams; ETHANONE, 1-PHENYL-, DIHYDROXY DERIV.</t>
  </si>
  <si>
    <t xml:space="preserve"> 89-86-1</t>
  </si>
  <si>
    <t xml:space="preserve"> 2,4-DIHYDROXYBENZOIC ACID</t>
  </si>
  <si>
    <t xml:space="preserve"> &amp;diams; 2,4-DIHYDROXYBENZOIC ACID&lt;br /&gt;&amp;diams; BETA-RESORCYLIC ACID&lt;br /&gt;&amp;diams; BETA-RESORCINOLIC ACID&lt;br /&gt;&amp;diams; BENZOIC ACID, 2,4-DIHYDROXY-&lt;br /&gt;&amp;diams; HYDROXYSALICYLIC ACID, P-&lt;br /&gt;&amp;diams; 2,4-DHBA&lt;br /&gt;&amp;diams; 4-CARBOXYRESORCINOL&lt;br /&gt;&amp;diams; 4-HYDROXYSALICYLIC ACID</t>
  </si>
  <si>
    <t xml:space="preserve"> 99-50-3</t>
  </si>
  <si>
    <t xml:space="preserve"> 3,4-DIHYDROXYBENZOIC ACID</t>
  </si>
  <si>
    <t xml:space="preserve"> &amp;diams; PROTOCATECHUIC ACID&lt;br /&gt;&amp;diams; BENZOIC ACID, 3,4-DIHYDROXY-&lt;br /&gt;&amp;diams; 3,4-DIHYDROXYBENZOIC ACID&lt;br /&gt;&amp;diams; InChI=1S/C7H6O4/c8-5-2-1-4(7(10)11)3-6(5)9/h1-3,8-9H,(H,10,11)&lt;br /&gt;&amp;diams; InChIKey: YQUVCSBJEUQKSH-UHFFFAOYSA-N</t>
  </si>
  <si>
    <t xml:space="preserve"> 40018-26-6</t>
  </si>
  <si>
    <t xml:space="preserve"> 2,5-DIHYDROXY-1,4-DITHIANE</t>
  </si>
  <si>
    <t xml:space="preserve"> &amp;diams; MERCAPTOACETALDEHYDE DIMER&lt;br /&gt;&amp;diams; DITHIANE-2,5-DIOL, P-&lt;br /&gt;&amp;diams; 1,4-DITHIANE-2,5-DIOL&lt;br /&gt;&amp;diams; 2,5-DIHYDROXY-1,4-DITHIANE</t>
  </si>
  <si>
    <t xml:space="preserve"> 520-33-2</t>
  </si>
  <si>
    <t xml:space="preserve"> 5,7-DIHYDROXY-2-(3-HYDROXY-4-METHXY-PHENYL)-CHROMAN-4-ONE</t>
  </si>
  <si>
    <t xml:space="preserve"> &amp;diams; HESPERETIN&lt;br /&gt;&amp;diams; NEOHESPERIDIN AGLYCONE&lt;br /&gt;&amp;diams; ERIODICTYOL 4'-MONOMETHYL ETHER&lt;br /&gt;&amp;diams; 3',5,7-TRIHYDROXY-4'-METHOXYFLAVANONE&lt;br /&gt;&amp;diams; 5,7,3'-TRIHYDROXY-4'-METHOXYFLAVANONE&lt;br /&gt;&amp;diams; FLAVANONE, 3',5,7-TRIHYDROXY-4'-METHOXY-&lt;br /&gt;&amp;diams; 4H-1-BENZOPYRAN-4-ONE, 2,3-DIHYDRO-5,7-DIHYDROXY-2-(3-HYDROXY-4-METHOXYPHENYL)-, (S)-&lt;br /&gt;&amp;diams; 2,3-DIHYDRO-5,7-DIHYDROXY-2-(3-HYDROXY-4-METHOXYPHENYL)-4H-1-BENZOPYRAN-4-ONE, (S)-</t>
  </si>
  <si>
    <t xml:space="preserve"> 76426-35-2</t>
  </si>
  <si>
    <t xml:space="preserve"> 3',7-DIHYDROXY-4'-METHOXYFLAVAN</t>
  </si>
  <si>
    <t xml:space="preserve"> &amp;diams; 3',7'-DIHYDROXY-4'-METHOXYFLAVAN&lt;br /&gt;&amp;diams; 2H-1-benzopyran-7-ol, 3,4-dihydro-2-(3-hydroxy-4-methoxyphenyl)-&lt;br /&gt;&amp;diams; 3,4-dihydro-2-(3-hydroxy-4-methoxyphenyl)-2H-1-benzopyran-7-ol</t>
  </si>
  <si>
    <t xml:space="preserve"> 2051-04-9</t>
  </si>
  <si>
    <t xml:space="preserve"> DIISOAMYL DISULFIDE</t>
  </si>
  <si>
    <t xml:space="preserve"> &amp;diams; ISOAMYL DISULFIDE&lt;br /&gt;&amp;diams; diisoamyl disulfide&lt;br /&gt;&amp;diams; disulfide, bis(3-methylbutyl)&lt;br /&gt;&amp;diams; bis(3-methylbutyl) disulfide&lt;br /&gt;&amp;diams; iospentyl disulfide</t>
  </si>
  <si>
    <t xml:space="preserve"> 955371-64-9</t>
  </si>
  <si>
    <t xml:space="preserve"> DIISOAMYL TRISULFIDE</t>
  </si>
  <si>
    <t xml:space="preserve"> &amp;diams; ISOAMYL TRISULFIDE&lt;br /&gt;&amp;diams; trisulfide, bis(3-methylbutyl)&lt;br /&gt;&amp;diams; bis(3-methylbutyl) trisulfide&lt;br /&gt;&amp;diams; diisoamyl trisulfide&lt;br /&gt;&amp;diams; isopentyl trisulfide</t>
  </si>
  <si>
    <t xml:space="preserve"> 141-04-8</t>
  </si>
  <si>
    <t xml:space="preserve"> DIISOBUTYL ADIPATE</t>
  </si>
  <si>
    <t xml:space="preserve"> &amp;diams; DIISOBUTYL ADIPATE&lt;br /&gt;&amp;diams; ADIPIC ACID, DIISOBUTYL ESTER&lt;br /&gt;&amp;diams; HEXANEDIOIC ACID, BIS(2-METHYLPROPYL) ESTER&lt;br /&gt;&amp;diams; BIS(2-METHYLPROPYL) HEXANEDIOATE&lt;br /&gt;&amp;diams; DIBA&lt;br /&gt;&amp;diams; InChI=1S/C14H26O4/c1-11(2)9-17-13(15)7-5-6-8-14(16)18-10-12(3)4/h11-12H,5-10H2,1-4H3&lt;br /&gt;&amp;diams; InChIKey: RDOFJDLLWVCMRU-UHFFFAOYSA-N</t>
  </si>
  <si>
    <t xml:space="preserve"> 108-83-8</t>
  </si>
  <si>
    <t xml:space="preserve"> DIISOBUTYL KETONE</t>
  </si>
  <si>
    <t xml:space="preserve"> &amp;diams; 2,6-DIMETHYL-4-HEPTANONE&lt;br /&gt;&amp;diams; DIISOBUTYL KETONE&lt;br /&gt;&amp;diams; DIISOPROPYLACETONE, SYM-&lt;br /&gt;&amp;diams; ISOBUTYL KETONE&lt;br /&gt;&amp;diams; ISOVALERONE&lt;br /&gt;&amp;diams; 4-HEPTANONE, 2,6-DIMETHYL-</t>
  </si>
  <si>
    <t xml:space="preserve"> 68084-03-7</t>
  </si>
  <si>
    <t xml:space="preserve"> DIISOPENTYL THIOMALATE</t>
  </si>
  <si>
    <t xml:space="preserve"> &amp;diams; DIISOAMYL THIOMALATE&lt;br /&gt;&amp;diams; diisopentyl thiomalate&lt;br /&gt;&amp;diams; bis(3-methylbutyl) mercaptosuccinate&lt;br /&gt;&amp;diams; butanedioic acid, mercapto-, bis(3-methylbutyl) ester</t>
  </si>
  <si>
    <t xml:space="preserve"> 6938-94-9</t>
  </si>
  <si>
    <t xml:space="preserve"> DIISOPROPYL ADIPATE</t>
  </si>
  <si>
    <t xml:space="preserve"> &amp;diams; DIISOPROPYL ADIPATE&lt;br /&gt;&amp;diams; ISOPROPYL ADIPATE&lt;br /&gt;&amp;diams; HEXANEDIOIC ACID, BIS(1-METHYLETHYL) ESTER&lt;br /&gt;&amp;diams; BIS(1-METHYLETHYL) HEXANEDIOATE&lt;br /&gt;&amp;diams; ADIPIC ACID, DIISOPROPYL ESTER&lt;br /&gt;&amp;diams; InChI=1S/C12H22O4/c1-9(2)15-11(13)7-5-6-8-12(14)16-10(3)4/h9-10H,5-8H2,1-4H3&lt;br /&gt;&amp;diams; InChIKey: ZDQWESQEGGJUCH-UHFFFAOYSA-N</t>
  </si>
  <si>
    <t xml:space="preserve"> 4253-89-8</t>
  </si>
  <si>
    <t xml:space="preserve"> DIISOPROPYL DISULFIDE</t>
  </si>
  <si>
    <t xml:space="preserve"> &amp;diams; DIISOPROPYL DISULFIDE&lt;br /&gt;&amp;diams; BIS(1-METHYLETHYL) DISULFIDE&lt;br /&gt;&amp;diams; DISULFIDE, BIS(1-METHYLETHYL)&lt;br /&gt;&amp;diams; ISOPROPYL DISULFIDE&lt;br /&gt;&amp;diams; NSC-75123&lt;br /&gt;&amp;diams; 2,5-DIMETHYL-3,4-DITHIAHEXANE</t>
  </si>
  <si>
    <t xml:space="preserve"> 5943-34-0</t>
  </si>
  <si>
    <t xml:space="preserve"> DIISOPROPYL TRISULFIDE</t>
  </si>
  <si>
    <t xml:space="preserve"> &amp;diams; DIISOPROPYL TRISULFIDE&lt;br /&gt;&amp;diams; BIS(1-METHYLETHYL) TRISULFIDE&lt;br /&gt;&amp;diams; ISOPROPYL TRISULFIDE&lt;br /&gt;&amp;diams; TRISULFIDE, BIS(1-METHYLETHYL)&lt;br /&gt;&amp;diams; 2,6-DIMETHYL-3,4,5-TRITHIAHEPTANE</t>
  </si>
  <si>
    <t xml:space="preserve"> 123-28-4</t>
  </si>
  <si>
    <t xml:space="preserve"> DILAURYL THIODIPROPIONATE</t>
  </si>
  <si>
    <t xml:space="preserve"> &amp;diams; DILAURYL THIODIPROPIONATE&lt;br /&gt;&amp;diams; BIS(DODECYLOXYCARBONYLETHYL) SULFIDE&lt;br /&gt;&amp;diams; DIDODECYL 3,3'-THIODIPROPIONATE&lt;br /&gt;&amp;diams; DIDODECYL 3,3'-THIOBIS(PROPANOATE)&lt;br /&gt;&amp;diams; LAURYL THIODIPROPIONATE&lt;br /&gt;&amp;diams; PROPANOIC ACID, 3,3'-THIOBIS-, DIDODECYL ESTER&lt;br /&gt;&amp;diams; PROPIONIC ACID, 3,3'-THIODI-, DIDODECYL ESTER</t>
  </si>
  <si>
    <t xml:space="preserve"> 977050-60-4</t>
  </si>
  <si>
    <t xml:space="preserve"> DILL (ANETHUM GRAVEOLENS L.)</t>
  </si>
  <si>
    <t xml:space="preserve"> &amp;diams; DILL&lt;br /&gt;&amp;diams; ANETHUM&lt;br /&gt;&amp;diams; ANETH (ANETHUM GRAVEOLENS)&lt;br /&gt;&amp;diams; ANETHUM GRAVEOLENS</t>
  </si>
  <si>
    <t xml:space="preserve"> 8006-75-5</t>
  </si>
  <si>
    <t xml:space="preserve"> DILL, OIL (ANETHUM GRAVEOLENS L.)</t>
  </si>
  <si>
    <t xml:space="preserve"> &amp;diams; DILLWEED OIL&lt;br /&gt;&amp;diams; DILL OIL&lt;br /&gt;&amp;diams; DILL HERB OIL, AMERICAN&lt;br /&gt;&amp;diams; DILLWEED OIL, EUROPEAN&lt;br /&gt;&amp;diams; ANETHUM GRAVEOLENS OIL&lt;br /&gt;&amp;diams; OILS, DILL&lt;br /&gt;&amp;diams; DILL HERB OIL&lt;br /&gt;&amp;diams; DILLWEED OIL, AMERICAN</t>
  </si>
  <si>
    <t xml:space="preserve"> 977082-99-7</t>
  </si>
  <si>
    <t xml:space="preserve"> DILL SEED, INDIAN (ANETHUM SPP.)</t>
  </si>
  <si>
    <t xml:space="preserve"> &amp;diams; DILL SEED, INDIAN&lt;br /&gt;&amp;diams; ANETHUM SOWA SEED&lt;br /&gt;&amp;diams; INDIAN DILL SEED</t>
  </si>
  <si>
    <t xml:space="preserve"> 8016-05-5</t>
  </si>
  <si>
    <t xml:space="preserve"> DILL SEED OIL(ANETHUM SOWA ROXB.)</t>
  </si>
  <si>
    <t xml:space="preserve"> &amp;diams; DILL SEED OIL, INDIAN&lt;br /&gt;&amp;diams; ANETHUM SOWA SEED OIL&lt;br /&gt;&amp;diams; INDIAN DILL SEED OIL</t>
  </si>
  <si>
    <t xml:space="preserve"> 406179-71-3</t>
  </si>
  <si>
    <t xml:space="preserve"> DIMENTHYL GLUTARATE</t>
  </si>
  <si>
    <t xml:space="preserve"> &amp;diams; DIMENTHYL GLUTARATE&lt;br /&gt;&amp;diams; pentanedioic acid, 1,5-bis(5-methyl-2-(1-methylethyl)cyclohexyl) ester&lt;br /&gt;&amp;diams; 1,5-bis(5-methyl-2-(1-methylethyl)cyclohexyl) pentanedioate&lt;br /&gt;&amp;diams; pentanedioic acid, bis(5-methyl-2-(1-methylethyl)cyclohexyl) ester&lt;br /&gt;&amp;diams; bis(5-methyl-2-(1-methylethyl)cyclohexyl) pentanedioate&lt;br /&gt;&amp;diams; InChI=1S/C25H44O4/c1-16(2)20-12-10-18(5)14-22(20)28-24(26)8-7-9-25(27)29-23-15-19(6)11-13-21(23)17(3)4/h16-23H,7-15H2,1-6H3&lt;br /&gt;&amp;diams; InChIKey: IVFWZYOGAYVLRF-UHFFFAOYSA-N</t>
  </si>
  <si>
    <t xml:space="preserve"> 6725-64-0</t>
  </si>
  <si>
    <t xml:space="preserve"> DIMERCAPTOMETHANE</t>
  </si>
  <si>
    <t xml:space="preserve"> &amp;diams; METHANEDITHIOL&lt;br /&gt;&amp;diams; dimercaptomethane</t>
  </si>
  <si>
    <t xml:space="preserve"> 91-16-7</t>
  </si>
  <si>
    <t xml:space="preserve"> 1,2-DIMETHOXYBENZENE</t>
  </si>
  <si>
    <t xml:space="preserve"> &amp;diams; VERATROLE&lt;br /&gt;&amp;diams; 1,2-DIMETHOXYBENZENE&lt;br /&gt;&amp;diams; VERATROL&lt;br /&gt;&amp;diams; CATECHOL DIMETHYL ETHER&lt;br /&gt;&amp;diams; PYROCATECHOL DIMETHYL ETHER&lt;br /&gt;&amp;diams; BENZENE, 1,2-DIMETHOXY-&lt;br /&gt;&amp;diams; BENZENE, O-DIMETHOXY-&lt;br /&gt;&amp;diams; DIMETHOXYBENZENE, O-&lt;br /&gt;&amp;diams; 2-METHOXYANISOLE</t>
  </si>
  <si>
    <t xml:space="preserve"> 151-10-0</t>
  </si>
  <si>
    <t xml:space="preserve"> M-DIMETHOXYBENZENE</t>
  </si>
  <si>
    <t xml:space="preserve"> &amp;diams; 1,3-DIMETHOXYBENZENE&lt;br /&gt;&amp;diams; DIMETHYL RESORCINOL&lt;br /&gt;&amp;diams; METHOXYANISOLE, M-&lt;br /&gt;&amp;diams; RESORCINOL DIMETHYL ETHER&lt;br /&gt;&amp;diams; DIMETHOXYBENZENE, M-&lt;br /&gt;&amp;diams; BENZENE, 1,3-DIMETHOXY-&lt;br /&gt;&amp;diams; BENZENE, M-DIMETHOXY-</t>
  </si>
  <si>
    <t xml:space="preserve"> 150-78-7</t>
  </si>
  <si>
    <t xml:space="preserve"> P-DIMETHOXYBENZENE</t>
  </si>
  <si>
    <t xml:space="preserve"> &amp;diams; 1,4-DIMETHOXYBENZENE&lt;br /&gt;&amp;diams; DIMETHYL HYDROQUINONE&lt;br /&gt;&amp;diams; HYDROQUINONE DIMETHYL ETHER&lt;br /&gt;&amp;diams; METHOXYANISOLE, P-&lt;br /&gt;&amp;diams; DMB&lt;br /&gt;&amp;diams; BENZENE, 1,4-DIMETHOXY-&lt;br /&gt;&amp;diams; BENZENE, P-DIMETHOXY-&lt;br /&gt;&amp;diams; QUINOL DIMETHYL ETHER&lt;br /&gt;&amp;diams; 4-METHOXYANISOLE&lt;br /&gt;&amp;diams; METHYL P-METHOXYPHENYL ETHER&lt;br /&gt;&amp;diams; 1,4-DIMETHOXYBENZOL</t>
  </si>
  <si>
    <t xml:space="preserve"> 745047-53-4</t>
  </si>
  <si>
    <t xml:space="preserve"> N1-(2,4-DIMETHOXYBENZYL)-N2-(2-(PYRIDIN-2-YL) ETHYL)OXALAMIDE</t>
  </si>
  <si>
    <t xml:space="preserve"> &amp;diams; N-((2,4-DIMETHOXYPHENYL)METHYL)-N'-(2-(2-PYRIDINYL)ETHYL)ETHANEDIAMIDE&lt;br /&gt;&amp;diams; ethanediamide, N-((2,4-dimethoxyphenyl)methyl)-N'-(2-(2-pyridinyl)ethyl)-&lt;br /&gt;&amp;diams; N1-(2,4-dimethoxybenzyl)-N2-(2-pyridin-2-yl)ethyl)oxalamide</t>
  </si>
  <si>
    <t xml:space="preserve"> 534-15-6</t>
  </si>
  <si>
    <t xml:space="preserve"> 1,1-DIMETHOXYETHANE</t>
  </si>
  <si>
    <t xml:space="preserve"> &amp;diams; 1,1-DIMETHOXYETHANE&lt;br /&gt;&amp;diams; ACETALDEHYDE DIMETHYL ACETAL&lt;br /&gt;&amp;diams; DIMETHYLACETAL&lt;br /&gt;&amp;diams; ETHYLIDENE DIMETHYL ETHER&lt;br /&gt;&amp;diams; ETHANE, 1,1-DIMETHOXY-&lt;br /&gt;&amp;diams; ACETALDEHYDE METHYL ACETAL&lt;br /&gt;&amp;diams; 3-METHYL-2,4-DIOXAPENTANE</t>
  </si>
  <si>
    <t xml:space="preserve"> 18318-83-7</t>
  </si>
  <si>
    <t xml:space="preserve"> 1,1-DIMETHOXY-TRANS-2-HEXENE</t>
  </si>
  <si>
    <t xml:space="preserve"> &amp;diams; 2-HEXENAL DIMETHYL ACETAL, TRANS-&lt;br /&gt;&amp;diams; 1,1-dimethoxy-2-hexene, (E)-&lt;br /&gt;&amp;diams; 2-hexenal dimethyl acetal, (E)-&lt;br /&gt;&amp;diams; 1,1-dimethoxy-2-hexene, trans-&lt;br /&gt;&amp;diams; 2-hexene, 1,1-dimethoxy-, (E)-</t>
  </si>
  <si>
    <t xml:space="preserve"> 91-10-1</t>
  </si>
  <si>
    <t xml:space="preserve"> 2,6-DIMETHOXYPHENOL</t>
  </si>
  <si>
    <t xml:space="preserve"> &amp;diams; 2,6-DIMETHOXYPHENOL&lt;br /&gt;&amp;diams; PYROGALLOL 1,3-DIMETHYL ETHER&lt;br /&gt;&amp;diams; SYRINGOL&lt;br /&gt;&amp;diams; 1,3-DI-O-METHYLPYROGALLOL&lt;br /&gt;&amp;diams; 1,3-DIMETHOXY-2-HYDROXYBENZENE&lt;br /&gt;&amp;diams; 1,3-DIMETHYL PYROGALLATE&lt;br /&gt;&amp;diams; 2-HYDROXY-1,3-DIMETHOXYBENZENE&lt;br /&gt;&amp;diams; PHENOL, 2,6-DIMETHOXY-</t>
  </si>
  <si>
    <t xml:space="preserve"> 69444-90-2</t>
  </si>
  <si>
    <t xml:space="preserve"> N-[2-(3,4-DIMETHOXYPHENYL)ETHYL]-3,4-DIMETHOXYCINNAMIC ACID AMIDE</t>
  </si>
  <si>
    <t xml:space="preserve"> &amp;diams; N-(2-(3,4-DIMETHOXYPHENYL)ETHYL-3,4-DIMETHOXYCINNAMIDE&lt;br /&gt;&amp;diams; 2-propenamide, 3-(3,4-dimethoxyphenyl)-N-(2-(3,4-dimethoxyphenyl)ethyl)-&lt;br /&gt;&amp;diams; 3-(3,4-dimethoxyphenyl)-N-(2-(3,4-dimethoxyphenyl)ethyl)-2-propenamide&lt;br /&gt;&amp;diams; N-(2-(3,4-dimethoxyphenyl)ethyl)-3,4-dimethoxycinnamic acid amide&lt;br /&gt;&amp;diams; InChI=1S/C21H25NO5/c1-24-17-8-5-15(13-19(17)26-3)7-10-21(23)22-12-11-16-6-9-18(25-2)20(14-16)27-4/h5-10,13-14H,11-12H2,1-4H3,(H,22,23)&lt;br /&gt;&amp;diams; InChIKey: OZNUPWACHHUIKC-UHFFFAOYSA-N</t>
  </si>
  <si>
    <t xml:space="preserve"> 6380-23-0</t>
  </si>
  <si>
    <t xml:space="preserve"> 3,4-DIMETHOXY-1-VINYLBENZENE</t>
  </si>
  <si>
    <t xml:space="preserve"> &amp;diams; 3,4-DIMETHOXY-1-VINYLBENZENE&lt;br /&gt;&amp;diams; BENZENE, 4-ETHENYL-1,2-DIMETHOXY-&lt;br /&gt;&amp;diams; STYRENE, 3,4-DIMETHOXY-&lt;br /&gt;&amp;diams; VERATROLE, 4-VINYL-&lt;br /&gt;&amp;diams; 3,4-DIMETHOXYSTYRENE&lt;br /&gt;&amp;diams; 1,2-DIMETHOXY-4-VINYLBENZENE&lt;br /&gt;&amp;diams; 4-ETHENYL-1,2-DIMETHOXYBENZENE&lt;br /&gt;&amp;diams; 4-VINYL-1,2-DIMETHOXYBENZENE&lt;br /&gt;&amp;diams; 4-VINYLVERATROLE</t>
  </si>
  <si>
    <t xml:space="preserve"> 70786-44-6</t>
  </si>
  <si>
    <t xml:space="preserve"> 3,6-DIMETHYL-2,3,3A,4,5,7A-HEXAHYDROBENZOFURAN</t>
  </si>
  <si>
    <t xml:space="preserve"> &amp;diams; 2,3,3A,4,5,7A-HEXAHYDRO-3,6-DIMETHYLBENZOFURAN&lt;br /&gt;&amp;diams; benzofuran, 2,3,3a,4,5,7a-hexahydro-3,6-dimethyl-&lt;br /&gt;&amp;diams; dill ether&lt;br /&gt;&amp;diams; 3,6-dimethyl-2,3,3a,4,5,7a-hexahydrobenzofuran&lt;br /&gt;&amp;diams; InChI=1S/C10H16O/c1-7-3-4-9-8(2)6-11-10(9)5-7/h5,8-10H,3-4,6H2,1-2H3&lt;br /&gt;&amp;diams; InChIKey: KBPPPUZMFQKLNP-UHFFFAOYSA-N</t>
  </si>
  <si>
    <t xml:space="preserve"> 89-74-7</t>
  </si>
  <si>
    <t xml:space="preserve"> 2,4-DIMETHYLACETOPHENONE</t>
  </si>
  <si>
    <t xml:space="preserve"> &amp;diams; 2',4'-DIMETHYLACETOPHENONE&lt;br /&gt;&amp;diams; ACETYL-M-XYLENE&lt;br /&gt;&amp;diams; ACETOPHENONE, 2',4'-DIMETHYL-&lt;br /&gt;&amp;diams; ETHANONE, 1-(2,4-DIMETHYLPHENYL)-&lt;br /&gt;&amp;diams; METHYL 2,4-DIMETHYLPHENYL KETONE&lt;br /&gt;&amp;diams; 1-(2,4-DIMETHYLPHENYL)ETHANONE&lt;br /&gt;&amp;diams; 2,4-DIMETHYLACETOPHENONE</t>
  </si>
  <si>
    <t xml:space="preserve"> 43219-68-7</t>
  </si>
  <si>
    <t xml:space="preserve"> 1,4-DIMETHYL-4-ACETYL-1-CYCLOHEXENE</t>
  </si>
  <si>
    <t xml:space="preserve"> &amp;diams; 1,4-DIMETHYL-3-CYCLOHEXENYL METHYL KETONE&lt;br /&gt;&amp;diams; ETHANONE, 1-(1,4-DIMETHYL-3-CYCLOHEXEN-1-YL)-&lt;br /&gt;&amp;diams; 1-(1,4-DIMETHYL-3-CYCLOHEXEN-1-YL)ETHANONE&lt;br /&gt;&amp;diams; 1,4-DIMETHYL-4-ACETYLCYCLOHEXENE&lt;br /&gt;&amp;diams; 1,4-DIMETHYL-4-ACETYL-1-CYCLOHEXENE&lt;br /&gt;&amp;diams; 1,4-DIMETHYLCYCLOHEX-3-ENYL METHYL KETONE&lt;br /&gt;&amp;diams; 4-ACETYL-1,4-DIMETHYL-1-CYCLOHEXENE</t>
  </si>
  <si>
    <t xml:space="preserve"> 38205-60-6</t>
  </si>
  <si>
    <t xml:space="preserve"> 2,4-DIMETHYL-5-ACETYLTHIAZOLE</t>
  </si>
  <si>
    <t xml:space="preserve"> &amp;diams; 2,4-DIMETHYL-5-ACETYLTHIAZOLE&lt;br /&gt;&amp;diams; ETHANONE, 1-(2,4-DIMETHYL-5-THIAZOLYL)-&lt;br /&gt;&amp;diams; KETONE, 2,4-DIMETHYL-5-THIAZOLYL METHYL&lt;br /&gt;&amp;diams; 2,4-DIMETHYL-5-THIAZOYL METHYL KETONE&lt;br /&gt;&amp;diams; 1-(2,4-DIMETHYL-5-THIAZOLYL)ETHANONE&lt;br /&gt;&amp;diams; 5-ACETYL-2,4-DIMETHYLTHIAZOLE</t>
  </si>
  <si>
    <t xml:space="preserve"> 627-93-0</t>
  </si>
  <si>
    <t xml:space="preserve"> DIMETHYL ADIPATE</t>
  </si>
  <si>
    <t xml:space="preserve"> &amp;diams; DIMETHYL ADIPATE&lt;br /&gt;&amp;diams; hexanedioic acid, dimethyl ester&lt;br /&gt;&amp;diams; dimethyl hexanedioate&lt;br /&gt;&amp;diams; adipic acid, dimethyl ester&lt;br /&gt;&amp;diams; hexanedioic acid, 1,6-dimethyl ester&lt;br /&gt;&amp;diams; 1,6-dimethyl hexanedioate&lt;br /&gt;&amp;diams; InChI=1S/C8H14O4/c1-11-7(9)5-3-4-6-8(10)12-2/h3-6H2,1-2H3&lt;br /&gt;&amp;diams; InChIKey: UDSFAEKRVUSQDD-UHFFFAOYSA-N</t>
  </si>
  <si>
    <t xml:space="preserve"> 124-40-3</t>
  </si>
  <si>
    <t xml:space="preserve"> DIMETHYLAMINE</t>
  </si>
  <si>
    <t xml:space="preserve"> &amp;diams; DIMETHYLAMINE&lt;br /&gt;&amp;diams; METHANAMINE, N-METHYL-&lt;br /&gt;&amp;diams; N-METHYLMETHANAMINE&lt;br /&gt;&amp;diams; N,N-DIMETHYLAMINE</t>
  </si>
  <si>
    <t xml:space="preserve"> 25988-97-0</t>
  </si>
  <si>
    <t xml:space="preserve"> DIMETHYLAMINE-EPICHLOROHYDRIN COPOLYMER</t>
  </si>
  <si>
    <t xml:space="preserve"> &amp;diams; POLY(DIMETHYLAMINE-CO-EPICHLOROHYDRIN)&lt;br /&gt;&amp;diams; DIMETHYLAMINE-EPICHLOROHYDRIN COPOLYMER&lt;br /&gt;&amp;diams; DIMETHYLAMINE, POLYMER WITH 1-CHLORO-2,3-EPOXYPROPANE&lt;br /&gt;&amp;diams; METHANAMINE, N-METHYL-, POLYMER WITH (CHLOROMETHYL)OXIRANE&lt;br /&gt;&amp;diams; N-METHYLMETHANAMINE, POLYMER WITH (CHLOROMETHYL)OXIRANE&lt;br /&gt;&amp;diams; POLY((CHLOROMETHYL)OXIRANE-CO-N-METHYLMETHANAMINE)</t>
  </si>
  <si>
    <t xml:space="preserve"> 6738-23-4</t>
  </si>
  <si>
    <t xml:space="preserve"> 2,4-DIMETHYLANISOLE</t>
  </si>
  <si>
    <t xml:space="preserve"> &amp;diams; 2,4-DIMETHYLANISOLE&lt;br /&gt;&amp;diams; BENZENE, 1-METHOXY-2,4-DIMETHYL-&lt;br /&gt;&amp;diams; 1-METHOXY-2,4-DIMETHYLBENZENE&lt;br /&gt;&amp;diams; ANISOLE, 2,4-DIMETHYL-&lt;br /&gt;&amp;diams; 4-METHOXY-1,3-DIMETHYLBENZENE&lt;br /&gt;&amp;diams; 4-METHOXY-M-XYLENE</t>
  </si>
  <si>
    <t xml:space="preserve"> 15764-16-6</t>
  </si>
  <si>
    <t xml:space="preserve"> 2,4-DIMETHYLBENZALDEHYDE</t>
  </si>
  <si>
    <t xml:space="preserve"> &amp;diams; 2,4-DIMETHYLBENZALDEHYDE&lt;br /&gt;&amp;diams; BENZALDEHYDE, 2,4-DIMETHYL-&lt;br /&gt;&amp;diams; 1-FORMYL-2,4-DIMETHYLBENZENE&lt;br /&gt;&amp;diams; 2,4-XYLYLALDEHYDE&lt;br /&gt;&amp;diams; 2,4-DIMETHYLBENZENECARBOXALDEHYDE</t>
  </si>
  <si>
    <t xml:space="preserve"> 3782-00-1</t>
  </si>
  <si>
    <t xml:space="preserve"> 2,3-DIMETHYLBENZOFURAN</t>
  </si>
  <si>
    <t xml:space="preserve"> &amp;diams; 2,3-DIMETHYLBENZOFURAN&lt;br /&gt;&amp;diams; BENZOFURAN, 2,3-DIMETHYL-</t>
  </si>
  <si>
    <t xml:space="preserve"> 536-50-5</t>
  </si>
  <si>
    <t xml:space="preserve"> P,ALPHA-DIMETHYLBENZYL ALCOHOL</t>
  </si>
  <si>
    <t xml:space="preserve"> &amp;diams; DIMETHYLBENZYL ALCOHOL, P,ALPHA-&lt;br /&gt;&amp;diams; BENZENEMETHANOL, ALPHA,4-DIMETHYL-&lt;br /&gt;&amp;diams; ALPHA,4-DIMETHYLBENZENEMETHANOL&lt;br /&gt;&amp;diams; BENZYL ALCOHOL, P,ALPHA-DIMETHYL-&lt;br /&gt;&amp;diams; METHYL-P-TOLYLCARBINOL&lt;br /&gt;&amp;diams; TOLYLMETHYLCARBINOL, P-&lt;br /&gt;&amp;diams; 1-P-TOLYL-1-ETHANOL&lt;br /&gt;&amp;diams; 1-(4-METHYLPHENYL)ETHANOL&lt;br /&gt;&amp;diams; 1-(4-TOLYL)ETHANOL&lt;br /&gt;&amp;diams; 1-(P-METHYLPHENYL)ETHANOL&lt;br /&gt;&amp;diams; 4-TOLYLMETHYLCARBINOL&lt;br /&gt;&amp;diams; 4-(ALPHA-HYDROXYETHYL)TOLUENE&lt;br /&gt;&amp;diams; 4-METHYL-ALPHA-PHENETHYL ALCOHOL&lt;br /&gt;&amp;diams; 4-METHYLPHENYLMETHYLCARBINOL</t>
  </si>
  <si>
    <t xml:space="preserve"> 93762-34-6</t>
  </si>
  <si>
    <t xml:space="preserve"> DIMETHYLBENZYL CARBINYL CROTONATE</t>
  </si>
  <si>
    <t xml:space="preserve"> &amp;diams; 1,1-DIMETHYL-2-PHENYLETHYL 2-BUTENOATE&lt;br /&gt;&amp;diams; 2-butenoic acid, 1,1-dimethyl-2-phenylethyl ester&lt;br /&gt;&amp;diams; dimethylbenzylcarbinyl crotonate&lt;br /&gt;&amp;diams; benzyldimethylcarbinyl crotonate&lt;br /&gt;&amp;diams; InChI=1/C14H18O2/c1-4-8-13(15)16-14(2,3)11-12-9-6-5-7-10-12/h4-10H,11H2,1-3H3&lt;br /&gt;&amp;diams; InChIKey: OKLPIYCKVVLHCP-UHFFFAOYSA-N</t>
  </si>
  <si>
    <t xml:space="preserve"> 891781-90-1</t>
  </si>
  <si>
    <t xml:space="preserve"> DIMETHYLBENZYL CARBINYL HEXANOATE</t>
  </si>
  <si>
    <t xml:space="preserve"> &amp;diams; 1,1-DIMETHYL-2-PHENYLETHYL HEXANOATE&lt;br /&gt;&amp;diams; hexanoic acid, 1,1-dimethyl-2-phenylethyl ester&lt;br /&gt;&amp;diams; 1,1-dimethyl-2-phenethyl hexanoate&lt;br /&gt;&amp;diams; dimethylbenzylcarbinyl hexanoate&lt;br /&gt;&amp;diams; dimethyl benzyl carbinyl hexanoate</t>
  </si>
  <si>
    <t xml:space="preserve"> 7774-60-9</t>
  </si>
  <si>
    <t xml:space="preserve"> ALPHA,ALPHA-DIMETHYLBENZYL ISOBUTYRATE</t>
  </si>
  <si>
    <t xml:space="preserve"> &amp;diams; ALPHA,ALPHA-DIMETHYLBENZYL ISOBUTYRATE&lt;br /&gt;&amp;diams; ALPHA,ALPHA-DIMETHYLBENZYL 2-METHYLPROPANOATE&lt;br /&gt;&amp;diams; ISOBUTYRIC ACID, ALPHA,ALPHA-DIMETHYLBENZYL ESTER&lt;br /&gt;&amp;diams; PHENYL DIMETHYL CARBINYL ISOBUTYRATE&lt;br /&gt;&amp;diams; PROPANOIC ACID, 2-METHYL-, 1-METHYL-1-PHENYLETHYL ESTER&lt;br /&gt;&amp;diams; 1-METHYL-1-PHENYLETHYL 2-METHYLPROPANOATE&lt;br /&gt;&amp;diams; 2-PHENYLPROPAN-2-YL ISOBUTYRATE&lt;br /&gt;&amp;diams; 2-PHENYLPROPAN-2-YL 2-METHYLPROPANOATE</t>
  </si>
  <si>
    <t xml:space="preserve"> 13494-06-9</t>
  </si>
  <si>
    <t xml:space="preserve"> 3,4-DIMETHYL-1,2-CYCLOPENTADIONE</t>
  </si>
  <si>
    <t xml:space="preserve"> &amp;diams; 3,4-DIMETHYL-1,2-CYCLOPENTADIONE&lt;br /&gt;&amp;diams; 3,4-DIMETHYL-1,2-CYCLOPENTANEDIONE&lt;br /&gt;&amp;diams; 1,2-CYCLOPENTANEDIONE, 3,4-DIMETHYL-</t>
  </si>
  <si>
    <t xml:space="preserve"> 13494-07-0</t>
  </si>
  <si>
    <t xml:space="preserve"> 3,5-DIMETHYL-1,2-CYCLOPENTADIONE</t>
  </si>
  <si>
    <t xml:space="preserve"> &amp;diams; 3,5-DIMETHYL-1,2-CYCLOPENTADIONE&lt;br /&gt;&amp;diams; 3,5-DIMETHYL-1,2-CYCLOPENTANEDIONE&lt;br /&gt;&amp;diams; 1,2-CYCLOPENTANEDIONE, 3,5-DIMETHYL-</t>
  </si>
  <si>
    <t xml:space="preserve"> 877-60-1</t>
  </si>
  <si>
    <t xml:space="preserve"> (+/-)-TRANS- AND CIS-5-(2,2-DIMETHYLCYCLOPROPYL)-3-METHYL-2-PENTENAL</t>
  </si>
  <si>
    <t xml:space="preserve"> &amp;diams; 5-(2,2-DIMETHYLCYCLOPROPYL)-3-METHYL-2-PENTENAL&lt;br /&gt;&amp;diams; 2-pentenal,5-(2,2-dimethylcyclopropyl)-3-methyl-</t>
  </si>
  <si>
    <t xml:space="preserve"> 977065-95-4</t>
  </si>
  <si>
    <t xml:space="preserve"> DIMETHYL DIALKYL AMMONIUM CHLORIDE</t>
  </si>
  <si>
    <t xml:space="preserve"> &amp;diams; DIALKYLDIMETHYLAMMONIUM CHLORIDE&lt;br /&gt;&amp;diams; DIMETHYLDIALKYLAMMONIUM CHLORIDE</t>
  </si>
  <si>
    <t xml:space="preserve"> FLOUR TREATING AGENT</t>
  </si>
  <si>
    <t xml:space="preserve"> 4525-33-1</t>
  </si>
  <si>
    <t xml:space="preserve"> DIMETHYL DICARBONATE</t>
  </si>
  <si>
    <t xml:space="preserve"> &amp;diams; DIMETHYL DICARBONATE&lt;br /&gt;&amp;diams; DIMETHYL PYROCARBONATE&lt;br /&gt;&amp;diams; DICARBONIC ACID, DIMETHYL ESTER&lt;br /&gt;&amp;diams; FORMIC ACID, OXYDI-, DIMETHYL ESTER&lt;br /&gt;&amp;diams; DIMETHYL OXYDIFORMATE&lt;br /&gt;&amp;diams; METHYL PYROCARBONATE</t>
  </si>
  <si>
    <t xml:space="preserve"> 34514-55-1</t>
  </si>
  <si>
    <t xml:space="preserve"> 2(3),5-DIMETHYL-6,7-DIHYDRO-5H-CYCLOPENTAPYRAZINE</t>
  </si>
  <si>
    <t xml:space="preserve"> &amp;diams; 6,7-DIHYDRO-2,5(OR 2,7)-DIMETHYL-5H-CYCLOPENTAPYRAZINE&lt;br /&gt;&amp;diams; 2(or 3),5-dimethyl-6,7-dihydro-5H-cyclopentapyrazine&lt;br /&gt;&amp;diams; 5H-cyclpentapyrazine, 6,7-dihydro-2,5(or 2,7)-dimethyl-</t>
  </si>
  <si>
    <t xml:space="preserve"> 55704-78-4</t>
  </si>
  <si>
    <t xml:space="preserve"> 2,5-DIMETHYL-2,5-DIHYDROXY-1,4-DITHIANE</t>
  </si>
  <si>
    <t xml:space="preserve"> &amp;diams; 2,5-DIMETHYL-2,5-DIHYDROXY-1,4-DITHIANE&lt;br /&gt;&amp;diams; 2,5-DIMETHYL-2,5-DIHYDROXY-P-DITHIANE&lt;br /&gt;&amp;diams; 1,4-DITHIANE-2,5-DIOL, 2,5-DIMETHYL-&lt;br /&gt;&amp;diams; 2,5-DIMETHYL-1,4-DITHIANE-2,5-DIOL&lt;br /&gt;&amp;diams; 2,5-DIMETHYL-P-DITHIANE-2,5-DIOL</t>
  </si>
  <si>
    <t xml:space="preserve"> 3390-12-3</t>
  </si>
  <si>
    <t xml:space="preserve"> 2,4-DIMETHYL-1,3-DIOXOLANE</t>
  </si>
  <si>
    <t xml:space="preserve"> &amp;diams; 2,4-DIMETHYL-1,3-DIOXOLANE&lt;br /&gt;&amp;diams; acetaldehyde cyclic propylene acetal&lt;br /&gt;&amp;diams; 1,3-dioxolane, 2,4-dimethyl-&lt;br /&gt;&amp;diams; InChi=1S/C5H10O2/c1-4-3-6-5(2)7-4/h4-5H,3H2,1-2H3&lt;br /&gt;&amp;diams; InChiKey=ROSFUFIOLRQOON-UHFFFAOYSA-N</t>
  </si>
  <si>
    <t xml:space="preserve"> 108-01-0</t>
  </si>
  <si>
    <t xml:space="preserve"> DIMETHYLETHANOLAMINE</t>
  </si>
  <si>
    <t xml:space="preserve"> &amp;diams; DIMETHYLAMINOETHANOL&lt;br /&gt;&amp;diams; 2-(DIMETHYLAMINO)ETHANOL&lt;br /&gt;&amp;diams; DIMETHYLETHANOLAMINE&lt;br /&gt;&amp;diams; N,N-DIMETHYLETHANOLAMINE&lt;br /&gt;&amp;diams; 2-DIMETHYLAMINOETHANOL&lt;br /&gt;&amp;diams; N,N-DIMETHYLAMINOETHANOL&lt;br /&gt;&amp;diams; DEANOL&lt;br /&gt;&amp;diams; ETHANOL, 2-(DIMETHYLAMINO)-&lt;br /&gt;&amp;diams; DMAE&lt;br /&gt;&amp;diams; DIMETHYLMONOETHANOLAMINE&lt;br /&gt;&amp;diams; DIMETHYL(2-HYDROXYETHYL)AMINE</t>
  </si>
  <si>
    <t xml:space="preserve"> 65330-49-6</t>
  </si>
  <si>
    <t xml:space="preserve"> 2,5-DIMETHYL-4-ETHOXY-3(2H)-FURANONE</t>
  </si>
  <si>
    <t xml:space="preserve"> &amp;diams; 4-ETHOXY-2,5-DIMETHYLFURAN-3(2H)-ONE&lt;br /&gt;&amp;diams; 3(2H)-furanone, 4-ethoxy-2,5-dimethyl-&lt;br /&gt;&amp;diams; 2,5-dimethyl-4-ethoxyfuran-3(2H)-one&lt;br /&gt;&amp;diams; InChI=1S/C8H12O3/c1-4-10-8-6(3)11-5(2)7(8)9/h5H,4H2,1-3H3&lt;br /&gt;&amp;diams; InChIKey: AILFSZXBRNLVHY-UHFFFAOYSA-N</t>
  </si>
  <si>
    <t xml:space="preserve"> 30408-61-8</t>
  </si>
  <si>
    <t xml:space="preserve"> 2,5-DIMETHYL-4-ETHYLOXAZOLE</t>
  </si>
  <si>
    <t xml:space="preserve"> &amp;diams; 4-ETHYL-2,5-DIMETHYLOXAZOLE&lt;br /&gt;&amp;diams; oxazole, 4-ethyl-2,5-dimethyloxazole&lt;br /&gt;&amp;diams; 2,5-dimethyl-4-ethyloxazole&lt;br /&gt;&amp;diams; InChI=1S/C7H11NO/c1-4-7-5(2)9-6(3)8-7/h4H2,1-3H3&lt;br /&gt;&amp;diams; InChIKey: YZZBROGKUWYQOL-UHFFFAOYSA-N</t>
  </si>
  <si>
    <t xml:space="preserve"> 98-54-4</t>
  </si>
  <si>
    <t xml:space="preserve"> 4-(1,1-DIMETHYLETHYL)PHENOL</t>
  </si>
  <si>
    <t xml:space="preserve"> &amp;diams; 4-TERT-BUTYLPHENOL&lt;br /&gt;&amp;diams; BUTYLPHENOL, P-TERT-&lt;br /&gt;&amp;diams; 4-(1,1-DIMETHYLETHYL)PHENOL&lt;br /&gt;&amp;diams; BUTYLPHEN&lt;br /&gt;&amp;diams; TERT-BUTYLPHENOL, P-&lt;br /&gt;&amp;diams; PHENOL, 4-(1,1-DIMETHYLETHYL)-&lt;br /&gt;&amp;diams; PHENOL, P-TERT-BUTYL-</t>
  </si>
  <si>
    <t xml:space="preserve"> 76788-46-0</t>
  </si>
  <si>
    <t xml:space="preserve"> 4,5-DIMETHYL-2-ETHYL-3-THIAZOLINE</t>
  </si>
  <si>
    <t xml:space="preserve"> &amp;diams; 2-ETHYL-4,5-DIMETHYL-3-THIAZOLINE&lt;br /&gt;&amp;diams; THIAZOLE, 2-ETHYL-2,5-DIHYDRO-4,5-DIMETHYL-&lt;br /&gt;&amp;diams; 2-ETHYL-2,5-DIHYDRO-4,5-DIMETHYLTHIAZOLE&lt;br /&gt;&amp;diams; 3-THIAZOLINE, 2-ETHYL-4,5-DIMETHYL-&lt;br /&gt;&amp;diams; 4,5-DIMETHYL-2-ETHYL-3-THIAZOLINE</t>
  </si>
  <si>
    <t xml:space="preserve"> 625-86-5</t>
  </si>
  <si>
    <t xml:space="preserve"> 2,5-DIMETHYLFURAN</t>
  </si>
  <si>
    <t xml:space="preserve"> &amp;diams; 2,5-DIMETHYLFURAN&lt;br /&gt;&amp;diams; FURAN, 2,5-DIMETHYL-</t>
  </si>
  <si>
    <t xml:space="preserve"> 14400-67-0</t>
  </si>
  <si>
    <t xml:space="preserve"> 2,5-DIMETHYL-3(2H)-FURANONE</t>
  </si>
  <si>
    <t xml:space="preserve"> &amp;diams; 2,5-DIMETHYL-3(2H)-FURANONE&lt;br /&gt;&amp;diams; 3(2H)-furanone, 2,5-dimethyl-&lt;br /&gt;&amp;diams; 2,5-dimethyl-2,3-dihydrofuran-3-one&lt;br /&gt;&amp;diams; 2,3-dihydro-2,5-dimethyl -3-furanone&lt;br /&gt;&amp;diams; InChI=1S/C6H8O2/c1-4-3-6(7)5(2)8-4/h3,5H,1-2H3&lt;br /&gt;&amp;diams; InChIKey: ASOSVCXGWPDUGN-UHFFFAOYSA-N</t>
  </si>
  <si>
    <t xml:space="preserve"> 55764-23-3</t>
  </si>
  <si>
    <t xml:space="preserve"> 2,5-DIMETHYL-3-FURANTHIOL</t>
  </si>
  <si>
    <t xml:space="preserve"> &amp;diams; 2,5-DIMETHYL-3-FURANTHIOL&lt;br /&gt;&amp;diams; 2,5-DIMETHYL-3-FURYL MERCAPTAN&lt;br /&gt;&amp;diams; 3-FURANTHIOL, 2,5-DIMETHYL-&lt;br /&gt;&amp;diams; 2,5-DIMETHYL-3-MERCAPTOFURAN&lt;br /&gt;&amp;diams; 3-MERCAPTO-2,5-DIMETHYLFURAN</t>
  </si>
  <si>
    <t xml:space="preserve"> 55764-22-2</t>
  </si>
  <si>
    <t xml:space="preserve"> 2,5-DIMETHYL-3-FURANTHIOL ACETATE</t>
  </si>
  <si>
    <t xml:space="preserve"> &amp;diams; 2,5-DIMETHYL-3-FURANTHIYL ACETATE&lt;br /&gt;&amp;diams; ethanethioic acid, S-(2,5-dimethyl-3-furanyl) ester&lt;br /&gt;&amp;diams; S-(2,5-dimethyl-3-furyl) ethanethioate&lt;br /&gt;&amp;diams; S-(2,5-dimethylfuran-3-yl) ethanethioate&lt;br /&gt;&amp;diams; S-(2,5-dimethylfuran-3-yl) thioacetate&lt;br /&gt;&amp;diams; 2,5-dimethyl-3-thioacetoxyfuran&lt;br /&gt;&amp;diams; 3-thioacetyl-2,5-dimethylfuran&lt;br /&gt;&amp;diams; 3-(acetylthio)-2,5-dimethylfuran&lt;br /&gt;&amp;diams; 2,5-dimethyl-3-furanthiol acetate</t>
  </si>
  <si>
    <t xml:space="preserve"> 108-82-7</t>
  </si>
  <si>
    <t xml:space="preserve"> 2,6-DIMETHYL-4-HEPTANOL</t>
  </si>
  <si>
    <t xml:space="preserve"> &amp;diams; 2,6-DIMETHYL-4-HEPTANOL&lt;br /&gt;&amp;diams; DIISOBUTYLCARBINOL&lt;br /&gt;&amp;diams; NONYL ALCOHOL, SECONDARY&lt;br /&gt;&amp;diams; 4-HEPTANOL, 2,6-DIMETHYL-</t>
  </si>
  <si>
    <t xml:space="preserve"> 61295-51-0</t>
  </si>
  <si>
    <t xml:space="preserve"> 2,6-DIMETHYL-3-((2-METHYL-3-FURYL)THIO)-4-HEPTANONE</t>
  </si>
  <si>
    <t xml:space="preserve"> &amp;diams; 2,6-DIMETHYL-3-((2-METHYL-3-FURYL)THIO)-4-HEPTANONE&lt;br /&gt;&amp;diams; 1,3-DIISOPROPYLACETONYL 2-METHYL-3-FURYL SULFIDE&lt;br /&gt;&amp;diams; 3-((2-METHYL-3-FURYL)THIO)-2,6-DIMETHYL-4-HEPTANONE&lt;br /&gt;&amp;diams; 4-HEPTANONE, 2,6-DIMETHYL-3-((2-METHYL-3-FURANYL)THIO)-</t>
  </si>
  <si>
    <t xml:space="preserve"> 106-72-9</t>
  </si>
  <si>
    <t xml:space="preserve"> 2,6-DIMETHYL-5-HEPTENAL</t>
  </si>
  <si>
    <t xml:space="preserve"> &amp;diams; 2,6-DIMETHYL-5-HEPTENAL&lt;br /&gt;&amp;diams; MELONAL&lt;br /&gt;&amp;diams; 2,6-DIMETHYL-2-HEPTEN-7-AL&lt;br /&gt;&amp;diams; 5-HEPTENAL, 2,6-DIMETHYL-</t>
  </si>
  <si>
    <t xml:space="preserve"> 74094-63-6</t>
  </si>
  <si>
    <t xml:space="preserve"> 2,6-DIMETHYL-5-HEPTENAL PROPYLENEGLYCOL ACETAL</t>
  </si>
  <si>
    <t xml:space="preserve"> &amp;diams; 2,6-DIMETHYL-5-HEPTENAL PROPYLENE GLYCOL ACETAL&lt;br /&gt;&amp;diams; 1,3-dioxolane, 2-(1,5-dimethyl-4-hexen-1-yl)-4-methyl-&lt;br /&gt;&amp;diams; 2-(1,5-dimethyl-4-hexen-1-yl)-4-methyl-1,3-dioxolane&lt;br /&gt;&amp;diams; 1,3-dioxolane, 2-(1,5-dimethyl-4-hexenyl)-4-methyl-&lt;br /&gt;&amp;diams; 2-(1,5-dimethyl-4-hexenyl)-4-methyl-1,3-dioxolane&lt;br /&gt;&amp;diams; InChI=1S/C12H22O2/c1-9(2)6-5-7-10(3)12-13-8-11(4)14-12/h6,10-12H,5,7-8H2,1-4H3&lt;br /&gt;&amp;diams; InChIKey: UVCDCGGGCGCIRU-UHFFFAOYSA-N</t>
  </si>
  <si>
    <t xml:space="preserve"> 40326-01-0</t>
  </si>
  <si>
    <t xml:space="preserve"> 2,6-DIMETHYL-6-HEPTEN-1-OL</t>
  </si>
  <si>
    <t xml:space="preserve"> &amp;diams; 2,6-DIMETHYL-6-HEPTEN-1-OL&lt;br /&gt;&amp;diams; MELONOL, ALPHA-&lt;br /&gt;&amp;diams; 2,6-DIMETHYL-6-HEPTEN-1-OL, (+-)-&lt;br /&gt;&amp;diams; 6-HEPTEN-1-OL, 2,6-DIMETHYL-, (+-)-</t>
  </si>
  <si>
    <t xml:space="preserve"> 28664-35-9</t>
  </si>
  <si>
    <t xml:space="preserve"> 4,5-DIMETHYL-3-HYDROXY-2,5-DIHYDROFURAN-2-ONE</t>
  </si>
  <si>
    <t xml:space="preserve"> &amp;diams; 4,5-DIMETHYL-3-HYDROXY-2,5-DIHYDRO-2-FURANONE&lt;br /&gt;&amp;diams; SOTOLONE&lt;br /&gt;&amp;diams; 3-HYDROXY-4,5-DIMETHYL-2(5H)-FURANONE&lt;br /&gt;&amp;diams; 2,3-DIMETHYL-4-HYDROXY-2,5-DIHYDROFURAN-5-ONE&lt;br /&gt;&amp;diams; 2-HYDROXY-3-METHYL-2-PENTEN-4-OLIDE&lt;br /&gt;&amp;diams; 2(5H)-FURANONE, 3-HYDROXY-4,5-DIMETHYL-&lt;br /&gt;&amp;diams; 2-HYDROXY-3,4-DIMETHYL-2-BUTEN-1,4-OLIDE&lt;br /&gt;&amp;diams; 4,5-DIMETHYL-3-HYDROXY-2(5H)FURANONE&lt;br /&gt;&amp;diams; 4,5-DIMETHYL-3-HYDROXY-2,5-DIHYDROFURAN-2-ONE&lt;br /&gt;&amp;diams; 4,5-DIMETHYL-3-HYDROXY-2(5H)-FURANONE</t>
  </si>
  <si>
    <t xml:space="preserve"> 70303-42-3</t>
  </si>
  <si>
    <t xml:space="preserve"> 3,5-DIMETHYL-2-ISOBUTYLPYRAZINE</t>
  </si>
  <si>
    <t xml:space="preserve"> &amp;diams; 2-ISOBUTYL-3,5-DIMETHYLPYRAZINE&lt;br /&gt;&amp;diams; pyrazine, 3,5-dimethyl-2-(2-methylpropyl)-&lt;br /&gt;&amp;diams; 3,5-dimethyl-2-(2-methylpropyl)pyrazine&lt;br /&gt;&amp;diams; 3,5-dimethyl-2-isobutylpyrazine</t>
  </si>
  <si>
    <t xml:space="preserve"> 32736-94-0</t>
  </si>
  <si>
    <t xml:space="preserve"> 3,6-DIMETHYL-2-ISOBUTYLPYRAZINE</t>
  </si>
  <si>
    <t xml:space="preserve"> &amp;diams; 3-ISOBUTYL-2,5-DIMETHYLPYRAZINE&lt;br /&gt;&amp;diams; pyrazine, 2,5-dimethyl-3-(2-methylpropyl)-&lt;br /&gt;&amp;diams; 2,5-dimethyl-3-(2-methylpropyl)pyrazine&lt;br /&gt;&amp;diams; pyrazine, 3-isobutyl-2,5-dimethyl-&lt;br /&gt;&amp;diams; 3,6-dimethyl-2-isobutylpyrazine</t>
  </si>
  <si>
    <t xml:space="preserve"> 53498-32-1</t>
  </si>
  <si>
    <t xml:space="preserve"> 4,5-DIMETHYL-2-ISOBUTYLTHIAZOLE</t>
  </si>
  <si>
    <t xml:space="preserve"> &amp;diams; 2-ISOBUTYL-4,5-DIMETHYLTHIAZOLE&lt;br /&gt;&amp;diams; thiazole, 4,5-dimethyl-2-(2-methylpropyl)-&lt;br /&gt;&amp;diams; 4,5-dimethyl-2-isobutylthiazole&lt;br /&gt;&amp;diams; geranium thiazole</t>
  </si>
  <si>
    <t xml:space="preserve"> 65894-83-9</t>
  </si>
  <si>
    <t xml:space="preserve"> 4,5-DIMETHYL-2-ISOBUTYL-3-THIAZOLINE</t>
  </si>
  <si>
    <t xml:space="preserve"> &amp;diams; 2-ISOBUTYL-4,5-DIMETHYL-3-THIAZOLINE&lt;br /&gt;&amp;diams; THIAZOLE, 2,5-DIHYDRO-4,5-DIMETHYL-2-(2-METHYLPROPYL)-&lt;br /&gt;&amp;diams; 2,5-DIHYDRO-4,5-DIMETHYL-2-(2-METHYLPROPYL)THIAZOLE&lt;br /&gt;&amp;diams; 4,5-DIMETHYL-2-ISOBUTYL-3-THIAZOLINE</t>
  </si>
  <si>
    <t xml:space="preserve"> 1217341-48-4</t>
  </si>
  <si>
    <t xml:space="preserve"> 3-(1-((3,5-DIMETHYLISOXAZOL-4-YL)METHYL)-1H-PYRAZOL-4-YL)-1-(3- HYDROXYBENZYL)-5,5-DIMETHYLIMIDAZOLIDINE-2,4-DIONE</t>
  </si>
  <si>
    <t xml:space="preserve"> &amp;diams; 3-(1-((3,5-DIMETHYLISOXAZOL-4-YL)METHYL)-1H-PYRAZOL-4-YL)-1-(3-HYDROXYBENZYL)-5,5-DIMETHYLIMIDAZOLIDINE-2,4-DIONE&lt;br /&gt;&amp;diams; 3-(1-((3,5-dimethyl-4-isoxazolyl)methyl)-1H-pyrazol-4-yl)-1-((3-hydroxyphenyl)methyl)-5,5-dimethyl-2,4-imidzolidinedione&lt;br /&gt;&amp;diams; 2,4-imidazolidinedione, 3-(1-((3,5-dimethyl-4-isoxazolyl)methyl)-1H-pyrazol-4-yl)-1-((3-hydroxyphenyl)methyl)-5,5-dimethyl-</t>
  </si>
  <si>
    <t xml:space="preserve"> 1119831-25-2</t>
  </si>
  <si>
    <t xml:space="preserve"> 3-(1-((3,5-DIMETHYLISOXAZOL-4-YL)METHYL)-1H-PYRAZOL-4-YL)-1-(3- HYDROXYBENZYL)IMIDAZOLIDINE-2,4-DIONE</t>
  </si>
  <si>
    <t xml:space="preserve"> &amp;diams; 3-(1-((3,5-DIMETHYLISOXAZOL-4-YL)METHYL)-1H-PYRAZOL-4-YL)-1-(3-HYDROXYBENZYL)IMIDAZOLIDINE-2,4-DIONE&lt;br /&gt;&amp;diams; 3-(1-((3,5-dimethyl-4-isoxazolyl)methyl)-1H-pyrazol-4-yl)-1-((3-hydroxyphenyl)methyl)-2,4-imidazolidinedione&lt;br /&gt;&amp;diams; 2,4-imidazolidinedione, 3-(1-((3,5-dimethyl-4-isoxazolyl)methyl)-1H-pyrazol-4-yl)-1-((3-hydroxyphenyl)methyl)-</t>
  </si>
  <si>
    <t xml:space="preserve"> 544714-08-1</t>
  </si>
  <si>
    <t xml:space="preserve"> (+/-)-N,N-DIMETHYL MENTHYL SUCCINAMIDE</t>
  </si>
  <si>
    <t xml:space="preserve"> FLAVOR ENHANCER</t>
  </si>
  <si>
    <t xml:space="preserve"> 26486-21-5</t>
  </si>
  <si>
    <t xml:space="preserve"> 2,5-DIMETHYL-3-MERCAPTOTETRAHYDROFURAN</t>
  </si>
  <si>
    <t xml:space="preserve"> &amp;diams; 2,5-DIMETHYL-3-MERCAPTOTETRAHYDROFURAN&lt;br /&gt;&amp;diams; TETRAHYDRO-2,5-DIMETHYL-3-FURANTHIOL&lt;br /&gt;&amp;diams; 3-FURANTHIOL, TETRAHYDRO-2,5-DIMETHYL-&lt;br /&gt;&amp;diams; 2,5-DIMETHYLTETRAHYDROFURAN-3-THIOL</t>
  </si>
  <si>
    <t xml:space="preserve"> 4077-47-8</t>
  </si>
  <si>
    <t xml:space="preserve"> 2,5-DIMETHYL-4-METHOXY-3(2H)-FURANONE</t>
  </si>
  <si>
    <t xml:space="preserve"> &amp;diams; 2,5-DIMETHYL-4-METHOXY-3(2H)-FURANONE&lt;br /&gt;&amp;diams; MESIFURANE&lt;br /&gt;&amp;diams; 3(2H)-FURANONE, 4-METHOXY-2,5-DIMETHYL-&lt;br /&gt;&amp;diams; 2,5-DIMETHYL-4-METHOXY-2,3-DIHYDRO-3-FURANONE&lt;br /&gt;&amp;diams; 4-METHOXY-2,5-DIMETHYL-3(2H)-FURANONE&lt;br /&gt;&amp;diams; 4-METHOXY-2,5-DIMETHYL-2,3-DIHYDROFURAN-3-ONE</t>
  </si>
  <si>
    <t xml:space="preserve"> 60066-88-8</t>
  </si>
  <si>
    <t xml:space="preserve"> 2,6-DIMETHYL-10-METHYLENE-2,6,11-DODECATRIENAL</t>
  </si>
  <si>
    <t xml:space="preserve"> &amp;diams; SINENSAL, BETA-&lt;br /&gt;&amp;diams; 2,6-DIMETHYL-10-METHYLENE-2,6,11-DODECATRIENAL&lt;br /&gt;&amp;diams; 2,6,11-DODECATRIENAL, 2,6-DIMETHYL-10-METHYLENE-</t>
  </si>
  <si>
    <t xml:space="preserve"> 831213-72-0</t>
  </si>
  <si>
    <t xml:space="preserve"> 3,9-DIMETHYL-6-(1-METHYLETHYL)-1,4-DIOXASPIRO[4.5]_x005FDECAN-2-ONE</t>
  </si>
  <si>
    <t xml:space="preserve"> &amp;diams; 3,9-DIMETHYL-6-ISOPROPYL-1,4-DIOXASPIRO(4.5)DECAN-2-ONE&lt;br /&gt;&amp;diams; 1,4-dioxaspiro(4.5)decan-2-one, 3,9-dimethyl-6-(1-methylethyl)-&lt;br /&gt;&amp;diams; 3,9-dimethyl-6-(1-methylethyl)-1,4-dioxaspiro(4.5)decan-2-one&lt;br /&gt;&amp;diams; InChI=1S/C13H22O3/c1-8(2)11-6-5-9(3)7-13(11)15-10(4)12(14)16-13/h8-11H,5-7H2,1-4H3&lt;br /&gt;&amp;diams; InChIKey: VUWCGGOBVYCOMA-UHFFFAOYSA-N</t>
  </si>
  <si>
    <t xml:space="preserve"> 7416-35-5</t>
  </si>
  <si>
    <t xml:space="preserve"> 2,2-DIMETHYL-5-(1-METHYLPROPEN-1-YL) TETRAHYDROFURAN</t>
  </si>
  <si>
    <t xml:space="preserve"> &amp;diams; 2,2-DIMETHYL-5-(1-METHYLPROPEN-1-YL)TETRAHYDROFURAN&lt;br /&gt;&amp;diams; FURAN, TETRAHYDRO-2,2-DIMETHYL-5-(1-METHYL-1-PROPENYL)-&lt;br /&gt;&amp;diams; FURAN, TETRAHYDRO-2,2-DIMETHYL-5-(1-METHYLPROPENYL)-&lt;br /&gt;&amp;diams; OCIMEN QUINTOXIDE&lt;br /&gt;&amp;diams; TETRAHYDRO-2,2-DIMETHYL-5-(1-METHYL-1-PROPENYL)FURAN&lt;br /&gt;&amp;diams; TETRAHYDRO-2,2-DIMETHYL-5-(1-METHYLPROPENYL)FURAN&lt;br /&gt;&amp;diams; 2,2-DIMETHYL-5-(1-METHYLPROPENYL)TETRHYDROFURAN</t>
  </si>
  <si>
    <t xml:space="preserve"> 67845-50-5</t>
  </si>
  <si>
    <t xml:space="preserve"> (+/-)-TRANS- AND CIS-4,8-DIMETHYL-3,7-NONADIEN-2-OL</t>
  </si>
  <si>
    <t xml:space="preserve"> &amp;diams; 4,8-DIMETHYL-3,7-NONADIEN-2-OL&lt;br /&gt;&amp;diams; 3,7-nonadien-2-ol, 4,8-dimethyl-&lt;br /&gt;&amp;diams; InChI=1S/C11H20O/c1-9(2)6-5-7-10(3)8-11(4)12/h6,8,11-12H,5,7H2,1-4H3/b10-8+&lt;br /&gt;&amp;diams; InChIKey: NYPOJSCNHYUZRG-CSKARUKUSA-N</t>
  </si>
  <si>
    <t xml:space="preserve"> 817-88-9</t>
  </si>
  <si>
    <t xml:space="preserve"> 4,8-DIMETHYL-3,7-NONADIEN-2-ONE</t>
  </si>
  <si>
    <t xml:space="preserve"> &amp;diams; 4,8-DIMETHYL-3,7-NONADIEN-2-ONE&lt;br /&gt;&amp;diams; 3,7-NONADIEN-2-ONE, 4,8-DIMETHYL-</t>
  </si>
  <si>
    <t xml:space="preserve"> 27575-61-7</t>
  </si>
  <si>
    <t xml:space="preserve"> 4,8-DIMETHYL-3,7-NONADIEN-2-ONE, CIS-</t>
  </si>
  <si>
    <t xml:space="preserve"> &amp;diams; 4,8-DIMETHYL-3,7-NONADIEN-2-ONE, CIS-&lt;br /&gt;&amp;diams; 3,7-NONADIEN-2-ONE, 4,8-DIMETHYL-, (3Z)-&lt;br /&gt;&amp;diams; 3,7-NONADIEN-2-ONE, 4,8-DIMETHYL-, (Z)-</t>
  </si>
  <si>
    <t xml:space="preserve"> 27539-94-2</t>
  </si>
  <si>
    <t xml:space="preserve"> 4,8-DIMETHYL-3,7-NONADIEN-2-ONE, TRANS-</t>
  </si>
  <si>
    <t xml:space="preserve"> &amp;diams; 4,8-DIMETHYL-3,7-NONADIEN-2-ONE, TRANS-&lt;br /&gt;&amp;diams; 3,7-NONADIEN-2-ONE, 4,8-DIMETHYL-, (3E)-&lt;br /&gt;&amp;diams; 3,7-NONADIEN-2-ONE, 4,8-DIMETHYL-, (E)-</t>
  </si>
  <si>
    <t xml:space="preserve"> 91418-25-6</t>
  </si>
  <si>
    <t xml:space="preserve"> (+/-)-TRANS- AND CIS-4,8-DIMETHYL-3,7-NONADIEN-2-YL ACETATE</t>
  </si>
  <si>
    <t xml:space="preserve"> &amp;diams; 4,8-DIMETHYL-3,7-NONADIEN-2-YL ACETATE&lt;br /&gt;&amp;diams; 3,7-nonadien-2-ol, 4,8-dimethyl-, acetate</t>
  </si>
  <si>
    <t xml:space="preserve"> 74356-31-3</t>
  </si>
  <si>
    <t xml:space="preserve"> 2,4-DIMETHYL-4-NONANOL</t>
  </si>
  <si>
    <t xml:space="preserve"> &amp;diams; 2,4-DIMETHYL-4-NONANOL&lt;br /&gt;&amp;diams; 4-nonanol, 2,4-dimethyl-&lt;br /&gt;&amp;diams; InChI=1S/C11H24O/c1-5-6-7-8-11(4,12)9-10(2)3/h10,12H,5-9H2,1-4H3&lt;br /&gt;&amp;diams; InChIKey: ZCYIZHWZWCLYQE-UHFFFAOYSA-N</t>
  </si>
  <si>
    <t xml:space="preserve"> 74016-19-6</t>
  </si>
  <si>
    <t xml:space="preserve"> (E)-2-(3,7-DIMETHYL-2,6-OCTADIENYL)CYCLOPENTANONE</t>
  </si>
  <si>
    <t xml:space="preserve"> &amp;diams; 2-GERANYLCYCLOPENTANONE&lt;br /&gt;&amp;diams; CYCLOPENTANONE, 2-((2E)-3,7-DIMETHYL-2,6-OCTADIENYL)-&lt;br /&gt;&amp;diams; DECENYLCYCLOPENTANONE&lt;br /&gt;&amp;diams; 2-((2E)-3,7-DIMETHYL-2,6-OCTADIENYL)CYCLOPENTANONE&lt;br /&gt;&amp;diams; 2-(3,7-DIMETHYL-2,6-OCTADIENYL)CYCLOPENTANONE, (E)-</t>
  </si>
  <si>
    <t xml:space="preserve"> 744251-93-2</t>
  </si>
  <si>
    <t xml:space="preserve"> N-3,7-DIMETHYL-2,6-OCTADIENYLCYCLOPROPYLCARBOXAMIDE</t>
  </si>
  <si>
    <t xml:space="preserve"> &amp;diams; N-(3,7-DIMETHYL-2,6-OCTADIENYL)CYCLOPROPANECARBOXAMIDE, (2E)-&lt;br /&gt;&amp;diams; cyclopropanecarboxamide, N-((2E)-3,7-dimethyl-2,6-octadien-1-yl)-&lt;br /&gt;&amp;diams; N-((2E)-3,7-dimethyl-2,6-octadien-1-yl)cyclopropanecarboxamide&lt;br /&gt;&amp;diams; cyclopropanecarboxamide, N-((2E)-3,7-dimethyl-2,6-octadienyl)-&lt;br /&gt;&amp;diams; N-((2E)-3,7-dimethyl-2,6-octadienyl)cyclopropanecarboxamide</t>
  </si>
  <si>
    <t xml:space="preserve"> 73019-14-4</t>
  </si>
  <si>
    <t xml:space="preserve"> 2-TRANS-3,7-DIMETHYLOCTA-2,6-DIENYL 2-ETHYLBUTANOATE</t>
  </si>
  <si>
    <t xml:space="preserve"> &amp;diams; GERANYL 2-ETHYLBUTYRATE&lt;br /&gt;&amp;diams; BUTANOIC ACID, 2-ETHYL-, 3,7-DIMETHYL-2,6-OCTADIENYL ESTER, (E)-&lt;br /&gt;&amp;diams; 3,7-DIMETHYLOCTA-2,6-DIENYL 2-ETHYLBUTANOATE, TRANS-&lt;br /&gt;&amp;diams; 3,7-DIMETHYL-2,6-OCTADIENYL 2-ETHYLBUTANOATE, (E)-</t>
  </si>
  <si>
    <t xml:space="preserve"> 7779-07-9</t>
  </si>
  <si>
    <t xml:space="preserve"> 2,6-DIMETHYLOCTANAL</t>
  </si>
  <si>
    <t xml:space="preserve"> &amp;diams; 2,6-DIMETHYLOCTANAL&lt;br /&gt;&amp;diams; ISODECYLALDEHYDE&lt;br /&gt;&amp;diams; OCTANAL, 2,6-DIMETHYL-</t>
  </si>
  <si>
    <t xml:space="preserve"> 5988-91-0</t>
  </si>
  <si>
    <t xml:space="preserve"> 3,7-DIMETHYLOCTANAL</t>
  </si>
  <si>
    <t xml:space="preserve"> &amp;diams; 3,7-DIMETHYLOCTANAL&lt;br /&gt;&amp;diams; InChI=1S/C10H20O/c1-9(2)5-4-6-10(3)7-8-11/h8-10H,4-7H2,1-3H3&lt;br /&gt;&amp;diams; InChIKey: UCSIFMPORANABL-UHFFFAOYSA-N&lt;br /&gt;&amp;diams; octanal, 3,7-dimethyl-&lt;br /&gt;&amp;diams; 3,7-dimethyl-1-octanal&lt;br /&gt;&amp;diams; dihydrocitronellal&lt;br /&gt;&amp;diams; tetrahydrocitral</t>
  </si>
  <si>
    <t xml:space="preserve"> 106-21-8</t>
  </si>
  <si>
    <t xml:space="preserve"> 3,7-DIMETHYL-1-OCTANOL</t>
  </si>
  <si>
    <t xml:space="preserve"> &amp;diams; 3,7-DIMETHYL-1-OCTANOL&lt;br /&gt;&amp;diams; DIHYDROCITRONELLOL&lt;br /&gt;&amp;diams; GERANIOL TETRAHYDRIDE&lt;br /&gt;&amp;diams; PERHYDROGERANIOL&lt;br /&gt;&amp;diams; 1-OCTANOL, 3,7-DIMETHYL-</t>
  </si>
  <si>
    <t xml:space="preserve"> 29171-20-8</t>
  </si>
  <si>
    <t xml:space="preserve"> (E)-3,7-DIMETHYL-1,5,7-OCTATRIEN-3-OL</t>
  </si>
  <si>
    <t xml:space="preserve"> &amp;diams; DEHYDROLINALOOL&lt;br /&gt;&amp;diams; 6-OCTEN-1-YN-3-OL, 3,7-DIMETHYL-&lt;br /&gt;&amp;diams; 3,7-DIMETHYL-6-OCTEN-1-YN-3-OL&lt;br /&gt;&amp;diams; DEHYDRO-BETA-LINALOOL</t>
  </si>
  <si>
    <t xml:space="preserve"> 502-47-6</t>
  </si>
  <si>
    <t xml:space="preserve"> 3,7-DIMETHYL-6-OCTENOIC ACID</t>
  </si>
  <si>
    <t xml:space="preserve"> &amp;diams; RHODINOLIC ACID&lt;br /&gt;&amp;diams; CITRONELLIC ACID&lt;br /&gt;&amp;diams; 3,7-DIMETHYL-6-OCTENOIC ACID&lt;br /&gt;&amp;diams; 6-OCTENOIC ACID, 3,7-DIMETHYL-</t>
  </si>
  <si>
    <t xml:space="preserve"> 77311-02-5</t>
  </si>
  <si>
    <t xml:space="preserve"> 2,4-DIMETHYL-3-OXAZOLINE</t>
  </si>
  <si>
    <t xml:space="preserve"> &amp;diams; 2,4-DIMETHYL-3-OXAZOLINE&lt;br /&gt;&amp;diams; oxazole, 2,5-dihydro-2,4-dimethyl-&lt;br /&gt;&amp;diams; 2,5-dihydro-2,4-dimethyloxazole&lt;br /&gt;&amp;diams; InChI=1S/C5H9NO/c1-4-3-7-5(2)6-4/h5H,3H2,1-2H3&lt;br /&gt;&amp;diams; InChIKey: XHHACWPFKDHDGD-UHFFFAOYSA-N</t>
  </si>
  <si>
    <t xml:space="preserve"> 66634-97-7</t>
  </si>
  <si>
    <t xml:space="preserve"> 2,4-DIMETHYL-2-PENTENOIC ACID</t>
  </si>
  <si>
    <t xml:space="preserve"> &amp;diams; 2,4-DIMETHYL-2-PENTENOIC ACID&lt;br /&gt;&amp;diams; 2-PENTENOIC ACID, 2,4-DIMETHYL-_x000D_
</t>
  </si>
  <si>
    <t xml:space="preserve"> 151-05-3</t>
  </si>
  <si>
    <t xml:space="preserve"> ALPHA,ALPHA-DIMETHYLPHENETHYL ACETATE</t>
  </si>
  <si>
    <t xml:space="preserve"> &amp;diams; ALPHA,ALPHA-DIMETHYLPHENETHYL ACETATE&lt;br /&gt;&amp;diams; BENZYLPROPYL ACETATE&lt;br /&gt;&amp;diams; BENZYL DIMETHYL CARBINYL ACETATE&lt;br /&gt;&amp;diams; BENZENEETHANOL, ALPHA,ALPHA-DIMETHYL-, ACETATE&lt;br /&gt;&amp;diams; ALPHA,ALPHA-DIMETHYLBENZENEETHYL ACETATE&lt;br /&gt;&amp;diams; BENZYLDIMETHYLCARBINOL ACETATE&lt;br /&gt;&amp;diams; DMBCA&lt;br /&gt;&amp;diams; DIMETHYLBENZYLCARBINOL ACETATE&lt;br /&gt;&amp;diams; PHENETHYL ALCOHOL, ALPHA,ALPHA-DIMETHYL-, ACETATE&lt;br /&gt;&amp;diams; 2-BENZYL-2-PROPYL ACETATE</t>
  </si>
  <si>
    <t xml:space="preserve"> 100-86-7</t>
  </si>
  <si>
    <t xml:space="preserve"> ALPHA,ALPHA-DIMETHYLPHENETHYL ALCOHOL</t>
  </si>
  <si>
    <t xml:space="preserve"> &amp;diams; ALPHA,ALPHA-DIMETHYLPHENETHYL ALCOHOL&lt;br /&gt;&amp;diams; BENZYLPROPYL ALCOHOL&lt;br /&gt;&amp;diams; ALPHA,ALPHA-DIMETHYLPHENETHANOL&lt;br /&gt;&amp;diams; BENZYLDIMETHYLCARBINOL&lt;br /&gt;&amp;diams; BENZENEETHANOL, ALPHA,ALPHA-DIMETHYL-&lt;br /&gt;&amp;diams; ALPHA,ALPHA-DIMETHYLBENZENEETHANOL&lt;br /&gt;&amp;diams; DMBC&lt;br /&gt;&amp;diams; PHENETHYL ALCOHOL, ALPHA,ALPHA-DIMETHYL-&lt;br /&gt;&amp;diams; PHENYL-TERT-BUTANOL&lt;br /&gt;&amp;diams; 2-BENZYL-2-PROPANOL&lt;br /&gt;&amp;diams; 2-METHYL-1-PHENYL-2-PROPANOL&lt;br /&gt;&amp;diams; 2-HYDROXY-2-METHYL-1-PHENYLPROPANE&lt;br /&gt;&amp;diams; 1,1-DIMETHYL-2-PHENYLETHANOL</t>
  </si>
  <si>
    <t xml:space="preserve"> 2449-49-2</t>
  </si>
  <si>
    <t xml:space="preserve"> N,N-DIMETHYLPHENETHYLAMINE</t>
  </si>
  <si>
    <t xml:space="preserve"> &amp;diams; N,N-DIMETHYLPHENETHYLAMINE&lt;br /&gt;&amp;diams; N,N-dimethyl-1-phenethylamine&lt;br /&gt;&amp;diams; benzenemethanamine, N,N,alpha-trimethyl-&lt;br /&gt;&amp;diams; N,N,alpha-trimethylbenzenemethanamine&lt;br /&gt;&amp;diams; benzylamine, N,N,alpha-trimethyl-&lt;br /&gt;&amp;diams; N,N,alpha-trimethylbenzylamine</t>
  </si>
  <si>
    <t xml:space="preserve"> 10094-34-5</t>
  </si>
  <si>
    <t xml:space="preserve"> ALPHA,ALPHA-DIMETHYLPHENETHYL BUTYRATE</t>
  </si>
  <si>
    <t xml:space="preserve"> &amp;diams; ALPHA,ALPHA-DIMETHYLPHENETHYL BUTYRATE&lt;br /&gt;&amp;diams; BENZYL DIMETHYL CARBINYL BUTYRATE&lt;br /&gt;&amp;diams; BUTANOIC ACID, 1,1-DIMETHYL-2-PHENYLETHYL ESTER&lt;br /&gt;&amp;diams; BUTYRIC ACID, ALPHA,ALPHA-DIMETHYLPHENETHYL ESTER&lt;br /&gt;&amp;diams; DMBC BUTYRATE&lt;br /&gt;&amp;diams; DIMETHYL BENZYL CARBINYL BUTYRATE&lt;br /&gt;&amp;diams; 2-BENZYL-2-PROPYL BUTYRATE&lt;br /&gt;&amp;diams; 1,1-DIMETHYL-2-PHENYLETHYL BUTANOATE</t>
  </si>
  <si>
    <t xml:space="preserve"> 10058-43-2</t>
  </si>
  <si>
    <t xml:space="preserve"> ALPHA,ALPHA-DIMETHYLPHENETHYL FORMATE</t>
  </si>
  <si>
    <t xml:space="preserve"> &amp;diams; ALPHA,ALPHA-DIMETHYLPHENETHYL FORMATE&lt;br /&gt;&amp;diams; BENZYL DIMETHYL CARBINYL FORMATE&lt;br /&gt;&amp;diams; BENZENEETHANOL, ALPHA,ALPHA-DIMETHYL-, FORMATE&lt;br /&gt;&amp;diams; ALPHA,ALPHA-DIMETHYLBENZENEETHYL FORMATE&lt;br /&gt;&amp;diams; DMBC FORMATE&lt;br /&gt;&amp;diams; DIMETHYL BENZYL CARBINYL FORMATE&lt;br /&gt;&amp;diams; PHENETHYL ALCOHOL, ALPHA,ALPHA-DIMETHYL-, FORMATE&lt;br /&gt;&amp;diams; 2-BENZYL-2-PROPYL FORMATE</t>
  </si>
  <si>
    <t xml:space="preserve"> 9016-00-6</t>
  </si>
  <si>
    <t xml:space="preserve"> DIMETHYLPOLYSILOXANE</t>
  </si>
  <si>
    <t xml:space="preserve"> &amp;diams; DIMETHYLPOLYSILOXANE&lt;br /&gt;&amp;diams; POLYDIMETHYLSILOXANE&lt;br /&gt;&amp;diams; POLY(METHYLSILOXANE)&lt;br /&gt;&amp;diams; DIMETHYL POLYSILOXANE, DIMETHYL-TERMINATED&lt;br /&gt;&amp;diams; DIMETHYL POLYSILOXANE, BIS(TRIMETHYLSILYL)-TERMINATED&lt;br /&gt;&amp;diams; SILICON RESIN&lt;br /&gt;&amp;diams; DIMETHYL POLYSILOXANE&lt;br /&gt;&amp;diams; POLY(OXY(DIMETHYLSILYLENE))&lt;br /&gt;&amp;diams; DIMETHYL SILOXANES AND SILICONES&lt;br /&gt;&amp;diams; DIMETHYL SILICONE</t>
  </si>
  <si>
    <t xml:space="preserve"> LUBRICANT OR RELEASE AGENT,&lt;br /&gt; SURFACE-ACTIVE AGENT</t>
  </si>
  <si>
    <t xml:space="preserve"> 145.180 ,  146.185</t>
  </si>
  <si>
    <t xml:space="preserve"> 5910-89-4</t>
  </si>
  <si>
    <t xml:space="preserve"> 2,3-DIMETHYLPYRAZINE</t>
  </si>
  <si>
    <t xml:space="preserve"> &amp;diams; 2,3-DIMETHYLPYRAZINE&lt;br /&gt;&amp;diams; 2,3-DIMETHYL-1,4-DIAZINE&lt;br /&gt;&amp;diams; PYRAZINE, 2,3-DIMETHYL-</t>
  </si>
  <si>
    <t xml:space="preserve"> 123-32-0</t>
  </si>
  <si>
    <t xml:space="preserve"> 2,5-DIMETHYLPYRAZINE</t>
  </si>
  <si>
    <t xml:space="preserve"> &amp;diams; 2,5-DIMETHYLPYRAZINE&lt;br /&gt;&amp;diams; 2,5-DIMETHYL-1,4-DIAZINE&lt;br /&gt;&amp;diams; 2,5-DIMETHYLPARADIAZINE&lt;br /&gt;&amp;diams; 2,5-DIMETHYLPIAZINE&lt;br /&gt;&amp;diams; PYRAZINE, 2,5-DIMETHYL-</t>
  </si>
  <si>
    <t xml:space="preserve"> 108-50-9</t>
  </si>
  <si>
    <t xml:space="preserve"> 2,6-DIMETHYLPYRAZINE</t>
  </si>
  <si>
    <t xml:space="preserve"> &amp;diams; 2,6-DIMETHYLPYRAZINE&lt;br /&gt;&amp;diams; 2,6-DIMETHYL-1,4-DIAZINE&lt;br /&gt;&amp;diams; 2,6-DIMETHYLPARADIAZINE&lt;br /&gt;&amp;diams; 2,6-DIMETHYLPIAZINE&lt;br /&gt;&amp;diams; PYRAZINE, 2,6-DIMETHYL-</t>
  </si>
  <si>
    <t xml:space="preserve"> 108-47-4</t>
  </si>
  <si>
    <t xml:space="preserve"> 2,4-DIMETHYLPYRIDINE</t>
  </si>
  <si>
    <t xml:space="preserve"> &amp;diams; 2,4-LUTIDINE&lt;br /&gt;&amp;diams; 2,4-DIMETHYLPYRIDINE&lt;br /&gt;&amp;diams; ALPHA,GAMMA-LUTIDINE&lt;br /&gt;&amp;diams; PYRIDINE, 2,4-DIMETHYL-&lt;br /&gt;&amp;diams; alpha,gamma-dimethylpyridine&lt;br /&gt;&amp;diams; InChI=1S/C7H9N/c1-6-3-4-8-7(2)5-6/h3-5H,1-2H3&lt;br /&gt;&amp;diams; InChIKey: JYYNAJVZFGKDEQ-UHFFFAOYSA-N</t>
  </si>
  <si>
    <t xml:space="preserve"> 108-48-5</t>
  </si>
  <si>
    <t xml:space="preserve"> 2,6-DIMETHYLPYRIDINE</t>
  </si>
  <si>
    <t xml:space="preserve"> &amp;diams; 2,6-DIMETHYLPYRIDINE&lt;br /&gt;&amp;diams; 2,6-LUTIDINE&lt;br /&gt;&amp;diams; PYRIDINE, 2,6-DIMETHYL-&lt;br /&gt;&amp;diams; ALPHA,ALPHA'-LUTIDINE&lt;br /&gt;&amp;diams; ALPHA,ALPHA'-DIMETHYLPYRIDINE</t>
  </si>
  <si>
    <t xml:space="preserve"> 625-84-3</t>
  </si>
  <si>
    <t xml:space="preserve"> 2,5-DIMETHYLPYRROLE</t>
  </si>
  <si>
    <t xml:space="preserve"> &amp;diams; 2,5-DIMETHYLPYRROLE&lt;br /&gt;&amp;diams; 2,5-DIMETHYLAZOLE&lt;br /&gt;&amp;diams; 1H-PYRROLE, 2,5-DIMETHYL-&lt;br /&gt;&amp;diams; 2,5-DIMETHYL-1H-PYRROLE&lt;br /&gt;&amp;diams; PYRROLE, 2,5-DIMETHYL-</t>
  </si>
  <si>
    <t xml:space="preserve"> 1195-32-0</t>
  </si>
  <si>
    <t xml:space="preserve"> P,ALPHA-DIMETHYLSTYRENE</t>
  </si>
  <si>
    <t xml:space="preserve"> &amp;diams; DIMETHYLSTYRENE, P-ALPHA-&lt;br /&gt;&amp;diams; ALPHA-METHYL-P-METHYLSTYRENE&lt;br /&gt;&amp;diams; BENZENE, 1-METHYL-4-(1-METHYLETHENYL)-&lt;br /&gt;&amp;diams; DEHYDRO-P-CYMENE&lt;br /&gt;&amp;diams; ISOPROPENYLTOLUENE, P-&lt;br /&gt;&amp;diams; METHYL-P-ISOPROPENYLBENZENE&lt;br /&gt;&amp;diams; STYRENE, P-ALPHA-DIMETHYL-&lt;br /&gt;&amp;diams; 1-METHYL-4-ISOPROPENYLBENZENE&lt;br /&gt;&amp;diams; 1-METHYL-4-(1-METHYLETHENYL)BENZENE&lt;br /&gt;&amp;diams; 2-P-TOLYLPROPENE&lt;br /&gt;&amp;diams; 2-(P-METHYLPHENYL)PROPENE&lt;br /&gt;&amp;diams; 4-METHYLISOPROPENYLBENZENE&lt;br /&gt;&amp;diams; 4-METHYL-ALPHA-METHYLSTYRENE</t>
  </si>
  <si>
    <t xml:space="preserve"> 106-65-0</t>
  </si>
  <si>
    <t xml:space="preserve"> DIMETHYL SUCCINATE</t>
  </si>
  <si>
    <t xml:space="preserve"> &amp;diams; DIMETHYL SUCCINATE&lt;br /&gt;&amp;diams; DIMETHYL BUTANEDIOATE&lt;br /&gt;&amp;diams; METHYL SUCCINATE&lt;br /&gt;&amp;diams; METHYL BUTANEDIOATE&lt;br /&gt;&amp;diams; BUTANEDIOIC ACID, DIMETHYL ESTER&lt;br /&gt;&amp;diams; SUCCINIC ACID, DIMETHYL ESTER</t>
  </si>
  <si>
    <t xml:space="preserve"> 67-68-5</t>
  </si>
  <si>
    <t xml:space="preserve"> DIMETHYL SULFOXIDE</t>
  </si>
  <si>
    <t xml:space="preserve"> &amp;diams; DIMETHYL SULFOXIDE&lt;br /&gt;&amp;diams; DMSO&lt;br /&gt;&amp;diams; METHYL SULFOXIDE&lt;br /&gt;&amp;diams; SULFINYLBIS(METHANE)&lt;br /&gt;&amp;diams; METHANE, SULFINYLBIS-&lt;br /&gt;&amp;diams; METHYLSULFINYLMETHANE</t>
  </si>
  <si>
    <t xml:space="preserve"> 4175-66-0</t>
  </si>
  <si>
    <t xml:space="preserve"> 2,5-DIMETHYLTHIAZOLE</t>
  </si>
  <si>
    <t xml:space="preserve"> &amp;diams; 2,5-DIMETHYLTHIAZOLE&lt;br /&gt;&amp;diams; THIAZOLE, 2,5-DIMETHYL-</t>
  </si>
  <si>
    <t xml:space="preserve"> 3581-91-7</t>
  </si>
  <si>
    <t xml:space="preserve"> 4,5-DIMETHYLTHIAZOLE</t>
  </si>
  <si>
    <t xml:space="preserve"> &amp;diams; 4,5-DIMETHYLTHIAZOLE&lt;br /&gt;&amp;diams; THIAZOLE, 4,5-DIMETHYL-</t>
  </si>
  <si>
    <t xml:space="preserve"> 65894-82-8</t>
  </si>
  <si>
    <t xml:space="preserve"> 2-(2-BUTYL)-4,5-DIMETHYL-3-THIAZOLINE</t>
  </si>
  <si>
    <t xml:space="preserve"> &amp;diams; 2-(2-BUTYL)-4,5-DIMETHYL-3-THIAZOLINE&lt;br /&gt;&amp;diams; THIAZOLE, 2,5-DIHYDRO-4,5-DIMETHYL-2-(1-METHYLPROPYL)-&lt;br /&gt;&amp;diams; 2-SEC-BUTYL-4,5-DIMETHYL-3-THIAZOLINE&lt;br /&gt;&amp;diams; 2,5-DIHYDRO-4,5-DIMETHYL-2-(1-METHYLPROPYL)THIAZOLE</t>
  </si>
  <si>
    <t xml:space="preserve"> 55764-28-8</t>
  </si>
  <si>
    <t xml:space="preserve"> 2,5-DIMETHYL-3-THIOISOVALERYLFURAN</t>
  </si>
  <si>
    <t xml:space="preserve"> &amp;diams; 2,5-DIMETHYL-3-THIOISOVALERYLFURAN&lt;br /&gt;&amp;diams; BUTANETHIOIC ACID, 3-METHYL-, S-(2,5-DIMETHYL-3-FURANYL) ESTER&lt;br /&gt;&amp;diams; S-(2,5-DIMETHYL-3-FURYL) THIOISOVALERATE&lt;br /&gt;&amp;diams; S-(2,5-DIMETHYL-3-FURANYL) 3-METHYLBUTANETHIOATE&lt;br /&gt;&amp;diams; 3-(ISOVALERYLTHIO)-2,5-DIMETHYLFURAN</t>
  </si>
  <si>
    <t xml:space="preserve"> 632-15-5</t>
  </si>
  <si>
    <t xml:space="preserve"> 3,4-DIMETHYLTHIOPHENE</t>
  </si>
  <si>
    <t xml:space="preserve"> &amp;diams; 3,4-DIMETHYLTHIOPHENE&lt;br /&gt;&amp;diams; THIOPHENE, 3,4-DIMETHYL-</t>
  </si>
  <si>
    <t xml:space="preserve"> 118-72-9</t>
  </si>
  <si>
    <t xml:space="preserve"> 2,6-DIMETHYLTHIOPHENOL</t>
  </si>
  <si>
    <t xml:space="preserve"> &amp;diams; 2,6-DIMETHYLTHIOPHENOL&lt;br /&gt;&amp;diams; BENZENETHIOL, 2,6-DIMETHYL-&lt;br /&gt;&amp;diams; 2,6-DIMETHYLBENZENETHIOL&lt;br /&gt;&amp;diams; 2,6-DIMETHYLPHENYLTHIOL&lt;br /&gt;&amp;diams; 2,6-XYLENETHIOL&lt;br /&gt;&amp;diams; 2,6-XYLYL MERCAPTAN</t>
  </si>
  <si>
    <t xml:space="preserve"> 3658-80-8</t>
  </si>
  <si>
    <t xml:space="preserve"> DIMETHYL TRISULFIDE</t>
  </si>
  <si>
    <t xml:space="preserve"> &amp;diams; DIMETHYL TRISULFIDE&lt;br /&gt;&amp;diams; METHYL TRISULFIDE&lt;br /&gt;&amp;diams; TRISULFIDE, DIMETHYL&lt;br /&gt;&amp;diams; 2,3,4-TRITHIAPENTANE</t>
  </si>
  <si>
    <t xml:space="preserve"> 23654-92-4</t>
  </si>
  <si>
    <t xml:space="preserve"> 3,5-DIMETHYL-1,2,4-TRITHIOLANE</t>
  </si>
  <si>
    <t xml:space="preserve"> &amp;diams; 3,5-DIMETHYL-1,2,4-TRITHIOLANE&lt;br /&gt;&amp;diams; 2,5-DIMETHYL-1,3,4-TRITHIOLANE&lt;br /&gt;&amp;diams; 1,2,4-TRITHIOLANE, 3,5-DIMETHYL-</t>
  </si>
  <si>
    <t xml:space="preserve"> 65505-18-2</t>
  </si>
  <si>
    <t xml:space="preserve"> 2,4-DIMETHYL-5-VINYLTHIAZOLE</t>
  </si>
  <si>
    <t xml:space="preserve"> &amp;diams; 2,4-DIMETHYL-5-VINYLTHIAZOLE&lt;br /&gt;&amp;diams; THIAZOLE, 5-ETHENYL-2,4-DIMETHYL-&lt;br /&gt;&amp;diams; 5-ETHENYL-2,4-DIMETHYLTHIAZOLE</t>
  </si>
  <si>
    <t xml:space="preserve"> 123-79-5</t>
  </si>
  <si>
    <t xml:space="preserve"> DIOCTYL ADIPATE</t>
  </si>
  <si>
    <t xml:space="preserve"> &amp;diams; DIOCTYL ADIPATE&lt;br /&gt;&amp;diams; HEXANEDIOIC ACID, DIOCTYL ESTER&lt;br /&gt;&amp;diams; DIOCTYL HEXANEDIOATE&lt;br /&gt;&amp;diams; ADIPIC ACID, DIOCTYL ESTER&lt;br /&gt;&amp;diams; InChI=1S/C22H42O4/c1-3-5-7-9-11-15-19-25-21(23)17-13-14-18-22(24)26-20-16-12-10-8-6-4-2/h3-20H2,1-2H3&lt;br /&gt;&amp;diams; InChIKey: NEHDRDVHPTWWFG-UHFFFAOYSA-N</t>
  </si>
  <si>
    <t xml:space="preserve"> 101-84-8</t>
  </si>
  <si>
    <t xml:space="preserve"> DIPHENYL ETHER</t>
  </si>
  <si>
    <t xml:space="preserve"> &amp;diams; PHENYL ETHER&lt;br /&gt;&amp;diams; DIPHENYL ETHER&lt;br /&gt;&amp;diams; DIPHENYL OXIDE&lt;br /&gt;&amp;diams; PHENOXYBENZENE&lt;br /&gt;&amp;diams; OXYDIPHENYL&lt;br /&gt;&amp;diams; BENZENE, 1,1'-OXYBIS-&lt;br /&gt;&amp;diams; 1,1'-OXYBIS(BENZENE)&lt;br /&gt;&amp;diams; BIPHENYL OXIDE</t>
  </si>
  <si>
    <t xml:space="preserve"> 102-04-5</t>
  </si>
  <si>
    <t xml:space="preserve"> 1,3-DIPHENYL-2-PROPANONE</t>
  </si>
  <si>
    <t xml:space="preserve"> &amp;diams; 1,3-DIPHENYL-2-PROPANONE&lt;br /&gt;&amp;diams; ALPHA,ALPHA'-DIPHENYLACETONE&lt;br /&gt;&amp;diams; BENZYL KETONE&lt;br /&gt;&amp;diams; 2-PROPANONE, 1,3-DIPHENYL-&lt;br /&gt;&amp;diams; 1,3-DIPHENYLACETONE&lt;br /&gt;&amp;diams; 1,3-DIPHENYLPROPANONE</t>
  </si>
  <si>
    <t xml:space="preserve"> 7758-11-4</t>
  </si>
  <si>
    <t xml:space="preserve"> DIPOTASSIUM PHOSPHATE</t>
  </si>
  <si>
    <t xml:space="preserve"> &amp;diams; POTASSIUM PHOSPHATE, DIBASIC&lt;br /&gt;&amp;diams; DIPOTASSIUM PHOSPHATE&lt;br /&gt;&amp;diams; DIPOTASSIUM HYDROGEN PHOSPHATE&lt;br /&gt;&amp;diams; DIPOTASSIUM MONOPHOSPHATE&lt;br /&gt;&amp;diams; DIPOTASSIUM ORTHOPHOSPHATE&lt;br /&gt;&amp;diams; POTASSIUM MONOPHOSPHATE&lt;br /&gt;&amp;diams; POTASSIUM MONOHYDROGEN PHOSPHATE&lt;br /&gt;&amp;diams; PHOSPHORIC ACID, DIPOTASSIUM SALT</t>
  </si>
  <si>
    <t xml:space="preserve"> EMULSIFIER OR EMULSIFIER SALT,&lt;br /&gt; NUTRIENT SUPPLEMENT,&lt;br /&gt; PH CONTROL AGENT,&lt;br /&gt; SEQUESTRANT,&lt;br /&gt; STABILIZER OR THICKENER</t>
  </si>
  <si>
    <t xml:space="preserve"> 133.169 ,  133.173 ,  133.179</t>
  </si>
  <si>
    <t xml:space="preserve"> 105-82-8</t>
  </si>
  <si>
    <t xml:space="preserve"> 1,1-DIPROPOXYETHANE</t>
  </si>
  <si>
    <t xml:space="preserve"> &amp;diams; ACETALDEHYDE DIPROPYL ACETAL&lt;br /&gt;&amp;diams; acetaldehyde, dipropyl acetal&lt;br /&gt;&amp;diams; ethane, 1,1-dipropoxy-&lt;br /&gt;&amp;diams; 1,1-dipropoxyethane&lt;br /&gt;&amp;diams; propane, 1,1'-(ethylidenebis(oxy))bis-&lt;br /&gt;&amp;diams; 1,1'-(ethylidenebis(oxy))bis(propane)</t>
  </si>
  <si>
    <t xml:space="preserve"> 106-19-4</t>
  </si>
  <si>
    <t xml:space="preserve"> DIPROPYL ADIPATE</t>
  </si>
  <si>
    <t xml:space="preserve"> &amp;diams; DIPROPYL ADIPATE&lt;br /&gt;&amp;diams; hexanedioic acid, dipropyl ester&lt;br /&gt;&amp;diams; dipropyl hexanedioate&lt;br /&gt;&amp;diams; adipic acid, dipropyl ester&lt;br /&gt;&amp;diams; hexanedioic acid, 1,6-dipropyl ester&lt;br /&gt;&amp;diams; 1,6-dipropyl hexanedioate&lt;br /&gt;&amp;diams; InChI=1S/C12H22O4/c1-3-9-15-11(13)7-5-6-8-12(14)16-10-4-2/h3-10H2,1-2H3&lt;br /&gt;&amp;diams; InChIKey: NKOUWLLFHNBUDW-UHFFFAOYSA-N</t>
  </si>
  <si>
    <t xml:space="preserve"> 6028-61-1</t>
  </si>
  <si>
    <t xml:space="preserve"> DIPROPYL TRISULFIDE</t>
  </si>
  <si>
    <t xml:space="preserve"> &amp;diams; DIPROPYL TRISULFIDE&lt;br /&gt;&amp;diams; PROPYL TRISULFIDE&lt;br /&gt;&amp;diams; TRISULFIDE, DIPROPYL</t>
  </si>
  <si>
    <t xml:space="preserve"> 5943-30-6</t>
  </si>
  <si>
    <t xml:space="preserve"> DI-SEC-BUTYL DISULFIDE</t>
  </si>
  <si>
    <t xml:space="preserve"> &amp;diams; SEC-BUTYL DISULFIDE&lt;br /&gt;&amp;diams; disulfide, bis(1-methylpropyl)&lt;br /&gt;&amp;diams; bis(1-methylpropyl) disulfide&lt;br /&gt;&amp;diams; di-sec-butyl disulfide&lt;br /&gt;&amp;diams; butyl disulfide, sec-</t>
  </si>
  <si>
    <t xml:space="preserve"> 144-33-2</t>
  </si>
  <si>
    <t xml:space="preserve"> DISODIUM CITRATE</t>
  </si>
  <si>
    <t xml:space="preserve"> &amp;diams; DISODIUM CITRATE&lt;br /&gt;&amp;diams; SODIUM ACID CITRATE&lt;br /&gt;&amp;diams; DISODIUM HYDROGEN CITRATE&lt;br /&gt;&amp;diams; 1,2,3-PROPANETRICARBOXYLIC ACID, 2-HYDROXY-, DISODIUM SALT&lt;br /&gt;&amp;diams; DISODIUM 2-HYDROXY-1,2,3-PROPANETRICARBOXYLATE&lt;br /&gt;&amp;diams; CITRIC ACID, DISODIUM SALT&lt;br /&gt;&amp;diams; SODIUM CITRATE, ACID</t>
  </si>
  <si>
    <t xml:space="preserve"> 138-93-2</t>
  </si>
  <si>
    <t xml:space="preserve"> DISODIUM CYANODITHIOIMIDOCARBONATE</t>
  </si>
  <si>
    <t xml:space="preserve"> &amp;diams; DISODIUM CYANODITHIOIMIDOCARBONATE&lt;br /&gt;&amp;diams; CARBAMODITHIOIC ACID, CYANO-, DISODIUM SALT&lt;br /&gt;&amp;diams; DISODIUM CYANOCARBAMODITHIOATE&lt;br /&gt;&amp;diams; DISODIUM CYANODITHIOCARBAMATE&lt;br /&gt;&amp;diams; IMIDOCARBONIC ACID, CYANODITHIO-, DISODIUM SALT</t>
  </si>
  <si>
    <t xml:space="preserve"> ANTIMICROBIAL AGENT,&lt;br /&gt; FLAVORING AGENT OR ADJUVANT</t>
  </si>
  <si>
    <t xml:space="preserve"> 142-59-6</t>
  </si>
  <si>
    <t xml:space="preserve"> DISODIUM ETHYLENEBISDITHIOCARBAMATE</t>
  </si>
  <si>
    <t xml:space="preserve"> &amp;diams; NABAM&lt;br /&gt;&amp;diams; DISODIUM ETHYLENEBISDITHIOCARBAMATE&lt;br /&gt;&amp;diams; DISODIUM ETHYLENEBIS(DITHIOCARBAMATE)&lt;br /&gt;&amp;diams; CARBAMODITHIOIC ACID, 1,2-ETHANEDIYLBIS-, DISODIUM SALT&lt;br /&gt;&amp;diams; DISODIUM 1,2-ETHANEDIYLBIS(CARBAMODITHIOATE)&lt;br /&gt;&amp;diams; CARBAMIC ACID, ETHYLENEBIS(DITHIO-, DISODIUM SALT</t>
  </si>
  <si>
    <t xml:space="preserve"> 5550-12-9</t>
  </si>
  <si>
    <t xml:space="preserve"> DISODIUM GUANYLATE</t>
  </si>
  <si>
    <t xml:space="preserve"> &amp;diams; disodium 5'-guanylate&lt;br /&gt;&amp;diams; 5'-guanylic acid, disodium salt&lt;br /&gt;&amp;diams; 5'-guanylic acid, sodium salt (1:2) &lt;br /&gt;&amp;diams; disodium guanosine 5'-monophosphate&lt;br /&gt;&amp;diams; disodium guanylate&lt;br /&gt;&amp;diams; sodium 5’-guanylate (2:1)</t>
  </si>
  <si>
    <t xml:space="preserve"> 155.120 ,  155.130 ,  155.170 ,  155.200 ,  155.201</t>
  </si>
  <si>
    <t xml:space="preserve"> 4691-65-0</t>
  </si>
  <si>
    <t xml:space="preserve"> DISODIUM INOSINATE</t>
  </si>
  <si>
    <t xml:space="preserve"> &amp;diams; disodium inosinate&lt;br /&gt;&amp;diams; disodium 5'-inosinate&lt;br /&gt;&amp;diams; disodium inosine 5'-monophosphate&lt;br /&gt;&amp;diams; disodium 5-inosinate&lt;br /&gt;&amp;diams; 5'-inosinic acid, disodium salt</t>
  </si>
  <si>
    <t xml:space="preserve"> FLAVOR ENHANCER,&lt;br /&gt; STABILIZER OR THICKENER</t>
  </si>
  <si>
    <t xml:space="preserve"> 150-90-3</t>
  </si>
  <si>
    <t xml:space="preserve"> DISODIUM SUCCINATE</t>
  </si>
  <si>
    <t xml:space="preserve"> &amp;diams; SODIUM SUCCINATE&lt;br /&gt;&amp;diams; DISODIUM SUCCINATE&lt;br /&gt;&amp;diams; BUTANEDIOIC ACID, DISODIUM SALT&lt;br /&gt;&amp;diams; DISODIUM BUTANEDIOATE&lt;br /&gt;&amp;diams; SUCCINIC ACID, DISODIUM SALT</t>
  </si>
  <si>
    <t xml:space="preserve"> 40790-04-3</t>
  </si>
  <si>
    <t xml:space="preserve"> DI-(BUTAN-3-ONE-1-YL) SULFIDE</t>
  </si>
  <si>
    <t xml:space="preserve"> &amp;diams; DI(BUTAN-3-ONE-1-YL) SULFIDE&lt;br /&gt;&amp;diams; 2-BUTANONE, 4,4'-THIOBIS-&lt;br /&gt;&amp;diams; 2-BUTANONE, 4,4'-THIODI-&lt;br /&gt;&amp;diams; 4,4'-THIOBIS(2-BUTANONE)&lt;br /&gt;&amp;diams; 4,4'-THIODI-2-BUTANONE&lt;br /&gt;&amp;diams; 5-THIANONA-2,8-DIONE</t>
  </si>
  <si>
    <t xml:space="preserve"> 6628-18-8</t>
  </si>
  <si>
    <t xml:space="preserve"> 2,5-DITHIAHEXANE</t>
  </si>
  <si>
    <t xml:space="preserve"> &amp;diams; BIS(METHYLTHIO)ETHANE&lt;br /&gt;&amp;diams; ethane, 1,2-bis(methylthio)-&lt;br /&gt;&amp;diams; 1,2-bis(methylthio)ethane&lt;br /&gt;&amp;diams; 1,2-bis(methylmercapto)ethane&lt;br /&gt;&amp;diams; 2,5-dithiahexane&lt;br /&gt;&amp;diams; InChI: InChI=1S/C4H10S2/c1-5-3-4-6-2/h3-4H2,1-2H3&lt;br /&gt;&amp;diams; InChIKey: UJTDKNZVLGVLFT-UHFFFAOYSA-N_x000D_
</t>
  </si>
  <si>
    <t xml:space="preserve"> 505-29-3</t>
  </si>
  <si>
    <t xml:space="preserve"> 1,4-DITHIANE</t>
  </si>
  <si>
    <t xml:space="preserve"> &amp;diams; 1,4-DITHIANE&lt;br /&gt;&amp;diams; NSC-24178&lt;br /&gt;&amp;diams; 1,4-DITHIACYCLOHEXANE&lt;br /&gt;&amp;diams; P-DITHIANE&lt;br /&gt;&amp;diams; DIETHYLENE DISULFIDE&lt;br /&gt;&amp;diams; TETRAHYDRO-1,4-DITHIIN&lt;br /&gt;&amp;diams; DITHIANE, P-</t>
  </si>
  <si>
    <t xml:space="preserve"> 59902-01-1</t>
  </si>
  <si>
    <t xml:space="preserve"> 2,8-DITHIANON-4-EN-4-CARBOXALDEHYDE</t>
  </si>
  <si>
    <t xml:space="preserve"> &amp;diams; 2,8-DITHIANON-4-ENE-4-CARBOXALDEHYDE&lt;br /&gt;&amp;diams; METHIALDOL&lt;br /&gt;&amp;diams; 2-PENTENAL, 5-(METHYLTHIO)-2-((METHYLTHIO)METHYL)-&lt;br /&gt;&amp;diams; 2-METHYLTHIOMETHYL-5-METHYLTHIOPENT-2-ENAL&lt;br /&gt;&amp;diams; 5-(METHYLTHIO)-2-((METHYLTHIO)METHYL)-2-PENTENAL&lt;br /&gt;&amp;diams; 5-(METHYLTHIO)-2-(METHYLTHIO)METHYLPENT-2-EN-1-AL</t>
  </si>
  <si>
    <t xml:space="preserve"> 4437-20-1</t>
  </si>
  <si>
    <t xml:space="preserve"> 2,2'-(DITHIODIMETHYLENE) DIFURAN</t>
  </si>
  <si>
    <t xml:space="preserve"> &amp;diams; DIFURFURYL DISULFIDE&lt;br /&gt;&amp;diams; FURFURYL DISULFIDE&lt;br /&gt;&amp;diams; BIS(2-FURFURYL) DISULFIDE&lt;br /&gt;&amp;diams; 2,2'-(DITHIODIMETHYLENE)DIFURAN&lt;br /&gt;&amp;diams; 2-FURFURYL DISULFIDE&lt;br /&gt;&amp;diams; FURAN, 2,2'-(DITHIOBIS(METHYLENE))BIS-&lt;br /&gt;&amp;diams; 2,2'-(DITHIOBIS(METHYLENE))BIS(FURAN)&lt;br /&gt;&amp;diams; FURAN, 2,2'-(DITHIODIMETHYLENE)DI-</t>
  </si>
  <si>
    <t xml:space="preserve"> 977017-92-7</t>
  </si>
  <si>
    <t xml:space="preserve"> DITTANY OF CRETE (ORIGANUM DICTAMNUS L.)</t>
  </si>
  <si>
    <t xml:space="preserve"> &amp;diams; DITTANY OF CRETE&lt;br /&gt;&amp;diams; CRETAN DITTANY&lt;br /&gt;&amp;diams; DITTANY, CRETAN&lt;br /&gt;&amp;diams; SPANISH HOPS&lt;br /&gt;&amp;diams; CRETE DITTAYN&lt;br /&gt;&amp;diams; ORIGANUM DICTAMNUS</t>
  </si>
  <si>
    <t xml:space="preserve"> 977047-65-6</t>
  </si>
  <si>
    <t xml:space="preserve"> DITTANY (FRAXINELLA) ROOTS (DICTAMNUS ALBUS L.)</t>
  </si>
  <si>
    <t xml:space="preserve"> &amp;diams; DITTANY ROOT&lt;br /&gt;&amp;diams; DICTAMNUS ALBUS ROOT&lt;br /&gt;&amp;diams; DITTANY (FRAXINELLA) ROOT</t>
  </si>
  <si>
    <t xml:space="preserve"> 2092-49-1</t>
  </si>
  <si>
    <t xml:space="preserve"> DIVANILLIN</t>
  </si>
  <si>
    <t xml:space="preserve"> &amp;diams; DIVANILLIN&lt;br /&gt;&amp;diams; dehydrodivanillin&lt;br /&gt;&amp;diams; (1,1'-biphenyl)-3,3'-dicarboxaldehyde, 6,6'-dihydroxy-5,5'-dimethoxy-&lt;br /&gt;&amp;diams; 6,6'-dihydroxy-5,5'-dimethoxy-(1,1'-biphenyl)-3,3'-dicarboxaldehyde&lt;br /&gt;&amp;diams; 5,5'-bivanillin&lt;br /&gt;&amp;diams; 3,3'-biphenyldicarboxyaldehyde, 6,6'-dihydroxy-5,5'-dimethoxy-&lt;br /&gt;&amp;diams; 6,6'-dihydroxy-5,5'-dimethoxy-3,3'-biphenyldicarboxaldehyde&lt;br /&gt;&amp;diams; InChI=1S/C16H14O6/c1-21-13-5-9(7-17)3-11(15(13)19)12-4-10(8-18)6-14(22-2)16(12)20/h3-8,19-20H,1-2H3&lt;br /&gt;&amp;diams; InChIKey: NSTQUZVZBUTVPY-UHFFFAOYSA-N</t>
  </si>
  <si>
    <t xml:space="preserve"> 21368-68-3</t>
  </si>
  <si>
    <t xml:space="preserve"> DL-CAMPHOR</t>
  </si>
  <si>
    <t xml:space="preserve"> &amp;diams; CAMPHOR, DL-&lt;br /&gt;&amp;diams; BICYCLO(2.2.1)HEPTAN-2-ONE, 1,7,7-TRIMETHYL-, (+-)-&lt;br /&gt;&amp;diams; 1,7,7-TRIMETHYLBICYCLO(2.2.1)HEPTAN-2-ONE, (+-)-&lt;br /&gt;&amp;diams; CAMPHOR, (+-)-</t>
  </si>
  <si>
    <t xml:space="preserve"> 38142-45-9</t>
  </si>
  <si>
    <t xml:space="preserve"> D-LIMONEN-10-OL</t>
  </si>
  <si>
    <t xml:space="preserve"> &amp;diams; LIMONEN-10-OL, (+)-&lt;br /&gt;&amp;diams; 3-cyclohexene-1-ethanol, 4-methyl-beta-methylene, (1R)-&lt;br /&gt;&amp;diams; 4-methyl-beta-methylene-3-cyclohexene-1-ethanol, (1R)-&lt;br /&gt;&amp;diams; limonen-10-ol, D-&lt;br /&gt;&amp;diams; p-mentha-1,8(10)-dien-9-ol, (+)-(R)-</t>
  </si>
  <si>
    <t xml:space="preserve"> 443-79-8</t>
  </si>
  <si>
    <t xml:space="preserve"> DL-ISOLEUCINE</t>
  </si>
  <si>
    <t xml:space="preserve"> &amp;diams; ISOLEUCINE, DL-&lt;br /&gt;&amp;diams; 2-AMINO-3-METHYLPENTANOIC ACID&lt;br /&gt;&amp;diams; 2-AMINO-3-METHYLVALERIC ACID&lt;br /&gt;&amp;diams; DL-ISOLEUCINE&lt;br /&gt;&amp;diams; ISOLEUCINE, (+-)-&lt;br /&gt;&amp;diams; ALPHA-AMINO-BETA-METHYLVALERIC ACID</t>
  </si>
  <si>
    <t xml:space="preserve"> 491-07-6</t>
  </si>
  <si>
    <t xml:space="preserve"> DL-ISOMENTHONE</t>
  </si>
  <si>
    <t xml:space="preserve"> &amp;diams; ISOMENTHONE&lt;br /&gt;&amp;diams; P-MENTHAN-3-ONE, CIS-&lt;br /&gt;&amp;diams; CYCLOHEXANONE, 5-METHYL-2-(1-METHYLETHYL)-, CIS-&lt;br /&gt;&amp;diams; 5-METHYL-2-(1-METHYLETHYL)CYCLOHEXANONE, CIS-&lt;br /&gt;&amp;diams; 1-METHYL-4-ISOPROPYL-3-CYCLOHEXANONE, CIS-</t>
  </si>
  <si>
    <t xml:space="preserve"> 516-06-3</t>
  </si>
  <si>
    <t xml:space="preserve"> DL-VALINE</t>
  </si>
  <si>
    <t xml:space="preserve"> &amp;diams; VALINE, DL-&lt;br /&gt;&amp;diams; ALPHA-AMINOISOVALERIC ACID, DL-&lt;br /&gt;&amp;diams; 2-AMINO-3-METHYLBUTANOIC ACID, DL-&lt;br /&gt;&amp;diams; 2-AMINOISOVALERIC ACID, DL-&lt;br /&gt;&amp;diams; 2-AMINO-3-METHYLBUTYRIC ACID, DL-&lt;br /&gt;&amp;diams; DL-VALINE&lt;br /&gt;&amp;diams; VALINE, (+-)-&lt;br /&gt;&amp;diams; VALINE, (RS)-</t>
  </si>
  <si>
    <t xml:space="preserve"> FLAVORING AGENT OR ADJUVANT,&lt;br /&gt; NUTRIENT SUPPLEMENT</t>
  </si>
  <si>
    <t xml:space="preserve"> 713-95-1</t>
  </si>
  <si>
    <t xml:space="preserve"> DELTA-DODECALACTONE</t>
  </si>
  <si>
    <t xml:space="preserve"> &amp;diams; DELTA-DODECALACTONE&lt;br /&gt;&amp;diams; 5-DODECALACTONE&lt;br /&gt;&amp;diams; DODECANOLIDE-1,5&lt;br /&gt;&amp;diams; DELTA-HEPTYL-DELTA-VALEROLACTONE&lt;br /&gt;&amp;diams; 5-DODECANOLIDE&lt;br /&gt;&amp;diams; 5-HYDROXYDODECANOIC ACID DELTA-LACTONE&lt;br /&gt;&amp;diams; DODECALACTONE, DELTA-&lt;br /&gt;&amp;diams; 2H-PYRAN-2-ONE, 6-HEPTYLTETRAHYDRO-&lt;br /&gt;&amp;diams; 6-HEPTYLTETRAHYDRO-2H-PYRAN-2-ONE&lt;br /&gt;&amp;diams; DODECANOIC ACID, 5-HYDROXY-, DELTA-LACTONE</t>
  </si>
  <si>
    <t xml:space="preserve"> 16429-21-3</t>
  </si>
  <si>
    <t xml:space="preserve"> EPSILON-DODECALACTONE</t>
  </si>
  <si>
    <t xml:space="preserve"> &amp;diams; EPSILON-DODECALACTONE&lt;br /&gt;&amp;diams; DODECALACTONE, EPSILON-&lt;br /&gt;&amp;diams; EPSILON-HYDROXYDODECANOIC ACID LACTONE&lt;br /&gt;&amp;diams; DODECANOIC ACID, 6-HYDROXY-, EPSILON-LACTONE&lt;br /&gt;&amp;diams; 2-OXEPANONE, 7-HEXYL-&lt;br /&gt;&amp;diams; 6-HEXYLHEXANOLIDE&lt;br /&gt;&amp;diams; 6-HYDROXYDODECANOIC ACID EPSILON-LACTONE&lt;br /&gt;&amp;diams; 7-HEXYL-2-OXEPANONE</t>
  </si>
  <si>
    <t xml:space="preserve"> 2305-05-7</t>
  </si>
  <si>
    <t xml:space="preserve"> GAMMA-DODECALACTONE</t>
  </si>
  <si>
    <t xml:space="preserve"> &amp;diams; GAMMA-DODECALACTONE&lt;br /&gt;&amp;diams; DIHYDRO-5-OCTYL-2(3H)-FURANONE&lt;br /&gt;&amp;diams; 4-HYDROXYDODECANOIC ACID GAMMA-LACTONE&lt;br /&gt;&amp;diams; GAMMA-OCTYL-GAMMA-BUTYROLACTONE&lt;br /&gt;&amp;diams; 4-HYDROXY-4-OCTYLBUTANOIC ACID LACTONE&lt;br /&gt;&amp;diams; DODECANOLIDE-1,4&lt;br /&gt;&amp;diams; DODECALACTONE, GAMMA-&lt;br /&gt;&amp;diams; 2(3H)-FURANONE, DIHYDRO-5-OCTYL-&lt;br /&gt;&amp;diams; 4-DECANOLIDE&lt;br /&gt;&amp;diams; 4-HYDROXYDODECANOIC ACID LACTONE</t>
  </si>
  <si>
    <t xml:space="preserve"> 14620-52-1</t>
  </si>
  <si>
    <t xml:space="preserve"> DODECANAL DIMETHYL ACETAL</t>
  </si>
  <si>
    <t xml:space="preserve"> &amp;diams; DODECANAL DIMETHYL ACETAL&lt;br /&gt;&amp;diams; dodecane, 1,1-dimethoxy-&lt;br /&gt;&amp;diams; 1,1-dimethoxydodecane&lt;br /&gt;&amp;diams; lauraldehyde, dimethyl acetal&lt;br /&gt;&amp;diams; lauryl aldehyde dimethyl acetal&lt;br /&gt;&amp;diams; InChI=1S/C14H30O2/c1-4-5-6-7-8-9-10-11-12-13-14(15-2)16-3/h14H,4-13H2,1-3H3&lt;br /&gt;&amp;diams; InChIKey: AJUWUYJULVYGRA-UHFFFAOYSA-N</t>
  </si>
  <si>
    <t xml:space="preserve"> 4826-62-4</t>
  </si>
  <si>
    <t xml:space="preserve"> 2-DODECENAL</t>
  </si>
  <si>
    <t xml:space="preserve"> &amp;diams; 2-DODECENAL&lt;br /&gt;&amp;diams; 3-NONYLACROLEIN</t>
  </si>
  <si>
    <t xml:space="preserve"> 21944-98-9</t>
  </si>
  <si>
    <t xml:space="preserve"> (Z)-4-DODECENAL</t>
  </si>
  <si>
    <t xml:space="preserve"> &amp;diams; 4-DODECENAL, CIS-&lt;br /&gt;&amp;diams; 4-dodecenal, (4Z)-&lt;br /&gt;&amp;diams; 4-dodecenal, (Z)-&lt;br /&gt;&amp;diams; tangerinal</t>
  </si>
  <si>
    <t xml:space="preserve"> 65423-25-8</t>
  </si>
  <si>
    <t xml:space="preserve"> 11-DODECENOIC ACID</t>
  </si>
  <si>
    <t xml:space="preserve"> &amp;diams; 11-DODECENOIC ACID&lt;br /&gt;&amp;diams; InChI=1S/C12H22O2/c1-2-3-4-5-6-7-8-9-10-11-12(13)14/h2H,1,3-11H2,(H,13,14)&lt;br /&gt;&amp;diams; InChIKey: GZZPOFFXKUVNSW-UHFFFAOYSA-N</t>
  </si>
  <si>
    <t xml:space="preserve"> 15456-68-5</t>
  </si>
  <si>
    <t xml:space="preserve"> 9-DODECEN-5-OLIDE</t>
  </si>
  <si>
    <t xml:space="preserve"> &amp;diams; 5-HYDROXY-9-DECENOIC ACID DELTA-LACTONE&lt;br /&gt;&amp;diams; 9-DODECENE DELTA-LACTONE&lt;br /&gt;&amp;diams; 2H-pyran-2-one, 6-(4-heptenyl)tetrahydro-&lt;br /&gt;&amp;diams; 6-(4-heptenyl)tetrahydro-2H-pyran-2-one&lt;br /&gt;&amp;diams; 2H-pyran-2-one, 6-(4-hepten-1-yl)tetrahydro-&lt;br /&gt;&amp;diams; 6-(4-hepten-1-yl)tetrahydro-2H-pyran-2-one&lt;br /&gt;&amp;diams; 9-dodecen-5-olide</t>
  </si>
  <si>
    <t xml:space="preserve"> 3724-61-6</t>
  </si>
  <si>
    <t xml:space="preserve"> DODECYL BUTYRATE</t>
  </si>
  <si>
    <t xml:space="preserve"> &amp;diams; LAURYL BUTYRATE&lt;br /&gt;&amp;diams; butanoic acid, dodecyl ester&lt;br /&gt;&amp;diams; dodecyl butanoate&lt;br /&gt;&amp;diams; butyric acid, dodecyl ester&lt;br /&gt;&amp;diams; dodecyl butyrate&lt;br /&gt;&amp;diams; InChI=1S/C16H32O2/c1-3-5-6-7-8-9-10-11-12-13-15-18-16(17)14-4-2/h3-15H2,1-2H3&lt;br /&gt;&amp;diams; InChIKey: JEPXJYKYHMEESP-UHFFFAOYSA-N</t>
  </si>
  <si>
    <t xml:space="preserve"> 1166-52-5</t>
  </si>
  <si>
    <t xml:space="preserve"> DODECYL GALLATE</t>
  </si>
  <si>
    <t xml:space="preserve"> &amp;diams; DODECYL GALLATE&lt;br /&gt;&amp;diams; LAURYL GALLATE&lt;br /&gt;&amp;diams; BENZOIC ACID, 3,4,5-TRIHYDROXY-, DODECYL ESTER&lt;br /&gt;&amp;diams; DODECYL 3,4,5-TRIHYDROXYBENZOATE&lt;br /&gt;&amp;diams; GALLIC ACID, DODECYL ESTER&lt;br /&gt;&amp;diams; LAURYL 3,4,5-TRIHYDROXYBENZOATE</t>
  </si>
  <si>
    <t xml:space="preserve"> 6624-71-1</t>
  </si>
  <si>
    <t xml:space="preserve"> DODECYL ISOBUTYRATE</t>
  </si>
  <si>
    <t xml:space="preserve"> &amp;diams; DODECYL ISOBUTYRATE&lt;br /&gt;&amp;diams; DODECYL 2-METHYLPROPANOATE&lt;br /&gt;&amp;diams; LAURYL ISOBUTYRATE&lt;br /&gt;&amp;diams; LAURYL 2-METHYLPROPANOATE&lt;br /&gt;&amp;diams; PROPANOIC ACID, 2-METHYL-, DODECYL ESTER&lt;br /&gt;&amp;diams; ISOBUTYRIC ACID, DODECYL ESTER_x000D_
</t>
  </si>
  <si>
    <t xml:space="preserve"> 6283-92-7</t>
  </si>
  <si>
    <t xml:space="preserve"> DODECYL LACTATE</t>
  </si>
  <si>
    <t xml:space="preserve"> &amp;diams; LAURYL LACTATE&lt;br /&gt;&amp;diams; propanoic acid, 2-hydroxy-, dodecyl ester&lt;br /&gt;&amp;diams; dodecyl 2-hydroxypropanoate&lt;br /&gt;&amp;diams; lactic acid, dodecyl ester&lt;br /&gt;&amp;diams; dodecyl lactate</t>
  </si>
  <si>
    <t xml:space="preserve"> 112-55-0</t>
  </si>
  <si>
    <t xml:space="preserve"> N-DODECYLMERCAPTAN</t>
  </si>
  <si>
    <t xml:space="preserve"> &amp;diams; 1-DODECANETHIOL&lt;br /&gt;&amp;diams; DODECYL MERCAPTAN&lt;br /&gt;&amp;diams; LAURYL MERCAPTAN&lt;br /&gt;&amp;diams; DODECYL MERCAPTAN, PRIMARY&lt;br /&gt;&amp;diams; DODECYLTHIOL&lt;br /&gt;&amp;diams; DODECANETHIOL, NORMAL&lt;br /&gt;&amp;diams; InChI=1S/C12H26S/c1-2-3-4-5-6-7-8-9-10-11-12-13/h13H,2-12H2,1H3&lt;br /&gt;&amp;diams; InChIKey: WNAHIZMDSQCWRP-UHFFFAOYSA-N</t>
  </si>
  <si>
    <t xml:space="preserve"> 26401-47-8</t>
  </si>
  <si>
    <t xml:space="preserve"> ALPHA-(P-DODECYLPHENYL)-OMEGA-HYDROXYPOLY(OXYETHYLENE)</t>
  </si>
  <si>
    <t xml:space="preserve"> &amp;diams; PEG 4-DODECYLPHENYL ETHER&lt;br /&gt;&amp;diams; ALPHA-(P-DODECYLPHENYL)-OMEGA-HYDROXYPOLY(OXYETHYLENE)&lt;br /&gt;&amp;diams; ALPHA-(4-DODECYLPHENYL)-OMEGA-HYDROXYPOLY(OXY-1,2-ETHANEDIYL)&lt;br /&gt;&amp;diams; GLYCOLS, POLYETHYLENE, MONO(P-DODECYLPHENYL) ETHER&lt;br /&gt;&amp;diams; PEG MONO(4-DODECYLPHENYL) ETHER&lt;br /&gt;&amp;diams; POLY(OXY-1,2-ETHANEDIYL), ALPHA-(4-DODECYLPHENYL)-OMEGA-HYDROXY-&lt;br /&gt;&amp;diams; PHENOL, P-DODECYL-, MONOETHER WITH POLYETHYLENE GLYCOL&lt;br /&gt;&amp;diams; PEG P-DODECYLPHENOL ETHER&lt;br /&gt;&amp;diams; POLYETHYLENE GLYCOL MONO(P-DODECYLPHENYL) ETHER&lt;br /&gt;&amp;diams; POLYETHYLENE GLYCOL MONO(P-DODECYLPHENOL) ETHER&lt;br /&gt;&amp;diams; POLY(OXY-1,2-ETHANEDIYL), ALPHA-(4-DOCECYLPHENYL)-, OMEGA-HYDROXY-&lt;br /&gt;&amp;diams; 4-DODECYLPHENOL, ETHOXYLATED&lt;br /&gt;&amp;diams; 4-DODECYLPHENYL PEG ETHER</t>
  </si>
  <si>
    <t xml:space="preserve"> 6221-93-8</t>
  </si>
  <si>
    <t xml:space="preserve"> DODECYL PROPIONATE</t>
  </si>
  <si>
    <t xml:space="preserve"> &amp;diams; LAURYL PROPIONATE&lt;br /&gt;&amp;diams; propanoic acid, dodecyl ester&lt;br /&gt;&amp;diams; dodecyl propanoate&lt;br /&gt;&amp;diams; propionic acid, dodecyl ester&lt;br /&gt;&amp;diams; dodecyl propionate&lt;br /&gt;&amp;diams; InChI=1S/C15H30O2/c1-3-5-6-7-8-9-10-11-12-13-14-17-15(16)4-2/h3-14H2,1-2H3&lt;br /&gt;&amp;diams; InChIKey: FVGJPCFYGPKBKJ-UHFFFAOYSA-N</t>
  </si>
  <si>
    <t xml:space="preserve"> 977038-73-5</t>
  </si>
  <si>
    <t xml:space="preserve"> DOG GRASS, EXTRACT (AGROPYRON REPENS (L.) BEAUV.)</t>
  </si>
  <si>
    <t xml:space="preserve"> &amp;diams; DOG GRASS EXTRACT&lt;br /&gt;&amp;diams; COUCH GRASS EXTRACT&lt;br /&gt;&amp;diams; QUACK GRASS EXTRACT&lt;br /&gt;&amp;diams; AGROPYRON REPENS EXTRACT&lt;br /&gt;&amp;diams; TRITICUM EXTRACT&lt;br /&gt;&amp;diams; QUICK GRASS EXTRACT</t>
  </si>
  <si>
    <t xml:space="preserve"> 203719-54-4</t>
  </si>
  <si>
    <t xml:space="preserve"> D-8-P-MENTHENE-1,2-EPOXIDE</t>
  </si>
  <si>
    <t xml:space="preserve"> &amp;diams; LIMONENE OXIDE, D-&lt;br /&gt;&amp;diams; 7-oxabicyclo(4.1.0)heptane, 1-methyl-4-(1-methylethenyl)-, (4R)-&lt;br /&gt;&amp;diams; 1-methyl-4-(1-methylethenyl)-7-oxabicyclo(4.1.0)heptane, (4R)-&lt;br /&gt;&amp;diams; 8-p-menthene-1,2-epoxide, D-&lt;br /&gt;&amp;diams; limonene epoxide, D-&lt;br /&gt;&amp;diams; limonene 1,2-epoxide, D-</t>
  </si>
  <si>
    <t xml:space="preserve"> 9000-19-5</t>
  </si>
  <si>
    <t xml:space="preserve"> DRAGON'S BLOOD, EXTRACT (DAEMONOROPS SPP. OR OTHER BOTANICAL SOURCES)</t>
  </si>
  <si>
    <t xml:space="preserve"> &amp;diams; DRAGON'S BLOOD&lt;br /&gt;&amp;diams; DRACORUBIN EXTRACT&lt;br /&gt;&amp;diams; DRAGON'S BLOOD EXTRACT&lt;br /&gt;&amp;diams; DAEMONOROPS DRACO (EXTRACT)&lt;br /&gt;&amp;diams; XUE JIE</t>
  </si>
  <si>
    <t xml:space="preserve"> 977010-47-1</t>
  </si>
  <si>
    <t xml:space="preserve"> DRIED ALGAE MEAL</t>
  </si>
  <si>
    <t xml:space="preserve"> &amp;diams; ALGAE MEAL, DRIED&lt;br /&gt;&amp;diams; ALGOPHYLL&lt;br /&gt;&amp;diams; DRIED ALGAE MEAL</t>
  </si>
  <si>
    <t xml:space="preserve"> 150-69-6</t>
  </si>
  <si>
    <t xml:space="preserve"> DULCIN--PROHIBITED</t>
  </si>
  <si>
    <t xml:space="preserve"> &amp;diams; DULCIN&lt;br /&gt;&amp;diams; 4-ETHOXYPHENYLUREA&lt;br /&gt;&amp;diams; UREA, (4-ETHOXYPHENYL)-&lt;br /&gt;&amp;diams; UREA, (P-ETHOXYPHENYL)-&lt;br /&gt;&amp;diams; ETHOXYPHENYLUREA, P-&lt;br /&gt;&amp;diams; PHENETOLCARBAMIDE, P-&lt;br /&gt;&amp;diams; PHENETYLUREA, P-&lt;br /&gt;&amp;diams; NSC-1839</t>
  </si>
  <si>
    <t xml:space="preserve"> 14729-89-6</t>
  </si>
  <si>
    <t xml:space="preserve"> EDTA, DISODIUM IRON</t>
  </si>
  <si>
    <t xml:space="preserve"> &amp;diams; IRON(II) SODIUM ETHYLENEDIAMINETETRAACETATE&lt;br /&gt;&amp;diams; DISODIUM IRON EDTA&lt;br /&gt;&amp;diams; EDTA DISODIUM IRON SALT&lt;br /&gt;&amp;diams; EDTA IRON DISODIUM SALT&lt;br /&gt;&amp;diams; DISODIUM IRON ETHYLENEDINITRILOTETRAACETATE&lt;br /&gt;&amp;diams; FERRATE(2-), ((N,N'-1,2-ETHANEDIYLBIS(N-(CARBOXYMETHYL)GLYCINATO))(4-)-N,N',O,O',ON,ON')-, DISODIUM, (OC-6-21)-&lt;br /&gt;&amp;diams; FERRATE(2-), ((ETHYLENEDINITRILO)TETRAACETATO)-, DISODIUM&lt;br /&gt;&amp;diams; DISODIUM ((ETHYLENEDINITRILO)TETRAACETATO)FERRATE(2-)&lt;br /&gt;&amp;diams; DISODIUM FERROUS EDTA&lt;br /&gt;&amp;diams; FERROUS DISODIUM ETHYLENEDIAMINETETRAACETATE&lt;br /&gt;&amp;diams; SODIUM ((ETHYLENEDINITRILO)TETRAACETATO)FERRATE(II)</t>
  </si>
  <si>
    <t xml:space="preserve"> SEQUESTRANT,&lt;br /&gt; STABILIZER OR THICKENER</t>
  </si>
  <si>
    <t xml:space="preserve"> 64-02-8</t>
  </si>
  <si>
    <t xml:space="preserve"> EDTA, TETRASODIUM</t>
  </si>
  <si>
    <t xml:space="preserve"> &amp;diams; TETRASODIUM ETHYLENEDIAMINETETRAACETATE&lt;br /&gt;&amp;diams; ACETIC ACID, (ETHYLENEDINITRILO)TETRA-, TETRASODIUM SALT&lt;br /&gt;&amp;diams; EDTA TETRASODIUM SALT&lt;br /&gt;&amp;diams; EDETATE SODIUM&lt;br /&gt;&amp;diams; ETHYLENEDIAMINETETRAACETIC ACID TETRASODIUM SALT&lt;br /&gt;&amp;diams; GLYCINE, N,N'-1,2-ETHANEDIYLBIS(N-(CARBOXYMETHYL), TETRASODIUM SALT&lt;br /&gt;&amp;diams; SODIUM EDETATE&lt;br /&gt;&amp;diams; TETRASODIUM ETHYLENEDINITRILOTETRAACETATE&lt;br /&gt;&amp;diams; TETRASODIUM (ETHYLENEDINITRILO)TETRAACETATE</t>
  </si>
  <si>
    <t xml:space="preserve"> BOILER WATER ADDITIVE,&lt;br /&gt; WASHING OR SURFACE REMOVAL AGENT</t>
  </si>
  <si>
    <t xml:space="preserve"> 76361-77-8</t>
  </si>
  <si>
    <t xml:space="preserve"> (2E,6E,8E)-N-(2-METHYLPROPYL)-2,6,8-DECATRIENAMIDE</t>
  </si>
  <si>
    <t xml:space="preserve"> &amp;diams; N-ISOBUTYL-2,6,8-DECATRIENAMIDE, (E,E,E)-&lt;br /&gt;&amp;diams; 2,6,8-decatrienamide, N-(2-methylpropyl)-, (2E,6E,8E)-&lt;br /&gt;&amp;diams; N-(2-methylpropyl)-2,6,8-decatrienamide, (2E,6E,8E)-&lt;br /&gt;&amp;diams; 2,6,8-decatrienamide, N-(2-methylpropyl)-, (E,E,E)-&lt;br /&gt;&amp;diams; N-(2-methylpropyl)-2,6,8-decatrienamide, (E,E,E)-</t>
  </si>
  <si>
    <t xml:space="preserve"> 12650-88-3</t>
  </si>
  <si>
    <t xml:space="preserve"> EGG WHITE LYSOZYME</t>
  </si>
  <si>
    <t xml:space="preserve"> &amp;diams; EGG WHITE LYSOZYME&lt;br /&gt;&amp;diams; LYSOZYME (CHICKEN EGG WHITE)</t>
  </si>
  <si>
    <t xml:space="preserve"> ANTIMICROBIAL AGENT,&lt;br /&gt; ENZYME</t>
  </si>
  <si>
    <t xml:space="preserve"> 977002-47-3</t>
  </si>
  <si>
    <t xml:space="preserve"> ELDER FLOWERS (SAMBUCUS CANADENSIS L. OR SAMBUCUS NIGRA L.)</t>
  </si>
  <si>
    <t xml:space="preserve"> &amp;diams; SAMBUCUS&lt;br /&gt;&amp;diams; ELDER FLOWER&lt;br /&gt;&amp;diams; SAMBUCUS FLOWER</t>
  </si>
  <si>
    <t xml:space="preserve"> 977010-39-1</t>
  </si>
  <si>
    <t xml:space="preserve"> ELDER FLOWERS, EXTRACT (SAMBUCUS CANADENSIS L. OR SAMBUCUS NIGRA L.)</t>
  </si>
  <si>
    <t xml:space="preserve"> &amp;diams; SAMBUCUS EXTRACT&lt;br /&gt;&amp;diams; ELDER EXTRACT&lt;br /&gt;&amp;diams; ELDER FLOWER EXTRACT</t>
  </si>
  <si>
    <t xml:space="preserve"> 977038-74-6</t>
  </si>
  <si>
    <t xml:space="preserve"> ELDER TREE LEAVES (SAMBUCUS NIGRA L.)</t>
  </si>
  <si>
    <t xml:space="preserve"> &amp;diams; ELDER LEAF&lt;br /&gt;&amp;diams; ELDER TREE LEAF</t>
  </si>
  <si>
    <t xml:space="preserve"> 84012-20-4</t>
  </si>
  <si>
    <t xml:space="preserve"> ELECAMPANE ROOT, EXTRACT (INULA HELENIUM L.)</t>
  </si>
  <si>
    <t xml:space="preserve"> &amp;diams; INULA EXTRACT&lt;br /&gt;&amp;diams; ELECAMPANE ROOT EXTRACT&lt;br /&gt;&amp;diams; INULA HELENIUM ROOT EXTRACT&lt;br /&gt;&amp;diams; ELECAMPANE, EXT.</t>
  </si>
  <si>
    <t xml:space="preserve"> 1397-83-7</t>
  </si>
  <si>
    <t xml:space="preserve"> ELECAMPANE ROOT, OIL (INULA HELENIUM L.)</t>
  </si>
  <si>
    <t xml:space="preserve"> &amp;diams; INULA OIL&lt;br /&gt;&amp;diams; ALANTOL&lt;br /&gt;&amp;diams; ELECAMPANE OIL&lt;br /&gt;&amp;diams; ELECAMPANE ROOT OIL&lt;br /&gt;&amp;diams; INULA HELENIUM ROOT OIL</t>
  </si>
  <si>
    <t xml:space="preserve"> 9000-75-3</t>
  </si>
  <si>
    <t xml:space="preserve"> ELEMI, GUM</t>
  </si>
  <si>
    <t xml:space="preserve"> &amp;diams; ELEMI GUM&lt;br /&gt;&amp;diams; CANARIUM GUM&lt;br /&gt;&amp;diams; ELEMI&lt;br /&gt;&amp;diams; GUM ELEMI&lt;br /&gt;&amp;diams; RESINS, MANILI ELEMI&lt;br /&gt;&amp;diams; MANILI ELEMI RESIN</t>
  </si>
  <si>
    <t xml:space="preserve"> 8023-89-0</t>
  </si>
  <si>
    <t xml:space="preserve"> ELEMI, OIL (CANARIUM SPP.)</t>
  </si>
  <si>
    <t xml:space="preserve"> &amp;diams; ELEMI OIL&lt;br /&gt;&amp;diams; OILS, MANILA ELEMI&lt;br /&gt;&amp;diams; MANILA ELEMI OIL</t>
  </si>
  <si>
    <t xml:space="preserve"> 977127-78-8</t>
  </si>
  <si>
    <t xml:space="preserve"> ENZYME-MODIFIED FATS</t>
  </si>
  <si>
    <t xml:space="preserve"> &amp;diams; FAT, ENZYME-MODIFIED&lt;br /&gt;&amp;diams; ENZYME-MODIFIED FAT</t>
  </si>
  <si>
    <t xml:space="preserve"> 977143-80-8</t>
  </si>
  <si>
    <t xml:space="preserve"> ENZYMES, BACTERIAL</t>
  </si>
  <si>
    <t xml:space="preserve"> &amp;diams; ENZYME, BACTERIAL&lt;br /&gt;&amp;diams; BACTERIAL ENZYME</t>
  </si>
  <si>
    <t xml:space="preserve"> ENZYME,&lt;br /&gt; PROCESSING AID</t>
  </si>
  <si>
    <t xml:space="preserve"> 133.106 ,  133.108 ,  133.113 ,  133.118 ,  133.133 ,  133.136 ,  133.138 ,  133.141 ,  133.144 ,  133.147 ,  133.148 ,  133.149 ,  133.150 ,  133.152 ,  133.153 ,  133.156 ,  133.160 ,  133.164 ,  133.179 ,  133.181 ,  133.184 ,  133.185 ,  133.190 ,  133.195</t>
  </si>
  <si>
    <t xml:space="preserve"> 9001-92-7</t>
  </si>
  <si>
    <t xml:space="preserve"> ENZYMES, PROTEOLYTIC</t>
  </si>
  <si>
    <t xml:space="preserve"> &amp;diams; PROTEINASE&lt;br /&gt;&amp;diams; ENZYME, PROTEOLYTIC&lt;br /&gt;&amp;diams; PROTEOLYTIC ENZYME&lt;br /&gt;&amp;diams; PROTEASE&lt;br /&gt;&amp;diams; ENDOPEPTIDASE&lt;br /&gt;&amp;diams; PROTEINASE ENZYME</t>
  </si>
  <si>
    <t xml:space="preserve"> EMULSIFIER OR EMULSIFIER SALT,&lt;br /&gt; ENZYME,&lt;br /&gt; FORMULATION AID,&lt;br /&gt; MALTING OR FERMENTING AID,&lt;br /&gt; PROCESSING AID</t>
  </si>
  <si>
    <t xml:space="preserve"> 28551-14-6</t>
  </si>
  <si>
    <t xml:space="preserve"> EPICHLOROHYDRIN CROSSLINKED WITH AMMONIA</t>
  </si>
  <si>
    <t xml:space="preserve"> &amp;diams; POLY(AMMONIA-CO-EPICHLOROHYDRIN)&lt;br /&gt;&amp;diams; EPICHLOROHYDRIN-AMMONIA RESIN, CROSS-LINKED&lt;br /&gt;&amp;diams; EPICHLOROHYDRIN, CROSS-LINKED WITH AMMONIA&lt;br /&gt;&amp;diams; OXIRANE, (CHLOROMETHYL)-, POLYMER WITH AMMONIA&lt;br /&gt;&amp;diams; PROPANE, 1-CHLORO-2,3-EPOXY-, POLYMER WITH AMMONIA&lt;br /&gt;&amp;diams; POLY(AMMONIA-CO-(CHLOROMETHYL)OXIRANE)&lt;br /&gt;&amp;diams; POLY(AMMONIA-CO-1-CHLORO-2,3-EPOXYPROPANE)</t>
  </si>
  <si>
    <t xml:space="preserve"> 68398-18-5</t>
  </si>
  <si>
    <t xml:space="preserve"> (+/-)-2,8-EPITHIO-CIS-P-MENTHANE</t>
  </si>
  <si>
    <t xml:space="preserve"> &amp;diams; 2,8-EPITHIO-P-MENTHANE&lt;br /&gt;&amp;diams; 6-thiabicyclo(3.2.1)octane, 4,7,7-trimethyl-&lt;br /&gt;&amp;diams; 4,7,7-trimethyl-6-thiabicyclo(3.2.1)&lt;br /&gt;&amp;diams; InChI=1S/C10H18S/c1-7-4-5-8-6-9(7)11-10(8,2)3/h7-9H,4-6H2,1-3H3&lt;br /&gt;&amp;diams; InChIKey: FAXNZPOZWCWYBD-UHFFFAOYSA-N</t>
  </si>
  <si>
    <t xml:space="preserve"> 1048958-35-5</t>
  </si>
  <si>
    <t xml:space="preserve"> 2,3-EPOXYDECANAL</t>
  </si>
  <si>
    <t xml:space="preserve"> &amp;diams; 2,3-EPOXYDECANAL&lt;br /&gt;&amp;diams; 2-oxiranecarboxaldehyde, 3-heptyl-&lt;br /&gt;&amp;diams; 3-heptyl-2-oxiranecarboxaldehyde&lt;br /&gt;&amp;diams; 3-heptyloxirane-2-carboxaldehyde</t>
  </si>
  <si>
    <t xml:space="preserve"> 134454-31-2</t>
  </si>
  <si>
    <t xml:space="preserve"> 4,5-EPOXY-(E)-2-DECENAL</t>
  </si>
  <si>
    <t xml:space="preserve"> &amp;diams; 4,5-EPOXY-(E)-2-DECENAL, TRANS-&lt;br /&gt;&amp;diams; 2-propenal, 3-((2R,3R)-3-pentyloxiranyl)-, (2E)-rel-&lt;br /&gt;&amp;diams; 3-(3-pentyloxiranyl)-2-propenal, (2alpha(E),3beta)-&lt;br /&gt;&amp;diams; 3-(3-pentyloxiran-2-yl)prop-(E)-2-enal</t>
  </si>
  <si>
    <t xml:space="preserve"> 58936-30-4</t>
  </si>
  <si>
    <t xml:space="preserve"> 2,3-EPOXYHEPTANAL</t>
  </si>
  <si>
    <t xml:space="preserve"> &amp;diams; 2,3-EPOXYHEPTANAL&lt;br /&gt;&amp;diams; 2-oxiranecarboxaldehyde, 3-butyl-&lt;br /&gt;&amp;diams; 3-butyl-2-oxiranecarboxyaldehyde&lt;br /&gt;&amp;diams; oxiranecarboxaldehyde, 3-butyl-&lt;br /&gt;&amp;diams; 3-butyloxiranecarboxaldehyde</t>
  </si>
  <si>
    <t xml:space="preserve"> 42134-50-9</t>
  </si>
  <si>
    <t xml:space="preserve"> 2,3-EPOXYOCTANAL</t>
  </si>
  <si>
    <t xml:space="preserve"> &amp;diams; 2,3-EPOXYOCTANAL&lt;br /&gt;&amp;diams; 2-oxiranecarboxaldehyde, 3-pentyl-&lt;br /&gt;&amp;diams; oxiranecarboxaldehyde, 3-pentyl-&lt;br /&gt;&amp;diams; 3-pentyl-2-oxiranecarboxaldehyde&lt;br /&gt;&amp;diams; 3-pentyloxiranecarboxaldehyde</t>
  </si>
  <si>
    <t xml:space="preserve"> 38284-11-6</t>
  </si>
  <si>
    <t xml:space="preserve"> EPOXYOXOPHORONE</t>
  </si>
  <si>
    <t xml:space="preserve"> &amp;diams; EPOXYOXOPHORONE&lt;br /&gt;&amp;diams; 2,3-epoxy-3,5,5-trimethyl-1,4-cyclohexanedione&lt;br /&gt;&amp;diams; 2,3-oxido-2,6,6-trimethyl-1,4-cyclohexanedione&lt;br /&gt;&amp;diams; 7-oxabicyclo(4.1.0)heptane-2,5-dione, 1,3,3-trimethyl-&lt;br /&gt;&amp;diams; 1,3,3-trimethyl-7-oxabicyclo(4.1.0)heptane-2,5-dione</t>
  </si>
  <si>
    <t xml:space="preserve"> 5579-78-2</t>
  </si>
  <si>
    <t xml:space="preserve"> EPSILON-DECALACTONE</t>
  </si>
  <si>
    <t xml:space="preserve"> &amp;diams; EPSILON-DECALACTONE&lt;br /&gt;&amp;diams; 6-BUTYLHEXANOLIDE&lt;br /&gt;&amp;diams; 6-HYDROXYDECANOIC ACID EPSILON-LACTONE&lt;br /&gt;&amp;diams; 7-BUTYL-2-OXEPANONE&lt;br /&gt;&amp;diams; DECALACTONE, EPSILON-</t>
  </si>
  <si>
    <t xml:space="preserve"> 8007-27-0</t>
  </si>
  <si>
    <t xml:space="preserve"> ERIGERON, OIL (ERIGERON CANADENSIS L.)</t>
  </si>
  <si>
    <t xml:space="preserve"> &amp;diams; ERIGERON OIL&lt;br /&gt;&amp;diams; FLEABANE OIL&lt;br /&gt;&amp;diams; OILS, FLEABANE, ERIGERON CANADENSIS&lt;br /&gt;&amp;diams; CANADA FLEABANE OIL&lt;br /&gt;&amp;diams; ERIGERON CANADENSIS OIL</t>
  </si>
  <si>
    <t xml:space="preserve"> 4049-38-1</t>
  </si>
  <si>
    <t xml:space="preserve"> (+/-)-ERIODICTYOL</t>
  </si>
  <si>
    <t xml:space="preserve"> &amp;diams; ERIODICTYOL, (+/-)-&lt;br /&gt;&amp;diams; 5,7,3',4'-tetrahydroxyflavanone, (+/-)-&lt;br /&gt;&amp;diams; 4H-1-benzopyran-4-one, 2-(3,4-dihydroxyphenyl)-2,3-dihydro-5,7-dihydroxy-&lt;br /&gt;&amp;diams; 2-(3,4-dihydroxyphenyl)-2,3-dihydro-5,7-dihydroxy-4H-1-benzopyran-4-one&lt;br /&gt;&amp;diams; 3',4',5,7-tetrahydroxyflavanone, (+/-)-&lt;br /&gt;&amp;diams; 2-(3,4-dihydroxyphenyl)-5,7-dihydroxy-4-chromanone&lt;br /&gt;&amp;diams; flavanone, 3',4',5,7-tetrahydroxy- (4049-38-1)</t>
  </si>
  <si>
    <t xml:space="preserve"> 89-65-6</t>
  </si>
  <si>
    <t xml:space="preserve"> ERYTHORBIC ACID</t>
  </si>
  <si>
    <t xml:space="preserve"> &amp;diams; ERYTHORBIC ACID&lt;br /&gt;&amp;diams; ISOASCORBIC ACID&lt;br /&gt;&amp;diams; ISOASCORBIC ACID, D-&lt;br /&gt;&amp;diams; ARABOASCORBIC ACID, D-&lt;br /&gt;&amp;diams; ERYTHROASCORBIC ACID, D-&lt;br /&gt;&amp;diams; HEX-2-ENONIC ACID GAMMA-LACTONE, D-ERYTHRO-&lt;br /&gt;&amp;diams; 3-KETO-D-ERYTHRO-HEXONIC ACID GAMMA-LACTONE&lt;br /&gt;&amp;diams; ISOVITAMIN C&lt;br /&gt;&amp;diams; GLUCOSACCHARONIC ACID&lt;br /&gt;&amp;diams; 3-KETOHEXONIC ACID LACTONE, D-ERYTHRO-&lt;br /&gt;&amp;diams; 3-OXOHEXONIC ACID LACTONE, D-ERYTHRO-&lt;br /&gt;&amp;diams; ERYCORBIN&lt;br /&gt;&amp;diams; ERYTHORBIC ACID, D-&lt;br /&gt;&amp;diams; D-ERYTHRO-HEX-2-ENONIC ACID, GAMMA-LACTONE</t>
  </si>
  <si>
    <t xml:space="preserve"> ANTIMICROBIAL AGENT,&lt;br /&gt; ANTIOXIDANT,&lt;br /&gt; COLOR OR COLORING ADJUNCT,&lt;br /&gt; CURING OR PICKLING AGENT,&lt;br /&gt; FLAVOR ENHANCER,&lt;br /&gt; FLAVORING AGENT OR ADJUVANT</t>
  </si>
  <si>
    <t xml:space="preserve"> 101.33 ,  145.110 ,  155.200</t>
  </si>
  <si>
    <t xml:space="preserve"> 977032-08-8</t>
  </si>
  <si>
    <t xml:space="preserve"> ESTERASE-LIPASE FROM MUCOR MIEHEI</t>
  </si>
  <si>
    <t xml:space="preserve"> &amp;diams; ESTERASE-LIPASE, MUCOR MIEHEI</t>
  </si>
  <si>
    <t xml:space="preserve"> 140-67-0</t>
  </si>
  <si>
    <t xml:space="preserve"> ESTRAGOLE</t>
  </si>
  <si>
    <t xml:space="preserve"> &amp;diams; ESTRAGOLE&lt;br /&gt;&amp;diams; ALLYLANISOLE, P-&lt;br /&gt;&amp;diams; CHAVICYL METHYL ETHER&lt;br /&gt;&amp;diams; METHYL CHAVICOL&lt;br /&gt;&amp;diams; ESDRAGOL&lt;br /&gt;&amp;diams; METHOXYALLYLBENZENE, P-&lt;br /&gt;&amp;diams; ISOANETHOLE&lt;br /&gt;&amp;diams; 1-METHOXY-4-(2-PROPEN-1-YL)BENZENE&lt;br /&gt;&amp;diams; BENZENE, 1-METHOXY-4-(2-PROPENYL)-&lt;br /&gt;&amp;diams; ANISOLE, P-ALLYL-&lt;br /&gt;&amp;diams; ALLYLPHENYL METHYL ETHER, P-</t>
  </si>
  <si>
    <t xml:space="preserve"> 69382-62-3</t>
  </si>
  <si>
    <t xml:space="preserve"> ETHANE-1,1-DITHIOL</t>
  </si>
  <si>
    <t xml:space="preserve"> &amp;diams; 1,1-ETHANEDITHIOL&lt;br /&gt;&amp;diams; ethane-1,1-dithiol</t>
  </si>
  <si>
    <t xml:space="preserve"> 540-63-6</t>
  </si>
  <si>
    <t xml:space="preserve"> 1,2-ETHANEDITHIOL</t>
  </si>
  <si>
    <t xml:space="preserve"> &amp;diams; 1,2-ETHANEDITHIOL&lt;br /&gt;&amp;diams; 1,2-DIMERCAPTOETHANE&lt;br /&gt;&amp;diams; DITHIOGLYCOL&lt;br /&gt;&amp;diams; ETHYLENE DIMERCAPTAN&lt;br /&gt;&amp;diams; ETHYLENE DITHIOGLYCOL&lt;br /&gt;&amp;diams; ETHYLENE MERCAPTAN</t>
  </si>
  <si>
    <t xml:space="preserve"> 31175-20-9</t>
  </si>
  <si>
    <t xml:space="preserve"> ETHANESULFONIC ACID, 2-(1-(DIFLUORO-((TRIFLUOROETHENYL)OXY)METHYL)-1,2,2,2-TETRAFLUOROETHOXY)-1,1,2,2-TETRAFLUORO-, POLYMER WITH TETRAFLUOROETHANE</t>
  </si>
  <si>
    <t xml:space="preserve"> &amp;diams; POLY(PERFLUORO-3,6-DIOXA-4-METHYL-7-OCTENESULFONIC ACID-CO-TETRAFLUOROETHENE)&lt;br /&gt;&amp;diams; ETHANESULFONIC ACID, 2-(1-(DIFLUORO((TRIFLUOROETHENYL)OXY)METHYL)-1,2,2,2-TETRAFLUOROETHOXY)-1,1,2,2-TETRAFLUORO-, POLYMER WITH TETRAFLUOROETHENE&lt;br /&gt;&amp;diams; ETHANESULFONIC ACID, 1,1,2,2-TETRAFLUORO-2-(1,2,2-TRIFLUORO-1-(TRIFLUOROMETHYL)-2-((1,2,2-TRIFLUOROVINYL)OXY)ETHOXY)-, POLYMER WITH TETRAFLUOROETHYLENE&lt;br /&gt;&amp;diams; PERFLUORO(2-(2-SULFONYLETHOXY)PROPYL VINYL ETHER)-TETRAFLUOROETHYLENE COPOLYMER&lt;br /&gt;&amp;diams; POLY(2-(1-(DIFLUORO((TRIFLUOROETHENYL)OXY)METYL)-1,2,2,2-TETRAFLUOROETHOXY)-1,1,2,2-TETRAFLUOROETHANESULFONIC ACID-CO-TETRAFLUOROETHENE)&lt;br /&gt;&amp;diams; POLY(1,1,2,2-TETRAFLUORO-2-(1,2,2-TRIFLUORO-1-(TRIFLUOROMETHYL)-2-((1,2,2-TRIFLUOROVINYL)OXY)ETHOXY)ETHANESULFONIC ACID-CO-TETRAFLUOROETHYLENE)&lt;br /&gt;&amp;diams; TETRAFLUOROETHYLENE-PERFLUORO(2-(2-SULFONYLETHOXY)PROPYL VINYL ETHER) COPOLYMER&lt;br /&gt;&amp;diams; 2-(1-(DIFLUORO((TRIFLUOROETHENYL)OXY)METHYL)-1,2,2,2-TETRAFLUOROETHOXY)-1,1,2,2-TETRAFLUOROETHANESULFONIC ACID-TETRAFLUOROETHYLENE COPOLYMER</t>
  </si>
  <si>
    <t xml:space="preserve"> 75-08-1</t>
  </si>
  <si>
    <t xml:space="preserve"> ETHANETHIOL</t>
  </si>
  <si>
    <t xml:space="preserve"> &amp;diams; ETHYL MERCAPTAN&lt;br /&gt;&amp;diams; ETHANETHIOL&lt;br /&gt;&amp;diams; ethyl hydrosulfide&lt;br /&gt;&amp;diams; mercaptoethane&lt;br /&gt;&amp;diams; InChI=1S/C2H6S/c1-2-3/h3H,2H2,1H3&lt;br /&gt;&amp;diams; InChIKey: DNJIEGIFACGWOD-UHFFFAOYSA-N</t>
  </si>
  <si>
    <t xml:space="preserve"> 10031-82-0</t>
  </si>
  <si>
    <t xml:space="preserve"> P-ETHOXYBENZALDEHYDE</t>
  </si>
  <si>
    <t xml:space="preserve"> &amp;diams; 4-ETHOXYBENZALDEHYDE&lt;br /&gt;&amp;diams; HOMOANISALDEHYDE&lt;br /&gt;&amp;diams; ETHOXYBENZALDEHYDE, P-&lt;br /&gt;&amp;diams; BENZALDEHYDE, 4-ETHOXY-&lt;br /&gt;&amp;diams; BENZALDEHYDE, P-ETHOXY-</t>
  </si>
  <si>
    <t xml:space="preserve"> 68489-14-5</t>
  </si>
  <si>
    <t xml:space="preserve"> N-[(ETHOXYCARBONYL)METHYL)-P-MENTHANE-3-CARBOXAMIDE</t>
  </si>
  <si>
    <t xml:space="preserve"> 35243-43-7</t>
  </si>
  <si>
    <t xml:space="preserve"> 2-ETHOXY-3-ETHYLPYRAZINE</t>
  </si>
  <si>
    <t xml:space="preserve"> &amp;diams; 2-ETHOXY-3-ETHYLPYRAZINE&lt;br /&gt;&amp;diams; pyrazine, 2-ethoxy-3-ethyl-&lt;br /&gt;&amp;diams; 2-ethyl-3-ethoxypyrazine</t>
  </si>
  <si>
    <t xml:space="preserve"> 72797-16-1</t>
  </si>
  <si>
    <t xml:space="preserve"> 2-ETHOXY-3-ISOPROPYLPYRAZINE</t>
  </si>
  <si>
    <t xml:space="preserve"> &amp;diams; 2-ETHOXY-3-ISOPROPYLPYRAZINE&lt;br /&gt;&amp;diams; pyrazine, 2-ethoxy-2-(1-methylethyl)-&lt;br /&gt;&amp;diams; 2-ethoxy-3-(1-methylethyl)pyrazine</t>
  </si>
  <si>
    <t xml:space="preserve"> 22094-00-4</t>
  </si>
  <si>
    <t xml:space="preserve"> 1-ETHOXY-3-METHYL-2-BUTENE</t>
  </si>
  <si>
    <t xml:space="preserve"> &amp;diams; ETHYL PRENYL ETHER&lt;br /&gt;&amp;diams; ETHER, ETHYL 3-METHYL-2-BUTENYL&lt;br /&gt;&amp;diams; 2-BUTENE, 1-ETHOXY-3-METHYL-&lt;br /&gt;&amp;diams; 1-ETHOXY-3-METHYL-2-BUTENE&lt;br /&gt;&amp;diams; PRENYL ETHYL ETHER&lt;br /&gt;&amp;diams; ETHYL 3-METHYL-2-BUTENYL ETHER</t>
  </si>
  <si>
    <t xml:space="preserve"> 20920-83-6</t>
  </si>
  <si>
    <t xml:space="preserve"> O-(ETHOXYMETHYL)PHENOL</t>
  </si>
  <si>
    <t xml:space="preserve"> &amp;diams; 2-(ETHOXYMETHYL)PHENOL&lt;br /&gt;&amp;diams; (ETHOXYMETHYL)PHENOL, O-&lt;br /&gt;&amp;diams; ALPHA-ETHOXY-O-CRESOL&lt;br /&gt;&amp;diams; HYDROXYBENZYL ETHYL ETHER, O-&lt;br /&gt;&amp;diams; PHENOL, 2-(ETHOXYMETHYL)-&lt;br /&gt;&amp;diams; O-CRESOL, ALPHA-ETHOXY-</t>
  </si>
  <si>
    <t xml:space="preserve"> 91-53-2</t>
  </si>
  <si>
    <t xml:space="preserve"> ETHOXYQUIN</t>
  </si>
  <si>
    <t xml:space="preserve"> &amp;diams; ETHOXYQUIN&lt;br /&gt;&amp;diams; 6-ETHOXY-1,2-DIHYDRO-2,2,4-TRIMETHYLQUINOLINE&lt;br /&gt;&amp;diams; 1,2-DIHYDRO-6-ETHOXY-2,2,4-TRIMETHYLQUINOLINE&lt;br /&gt;&amp;diams; 1,2-DIHYDRO-2,2,4-TRIMETHYL-6-ETHOXYQUINOLINE&lt;br /&gt;&amp;diams; QUINOLINE, 6-ETHOXY-1,2-DIHYDRO-2,2,4-TRIMETHYL-&lt;br /&gt;&amp;diams; NSC-6795</t>
  </si>
  <si>
    <t xml:space="preserve"> 15679-19-3</t>
  </si>
  <si>
    <t xml:space="preserve"> 2-ETHOXYTHIAZOLE</t>
  </si>
  <si>
    <t xml:space="preserve"> &amp;diams; 2-ETHOXYTHIAZOLE&lt;br /&gt;&amp;diams; 2-THIAZOLYL ETHYL ETHER&lt;br /&gt;&amp;diams; ETHYL 2-THIAZOLYL ETHER&lt;br /&gt;&amp;diams; THIAZOLE, 2-ETHOXY-</t>
  </si>
  <si>
    <t xml:space="preserve"> 631-71-0</t>
  </si>
  <si>
    <t xml:space="preserve"> ETHYL ABIETATE</t>
  </si>
  <si>
    <t xml:space="preserve"> &amp;diams; ETHYL ABIETATE&lt;br /&gt;&amp;diams; 1-PHENANTHRENECARBOXYLIC ACID, 1,2,3,4,4A,4B,5,6,10,10A-DECAHYDRO-1,4A-DIMETHYL-7-(1-METHYLETHYL)-, ETHYL ESTER, (1R-(1ALPHA,4ABETA,4BALPHA,10AALPHA))-&lt;br /&gt;&amp;diams; ETHYL 1,2,3,4,4A,4B,5,6,10,10A-DECAHYDRO-1,4A-DIMETHYL-7-(1-METHYLETHYL)-1-PHENANTHRENECARBOXYLATE (1R-(1ALPHA,4ABETA,4BALPHA,10AALPHA))&lt;br /&gt;&amp;diams; PODOCARPA-7,13-DIEN-15-OIC ACID, 13-ISOPROPYL-, ETHYL ESTER&lt;br /&gt;&amp;diams; ETHYL 13-ISOPROPYLPODOCARPA-7,13-DIEN-15-OATE&lt;br /&gt;&amp;diams; ABIETIC ACID, ETHYL ESTER</t>
  </si>
  <si>
    <t xml:space="preserve"> 141-78-6</t>
  </si>
  <si>
    <t xml:space="preserve"> ETHYL ACETATE</t>
  </si>
  <si>
    <t xml:space="preserve"> &amp;diams; ETHYL ACETATE&lt;br /&gt;&amp;diams; ACETIC ETHER&lt;br /&gt;&amp;diams; ETHYL ETHANOATE&lt;br /&gt;&amp;diams; VINEGAR NAPHTHA&lt;br /&gt;&amp;diams; ACETIC ACID ETHYL ESTER</t>
  </si>
  <si>
    <t xml:space="preserve"> COLOR OR COLORING ADJUNCT,&lt;br /&gt; FLAVOR ENHANCER,&lt;br /&gt; FLAVORING AGENT OR ADJUVANT,&lt;br /&gt; SOLVENT OR VEHICLE</t>
  </si>
  <si>
    <t xml:space="preserve"> 141-97-9</t>
  </si>
  <si>
    <t xml:space="preserve"> ETHYL ACETOACETATE</t>
  </si>
  <si>
    <t xml:space="preserve"> &amp;diams; ETHYL ACETOACETATE&lt;br /&gt;&amp;diams; ACETOACETIC ESTER&lt;br /&gt;&amp;diams; ETHYL 3-OXOBUTANOATE&lt;br /&gt;&amp;diams; ETHYL ACETYLACETATE&lt;br /&gt;&amp;diams; ETHYL BETA-KETOBUTYRATE&lt;br /&gt;&amp;diams; BUTANOIC ACID, 3-OXO-, ETHYL ESTER&lt;br /&gt;&amp;diams; ACETOACETIC ACID, ETHYL ESTER</t>
  </si>
  <si>
    <t xml:space="preserve"> 6413-10-1</t>
  </si>
  <si>
    <t xml:space="preserve"> ETHYL ACETOACETATE ETHYLENEGLYCOL KETAL</t>
  </si>
  <si>
    <t xml:space="preserve"> &amp;diams; ETHYL 3-OXOBUTYRATE ETHYLENE KETAL&lt;br /&gt;&amp;diams; apple ketal&lt;br /&gt;&amp;diams; fructone&lt;br /&gt;&amp;diams; ethyl acetoacetate ethylene glycol ketal&lt;br /&gt;&amp;diams; 1,3-dioxolane-2-acetic acid, 2-methyl-, ethyl ester&lt;br /&gt;&amp;diams; ethyl 2-methyl-1,3-dioxolane-2-acetate&lt;br /&gt;&amp;diams; InChI=1S/C8H14O4/c1-3-10-7(9)6-8(2)11-4-5-12-8/h3-6H2,1-2H3&lt;br /&gt;&amp;diams; InChIKey: XWEOGMYZFCHQNT-UHFFFAOYSA-N</t>
  </si>
  <si>
    <t xml:space="preserve"> 139564-43-5</t>
  </si>
  <si>
    <t xml:space="preserve"> (+/-)-ETHYL 3-ACETOXY-2-METHYLBUTYRATE</t>
  </si>
  <si>
    <t xml:space="preserve"> &amp;diams; ETHYL 3-ACETOXY-2-METHYLBUTYRATE&lt;br /&gt;&amp;diams; butanoic acid, 3-(acetyloxy)-2-methyl-, ethyl ester&lt;br /&gt;&amp;diams; ethyl 3-acetoxy-2-methylbutyrate, (+-)-</t>
  </si>
  <si>
    <t xml:space="preserve"> 35234-25-4</t>
  </si>
  <si>
    <t xml:space="preserve"> ETHYL 5-ACETOXYOCTANOATE</t>
  </si>
  <si>
    <t xml:space="preserve"> &amp;diams; ETHYL 5-ACETOXYOCTANOATE&lt;br /&gt;&amp;diams; octanoic acid, 5-(acetyloxy)-, ethyl ester&lt;br /&gt;&amp;diams; ethyl 5-(acetyloxy)octanoate</t>
  </si>
  <si>
    <t xml:space="preserve"> 4396-62-7</t>
  </si>
  <si>
    <t xml:space="preserve"> S-ETHYL 2-ACETYLAMINOETHANETHIOATE</t>
  </si>
  <si>
    <t xml:space="preserve"> &amp;diams; S-ETHYL N-ACETYLTHIOGLYCINE&lt;br /&gt;&amp;diams; ethanethioic acid, (acetylamino)-, S-ethyl ester&lt;br /&gt;&amp;diams; glycine, N-acetylthio-, S-ethyl ester&lt;br /&gt;&amp;diams; S-ethyl (acetylamino)ethanethioate&lt;br /&gt;&amp;diams; S-ethyl 2-acetylaminoethanethioate&lt;br /&gt;&amp;diams; S-ethyl 2-acetamidoethanethiolate&lt;br /&gt;&amp;diams; ethyl N-acetylglycinethiol&lt;br /&gt;&amp;diams; S-ethyl 2-acetylaminoethanethiolate</t>
  </si>
  <si>
    <t xml:space="preserve"> 620-80-4</t>
  </si>
  <si>
    <t xml:space="preserve"> ETHYL ALPHA-ACETYLCINNAMATE</t>
  </si>
  <si>
    <t xml:space="preserve"> &amp;diams; ETHYL ALPHA-ACETYLCINNAMATE&lt;br /&gt;&amp;diams; butanoic acid, 3-oxo-2-(phenylmethylene)-, ethyl ester&lt;br /&gt;&amp;diams; ethyl 3-oxo-2-(phenylmethylene)butanoate&lt;br /&gt;&amp;diams; cinnamic acid, alpha-acetyl, ethyl ester&lt;br /&gt;&amp;diams; ethyl 2-acetyl-3-phenyl-2-propenoate</t>
  </si>
  <si>
    <t xml:space="preserve"> 1540-29-0</t>
  </si>
  <si>
    <t xml:space="preserve"> ETHYL 2-ACETYLHEXANOATE</t>
  </si>
  <si>
    <t xml:space="preserve"> &amp;diams; ETHYL 2-BUTYL-3-OXOBUTANOATE&lt;br /&gt;&amp;diams; hexanoic acid, 2-acetyl, ethyl ester&lt;br /&gt;&amp;diams; ethyl 2-acetylhexanoate&lt;br /&gt;&amp;diams; caproic acid, alpha-acetyl, ethyl ester&lt;br /&gt;&amp;diams; ethyl alpha-acetylcaproate&lt;br /&gt;&amp;diams; ethyl 2-butylacetoacetate</t>
  </si>
  <si>
    <t xml:space="preserve"> 29214-60-6</t>
  </si>
  <si>
    <t xml:space="preserve"> ETHYL 2-ACETYLOCTANOATE</t>
  </si>
  <si>
    <t xml:space="preserve"> &amp;diams; ETHYL 2-ACETYLOCTANOATE&lt;br /&gt;&amp;diams; octanoic acid, 2-acetyl-, ethyl ester&lt;br /&gt;&amp;diams; jasmin acetoacetate&lt;br /&gt;&amp;diams; ethyl 2-hexyl-2-acetoacetate&lt;br /&gt;&amp;diams; InChI=1S/C12H22O3/c1-4-6-7-8-9-11(10(3)13)12(14)15-5-2/h11H,4-9H2,1-3H3&lt;br /&gt;&amp;diams; InChIKey: BRGRZPQESQKATK-UHFFFAOYSA-N</t>
  </si>
  <si>
    <t xml:space="preserve"> 620-79-1</t>
  </si>
  <si>
    <t xml:space="preserve"> ETHYL 2-ACETYL-3-PHENYLPROPIONATE</t>
  </si>
  <si>
    <t xml:space="preserve"> &amp;diams; ETHYL 2-ACETYL-3-PHENYLPROPIONATE&lt;br /&gt;&amp;diams; BENZENEPROPANOIC ACID, ALPHA-ACETYL-, ETHYL ESTER&lt;br /&gt;&amp;diams; ETHYL ALPHA-ACETYLHYDROCINNAMATE&lt;br /&gt;&amp;diams; ETHYL BENZYL ACETOACETATE&lt;br /&gt;&amp;diams; ETHYL 2-ACETYLDIHYDROCINNAMATE&lt;br /&gt;&amp;diams; ETHYL 3-OXO-2-BENZYLBUTANOATE&lt;br /&gt;&amp;diams; ETHYL 2-BENZYLACETOACETATE&lt;br /&gt;&amp;diams; ETHYL ALPHA-ACETYLBENZENEPROPANOATE&lt;br /&gt;&amp;diams; HYDROCINNAMIC ACID, ALPHA-ACETYL-, ETHYL ESTER</t>
  </si>
  <si>
    <t xml:space="preserve"> 39741-41-8</t>
  </si>
  <si>
    <t xml:space="preserve"> 1-ETHYL-2-ACETYLPYRROLE</t>
  </si>
  <si>
    <t xml:space="preserve"> &amp;diams; 1-ETHYL-2-ACETYLPYRROLE&lt;br /&gt;&amp;diams; ETHANONE, 1-(1-ETHYL-1H-PYRROL-2-YL)-&lt;br /&gt;&amp;diams; N-ETHYL-2-ACETYLPYRROLE&lt;br /&gt;&amp;diams; 1-(1-ETHYLPYRROL-2-YL)ETHANONE&lt;br /&gt;&amp;diams; 1-ETHYL-2-ACETYLAZOLE&lt;br /&gt;&amp;diams; 1-N-ETHYLPYRROLE-2-YL ETHANONE&lt;br /&gt;&amp;diams; 1-(1-ETHYL-1H-PYRROL-2-YL)ETHANONE</t>
  </si>
  <si>
    <t xml:space="preserve"> 104228-51-5</t>
  </si>
  <si>
    <t xml:space="preserve"> ETHYL 4-(ACETYLTHIO)BUTYRATE</t>
  </si>
  <si>
    <t xml:space="preserve"> &amp;diams; ETHYL 4-(ACETYLTHIO)BUTYRATE&lt;br /&gt;&amp;diams; BUTANOIC ACID, 4-(ACETYLTHIO)-, ETHYL ESTER</t>
  </si>
  <si>
    <t xml:space="preserve"> 1321-30-8</t>
  </si>
  <si>
    <t xml:space="preserve"> ETHYL ACONITATE (MIXED ESTERS)</t>
  </si>
  <si>
    <t xml:space="preserve"> &amp;diams; ETHYL ACONITATE&lt;br /&gt;&amp;diams; ETHYL 2-CARBOXYGLUCONATE&lt;br /&gt;&amp;diams; ETHYL 1-PROPENE-1,2,3-TRICARBOXYLATE&lt;br /&gt;&amp;diams; 1-PROPENE-1,2,3-TRICARBOXYLIC ACID, MONOETHYL ESTER&lt;br /&gt;&amp;diams; MONOETHYL 1-PROPENE-1,2,3-TRICARBOXYLATE&lt;br /&gt;&amp;diams; 1-PROPENE-1,2,3-TRICARBOXYLIC ACID, ETHYL ESTER</t>
  </si>
  <si>
    <t xml:space="preserve"> 64-17-5</t>
  </si>
  <si>
    <t xml:space="preserve"> ETHYL ALCOHOL</t>
  </si>
  <si>
    <t xml:space="preserve"> &amp;diams; ETHYL ALCOHOL&lt;br /&gt;&amp;diams; ETHANOL&lt;br /&gt;&amp;diams; ETHYL ALCOHOL USP&lt;br /&gt;&amp;diams; METHYLCARBINOL&lt;br /&gt;&amp;diams; GRAIN ALCOHOL&lt;br /&gt;&amp;diams; HYDROXYETHANE&lt;br /&gt;&amp;diams; ETHYL HYDROXIDE&lt;br /&gt;&amp;diams; 1-HYDROXYETHANE</t>
  </si>
  <si>
    <t xml:space="preserve"> ANTIMICROBIAL AGENT,&lt;br /&gt; EMULSIFIER OR EMULSIFIER SALT,&lt;br /&gt; FLAVOR ENHANCER,&lt;br /&gt; FLAVORING AGENT OR ADJUVANT,&lt;br /&gt; PROCESSING AID,&lt;br /&gt; SOLVENT OR VEHICLE</t>
  </si>
  <si>
    <t xml:space="preserve"> 169.175 ,  169.176 ,  169.177 ,  169.181</t>
  </si>
  <si>
    <t xml:space="preserve"> 75-04-7</t>
  </si>
  <si>
    <t xml:space="preserve"> ETHYLAMINE</t>
  </si>
  <si>
    <t xml:space="preserve"> &amp;diams; ETHYLAMINE&lt;br /&gt;&amp;diams; ETHANAMINE&lt;br /&gt;&amp;diams; MONOETHYLAMINE</t>
  </si>
  <si>
    <t xml:space="preserve"> 94-30-4</t>
  </si>
  <si>
    <t xml:space="preserve"> ETHYL P-ANISATE</t>
  </si>
  <si>
    <t xml:space="preserve"> &amp;diams; ETHYL 4-METHOXYBENZOATE&lt;br /&gt;&amp;diams; BENZOIC ACID, 4-METHOXY-, ETHYL ESTER&lt;br /&gt;&amp;diams; ETHYL P-METHOXYBENZOATE&lt;br /&gt;&amp;diams; ETHYL P-ANISATE&lt;br /&gt;&amp;diams; ETHYL ANISATE&lt;br /&gt;&amp;diams; P-ANISIC ACID, ETHYL ESTER</t>
  </si>
  <si>
    <t xml:space="preserve"> 87-25-2</t>
  </si>
  <si>
    <t xml:space="preserve"> ETHYL ANTHRANILATE</t>
  </si>
  <si>
    <t xml:space="preserve"> &amp;diams; ETHYL ANTHRANILATE&lt;br /&gt;&amp;diams; ETHYL O-AMINOBENZOATE&lt;br /&gt;&amp;diams; ETHYL 2-AMINOBENZOATE&lt;br /&gt;&amp;diams; BENZOIC ACID, 2-AMINO-, ETHYL ESTER&lt;br /&gt;&amp;diams; ANTHRANILIC ACID, ETHYL ESTER</t>
  </si>
  <si>
    <t xml:space="preserve"> 4748-78-1</t>
  </si>
  <si>
    <t xml:space="preserve"> 4-ETHYLBENZALDEHYDE</t>
  </si>
  <si>
    <t xml:space="preserve"> &amp;diams; 4-ETHYLBENZALDEHYDE&lt;br /&gt;&amp;diams; ETHYLBENZALDEHYDE, P-&lt;br /&gt;&amp;diams; BENZALDEHYDE, 4-ETHYL-&lt;br /&gt;&amp;diams; BENZALDEHYDE, P-ETHYL-</t>
  </si>
  <si>
    <t xml:space="preserve"> 93-89-0</t>
  </si>
  <si>
    <t xml:space="preserve"> ETHYL BENZOATE</t>
  </si>
  <si>
    <t xml:space="preserve"> &amp;diams; ETHYL BENZOATE&lt;br /&gt;&amp;diams; ETHYL BENZENECARBOXYLATE&lt;br /&gt;&amp;diams; BENZOIC ACID, ETHYL ESTER</t>
  </si>
  <si>
    <t xml:space="preserve"> 94-02-0</t>
  </si>
  <si>
    <t xml:space="preserve"> ETHYL BENZOYLACETATE</t>
  </si>
  <si>
    <t xml:space="preserve"> &amp;diams; ETHYL BENZOYLACETATE&lt;br /&gt;&amp;diams; ETHYL 3-PHENYL-3-OXOPROPANOATE&lt;br /&gt;&amp;diams; BENZENEPROPANOIC ACID, BETA-OXO-, ETHYL ESTER&lt;br /&gt;&amp;diams; ETHYL BETA-OXOBENZENEPROPANOATE&lt;br /&gt;&amp;diams; ACETIC ACID, BENZOYL-, ETHYL ESTER&lt;br /&gt;&amp;diams; 1-ETHOXY-3-PHENYLPROPANE-1,3-DIONE&lt;br /&gt;&amp;diams; ETHYL 3-OXO-3-PHENYLPROPANOATE</t>
  </si>
  <si>
    <t xml:space="preserve"> 105-95-3</t>
  </si>
  <si>
    <t xml:space="preserve"> ETHYL BRASSYLATE</t>
  </si>
  <si>
    <t xml:space="preserve"> &amp;diams; ETHYLENE BRASSYLATE&lt;br /&gt;&amp;diams; ETHYLENE GLYCOL, CYCLIC TRIDECANEDIOATE&lt;br /&gt;&amp;diams; ETHYLENE UNDECANE DICARBOXYLATE&lt;br /&gt;&amp;diams; 1,4-DIOXACYCLOHEPTADECANE-5,17-DIONE&lt;br /&gt;&amp;diams; ETHYL BRASSYLATE&lt;br /&gt;&amp;diams; TRIDECANEDIOIC ACID, CYCLIC ETHYLENE ESTER&lt;br /&gt;&amp;diams; CYCLO-1,13-ETHYLENEDIOXYTRIDECAN-1,13-DIONE&lt;br /&gt;&amp;diams; ETHYLENE GLYCOL BRASSYLATE, CYCLIC DIESTER</t>
  </si>
  <si>
    <t xml:space="preserve"> 10031-87-5</t>
  </si>
  <si>
    <t xml:space="preserve"> 2-ETHYLBUTYL ACETATE</t>
  </si>
  <si>
    <t xml:space="preserve"> &amp;diams; 2-ETHYLBUTYL ACETATE&lt;br /&gt;&amp;diams; BETA-ETHYLBUTYL ACETATE&lt;br /&gt;&amp;diams; ACETIC ACID, 2-ETHYLBUTYL ESTER</t>
  </si>
  <si>
    <t xml:space="preserve"> 97-96-1</t>
  </si>
  <si>
    <t xml:space="preserve"> 2-ETHYLBUTYRALDEHYDE</t>
  </si>
  <si>
    <t xml:space="preserve"> &amp;diams; 2-ETHYLBUTYRALDEHYDE&lt;br /&gt;&amp;diams; ALPHA-ETHYLBUTYRALDEHYDE&lt;br /&gt;&amp;diams; DIETHYLACETALDEHYDE&lt;br /&gt;&amp;diams; 2-ETHYLBUTANAL&lt;br /&gt;&amp;diams; BUTANAL, 2-ETHYL-&lt;br /&gt;&amp;diams; BUTYRALDEHYDE, 2-ETHYL-&lt;br /&gt;&amp;diams; 2-ETHYLBUTYRIC ALDEHYDE&lt;br /&gt;&amp;diams; 3-FORMYLPENTANE&lt;br /&gt;&amp;diams; ALPHA-ETHYLBUTANAL</t>
  </si>
  <si>
    <t xml:space="preserve"> 105-54-4</t>
  </si>
  <si>
    <t xml:space="preserve"> ETHYL BUTYRATE</t>
  </si>
  <si>
    <t xml:space="preserve"> &amp;diams; ETHYL BUTYRATE&lt;br /&gt;&amp;diams; ETHYL BUTANOATE&lt;br /&gt;&amp;diams; BUTANOIC ACID, ETHYL ESTER&lt;br /&gt;&amp;diams; BUTYRIC ACID, ETHYL ESTER</t>
  </si>
  <si>
    <t xml:space="preserve"> 88-09-5</t>
  </si>
  <si>
    <t xml:space="preserve"> 2-ETHYLBUTYRIC ACID</t>
  </si>
  <si>
    <t xml:space="preserve"> &amp;diams; 2-ETHYLBUTYRIC ACID&lt;br /&gt;&amp;diams; DIETHYLACETIC ACID&lt;br /&gt;&amp;diams; ALPHA-ETHYLBUYTYRIC ACID&lt;br /&gt;&amp;diams; BUTANOIC ACID, 2-ETHYL-&lt;br /&gt;&amp;diams; 2-ETHYLBUTANOIC ACID&lt;br /&gt;&amp;diams; BUTYRIC ACID, 2-ETHYL-&lt;br /&gt;&amp;diams; 3-PENTANECARBOXYLIC ACID</t>
  </si>
  <si>
    <t xml:space="preserve"> 9004-57-3</t>
  </si>
  <si>
    <t xml:space="preserve"> ETHYL CELLULOSE</t>
  </si>
  <si>
    <t xml:space="preserve"> &amp;diams; ETHYLCELLULOSE&lt;br /&gt;&amp;diams; CELLULOSE ETHYL ETHER&lt;br /&gt;&amp;diams; CELLULOSE, ETHYL ETHER&lt;br /&gt;&amp;diams; ETHYL CELLULOSE</t>
  </si>
  <si>
    <t xml:space="preserve"> FLAVOR ENHANCER,&lt;br /&gt; FLAVORING AGENT OR ADJUVANT,&lt;br /&gt; FORMULATION AID,&lt;br /&gt; SOLVENT OR VEHICLE,&lt;br /&gt; STABILIZER OR THICKENER</t>
  </si>
  <si>
    <t xml:space="preserve"> 103-36-6</t>
  </si>
  <si>
    <t xml:space="preserve"> ETHYL CINNAMATE</t>
  </si>
  <si>
    <t xml:space="preserve"> &amp;diams; ETHYL CINNAMATE&lt;br /&gt;&amp;diams; ETHYL PHENYLACRYLATE&lt;br /&gt;&amp;diams; ETHYL 3-PHENYLPROPENOATE&lt;br /&gt;&amp;diams; 2-PROPENOIC ACID, 3-PHENYL-, ETHYL ESTER&lt;br /&gt;&amp;diams; ETHYL 3-PHENYL-2-PROPENOATE&lt;br /&gt;&amp;diams; CINNAMIC ACID, ETHYL ESTER&lt;br /&gt;&amp;diams; ETHYL 3-PHENYLACRYLATE&lt;br /&gt;&amp;diams; ETHYL BENZYLIDENEACETATE</t>
  </si>
  <si>
    <t xml:space="preserve"> 623-70-1</t>
  </si>
  <si>
    <t xml:space="preserve"> ETHYL CROTONATE</t>
  </si>
  <si>
    <t xml:space="preserve"> &amp;diams; ETHYL CROTONATE&lt;br /&gt;&amp;diams; ETHYL TRANS-2-BUTENOATE&lt;br /&gt;&amp;diams; ETHYL CROTONATE, TRANS-&lt;br /&gt;&amp;diams; ETHYL TRANS-CROTONATE&lt;br /&gt;&amp;diams; 2-BUTENOIC ACID, ETHYL ESTER, (E)-&lt;br /&gt;&amp;diams; ETHYL 2-BUTENOATE, (E)-&lt;br /&gt;&amp;diams; CROTONIC ACID, ETHYL ESTER, (E)-&lt;br /&gt;&amp;diams; ETHYL CROTONATE, (E)-&lt;br /&gt;&amp;diams; ETHYL TRANS-BUTENOATE</t>
  </si>
  <si>
    <t xml:space="preserve"> 3289-28-9</t>
  </si>
  <si>
    <t xml:space="preserve"> ETHYL CYCLOHEXANECARBOXYLATE</t>
  </si>
  <si>
    <t xml:space="preserve"> &amp;diams; ETHYL CYCLOHEXANECARBOXYLATE&lt;br /&gt;&amp;diams; ETHYL CYCLOHEXYLFORMATE&lt;br /&gt;&amp;diams; ETHYL HEXAHYDROBENZOATE&lt;br /&gt;&amp;diams; CYCLOHEXANECARBOXYLIC ACID, ETHYL ESTER&lt;br /&gt;&amp;diams; ETHYL CYCLOHEXYLCARBOXYLATE&lt;br /&gt;&amp;diams; ETHOXYCARBONYLCYCLOHEXANE</t>
  </si>
  <si>
    <t xml:space="preserve"> 10094-36-7</t>
  </si>
  <si>
    <t xml:space="preserve"> ETHYL CYCLOHEXANEPROPIONATE</t>
  </si>
  <si>
    <t xml:space="preserve"> &amp;diams; ETHYL CYCLOHEXANEPROPIONATE&lt;br /&gt;&amp;diams; ETHYL 3-CYCLOHEXYLPROPANOATE&lt;br /&gt;&amp;diams; ETHYL CYCLOHEXYLPROPIONATE&lt;br /&gt;&amp;diams; ETHYL HEXAHYDROPHENYLPROPIONATE&lt;br /&gt;&amp;diams; CYCLOHEXANEPROPANOIC ACID, ETHYL ESTER&lt;br /&gt;&amp;diams; ETHYL CYCLOHEXANEPROPANOATE&lt;br /&gt;&amp;diams; CYCLOHEXANEPROPIONIC ACID, ETHYL ESTER&lt;br /&gt;&amp;diams; ETHYL 3-CYCLOHEXYLPROPIONATE</t>
  </si>
  <si>
    <t xml:space="preserve"> 3025-30-7</t>
  </si>
  <si>
    <t xml:space="preserve"> ETHYL TRANS-2,CIS-4-DECADIENOATE</t>
  </si>
  <si>
    <t xml:space="preserve"> &amp;diams; ETHYL TRANS-2,CIS-4-DECADIENOATE&lt;br /&gt;&amp;diams; ETHYL 2,4-DECADIENOATE, (E,Z)-&lt;br /&gt;&amp;diams; 2,4-DECADIENOIC ACID, ETHYL ESTER, (E,Z)-</t>
  </si>
  <si>
    <t xml:space="preserve"> 110-38-3</t>
  </si>
  <si>
    <t xml:space="preserve"> ETHYL DECANOATE</t>
  </si>
  <si>
    <t xml:space="preserve"> &amp;diams; ETHYL DECANOATE&lt;br /&gt;&amp;diams; ETHYL CAPRATE&lt;br /&gt;&amp;diams; ETHYL DECYLATE&lt;br /&gt;&amp;diams; ETHYL CAPRINATE&lt;br /&gt;&amp;diams; DECANOIC ACID, ETHYL ESTER</t>
  </si>
  <si>
    <t xml:space="preserve"> 78417-28-4</t>
  </si>
  <si>
    <t xml:space="preserve"> ETHYL 2,4,7-DECATRIENOATE</t>
  </si>
  <si>
    <t xml:space="preserve"> &amp;diams; ETHYL 2,4,7-DECATRIENOATE&lt;br /&gt;&amp;diams; ETHYL DECA-2,4,7-TRIENOATE&lt;br /&gt;&amp;diams; 2,4,7-DECATRIENOIC ACID, ETHYL ESTER</t>
  </si>
  <si>
    <t xml:space="preserve"> 7367-88-6</t>
  </si>
  <si>
    <t xml:space="preserve"> ETHYL TRANS-2-DECENOATE</t>
  </si>
  <si>
    <t xml:space="preserve"> &amp;diams; ETHYL 2-DECENOATE, (E)-&lt;br /&gt;&amp;diams; ETHYL (E)-2-DECENOATE&lt;br /&gt;&amp;diams; ETHYL TRANS-2-DECENOATE&lt;br /&gt;&amp;diams; ETHYL 2-DECENOATE, TRANS-&lt;br /&gt;&amp;diams; 2-DECENOIC ACID, ETHYL ESTER, (E)-</t>
  </si>
  <si>
    <t xml:space="preserve"> 76649-16-6</t>
  </si>
  <si>
    <t xml:space="preserve"> ETHYL TRANS-4-DECENOATE</t>
  </si>
  <si>
    <t xml:space="preserve"> &amp;diams; ETHYL TRANS-4-DECENOATE&lt;br /&gt;&amp;diams; ETHYL (E)-4-DECENOATE&lt;br /&gt;&amp;diams; 4-DECENOIC ACID, ETHYL ESTER, (E)-</t>
  </si>
  <si>
    <t xml:space="preserve"> 39156-54-2</t>
  </si>
  <si>
    <t xml:space="preserve"> ETHYL 4,5-DIHYDRO-2,5-DIMETHYL-4-OXO-3-FURANCARBOXYLATE</t>
  </si>
  <si>
    <t xml:space="preserve"> &amp;diams; ETHYL 2,5-DIMETHYL-3-OXO-4(2H)-FURYLCARBOXYLATE&lt;br /&gt;&amp;diams; 3-furancarboxylic acid, 4,5-dihydro-2,5-dimethyl-4-oxo-, ethyl ester&lt;br /&gt;&amp;diams; ethyl 4,5-dihydro-2,5-dimethyl-4-oxo-3-furancarboxylate</t>
  </si>
  <si>
    <t xml:space="preserve"> 41803-21-8</t>
  </si>
  <si>
    <t xml:space="preserve"> 2-ETHYL-2,5-DIHYDRO-4-METHYLTHIAZOLE</t>
  </si>
  <si>
    <t xml:space="preserve"> &amp;diams; 2-ETHYL-2,5-DIHYDRO-4-METHYLTHIAZOLE&lt;br /&gt;&amp;diams; 2-ethyl-4-methyl-3-thiazoline&lt;br /&gt;&amp;diams; 3-thiazoline, 2-ethyl-4-methyl-&lt;br /&gt;&amp;diams; thiazole, 2-ethyl-2,5-dihydro-4methyl-</t>
  </si>
  <si>
    <t xml:space="preserve"> 14059-92-8</t>
  </si>
  <si>
    <t xml:space="preserve"> 4-ETHYL-2,6-DIMETHOXYPHENOL</t>
  </si>
  <si>
    <t xml:space="preserve"> &amp;diams; 4-ETHYL-2,6-DIMETHOXYPHENOL&lt;br /&gt;&amp;diams; PHENOL, 4-ETHYL-2,6-DIMETHOXY-&lt;br /&gt;&amp;diams; 1-ETHYL-3,5-DIMETHOXY-4-HYDROXYBENZENE&lt;br /&gt;&amp;diams; 2,6-DIMETHOXY-4-ETHYLPHENOL&lt;br /&gt;&amp;diams; 4-ETHYLPYROGALLOL DIMETHYL ETHER&lt;br /&gt;&amp;diams; 4-ETHYLSYRINGOL&lt;br /&gt;&amp;diams; 4-HYDROXY-3,5-DIMETHOXYETHYLBENZENE&lt;br /&gt;&amp;diams; 4-HYDROXY-3,5-DIMETHOXYPHENYLETHANE</t>
  </si>
  <si>
    <t xml:space="preserve"> 977188-74-1</t>
  </si>
  <si>
    <t xml:space="preserve"> 2(4)-ETHYL-4(2),6-DIMETHYLDIHYDRO-1,3,5-DITHIAZINE (MIXTURE OF ISOMERS)</t>
  </si>
  <si>
    <t xml:space="preserve"> &amp;diams; 2(OR 4)-ETHYL-4(OR 2),6-DIMETHYLDIHYDRO-1,3,5-DITHIAZINE&lt;br /&gt;&amp;diams; 2(or 4)-ethyldihydro-4(or 2),6-dimethyl-4H-1,3,5-dithiazine</t>
  </si>
  <si>
    <t xml:space="preserve"> 2116 (for 2-ethyl-4,6-dimethyl isomer)</t>
  </si>
  <si>
    <t xml:space="preserve"> 53833-30-0</t>
  </si>
  <si>
    <t xml:space="preserve"> 2-ETHYL-4,5-DIMETHYLOXAZOLE</t>
  </si>
  <si>
    <t xml:space="preserve"> &amp;diams; 2-ETHYL-4,5-DIMETHYLOXAZOLE&lt;br /&gt;&amp;diams; OXAZOLE, 2-ETHYL-4,5-DIMETHYL-&lt;br /&gt;&amp;diams; 4,5-DIMETHYL-2-ETHYLOXAZOLE</t>
  </si>
  <si>
    <t xml:space="preserve"> 13925-07-0</t>
  </si>
  <si>
    <t xml:space="preserve"> 3-ETHYL-2,6-DIMETHYLPYRAZINE</t>
  </si>
  <si>
    <t xml:space="preserve"> &amp;diams; 2-ETHYL-3,5-DIMETHYLPYRAZINE&lt;br /&gt;&amp;diams; PYRAZINE, 2-ETHYL-3,5-DIMETHYL-&lt;br /&gt;&amp;diams; 2,6-DIMETHYL-3-ETHYLPYRAZINE&lt;br /&gt;&amp;diams; 3-ETHYL-2,6-DIMETHYLPYRAZINE</t>
  </si>
  <si>
    <t xml:space="preserve"> 15707-34-3</t>
  </si>
  <si>
    <t xml:space="preserve"> 5-ETHYL-2,3-DIMETHYLPYRAZINE</t>
  </si>
  <si>
    <t xml:space="preserve"> &amp;diams; 5-ETHYL-2,3-DIMETHYLPYRAZINE&lt;br /&gt;&amp;diams; pyrazine, 5-ethyl-2,3-dimethyl-&lt;br /&gt;&amp;diams; 2,3-dimethyl-5-ethylpyrazine&lt;br /&gt;&amp;diams; 2-ethyl-5,6-dimethylpyrazine</t>
  </si>
  <si>
    <t xml:space="preserve"> 13246-52-1</t>
  </si>
  <si>
    <t xml:space="preserve"> ETHYL 2,4-DIOXOHEXANOATE</t>
  </si>
  <si>
    <t xml:space="preserve"> &amp;diams; ETHYL 2,4-DIOXOHEXANOATE&lt;br /&gt;&amp;diams; ETHYL 2,4-DIKETOCAPROATE&lt;br /&gt;&amp;diams; ETHYL BETA-PROPIONYLPYRUVATE&lt;br /&gt;&amp;diams; HEXANOIC ACID, 2,4-DIOXO-, ETHYL ESTER</t>
  </si>
  <si>
    <t xml:space="preserve"> 107-15-3</t>
  </si>
  <si>
    <t xml:space="preserve"> ETHYLENEDIAMINE</t>
  </si>
  <si>
    <t xml:space="preserve"> &amp;diams; ETHYLENEDIAMINE&lt;br /&gt;&amp;diams; 1,2-ETHANEDIAMINE&lt;br /&gt;&amp;diams; 1,2-DIAMINOETHANE</t>
  </si>
  <si>
    <t xml:space="preserve"> TRACER</t>
  </si>
  <si>
    <t xml:space="preserve"> 6381-92-6</t>
  </si>
  <si>
    <t xml:space="preserve"> ETHYLENEDIAMINETETRAACETIC ACID DISODIUM SALT</t>
  </si>
  <si>
    <t xml:space="preserve"> &amp;diams; DISODIUM ETHYLENEDIAMINETETRAACETATE DIHYDRATE&lt;br /&gt;&amp;diams; ACETIC ACID, (ETHYLENEDINITRILO)TETRA-, DISODIUM SALT, DIHYDRATE&lt;br /&gt;&amp;diams; DISODIUM EDTA DIHYDRATE&lt;br /&gt;&amp;diams; DISODIUM N,N'-1,2-ETHANEDIYLBIS(N-(CARBOXYMETHYL)GLYCINE) DIHYDRATE&lt;br /&gt;&amp;diams; DISODIUM (ETHYLENEDINITRILO)TETRAACETATE DIHYDRATE&lt;br /&gt;&amp;diams; EDTA DISODIUM SALT DIHYDRATE&lt;br /&gt;&amp;diams; GLYCINE, N,N'-1,2-ETHANEDIYLBIS(N-(CARBOXYMETHYL)-, DISODIUM SALT, DIHYDRATE</t>
  </si>
  <si>
    <t xml:space="preserve"> 107-06-2</t>
  </si>
  <si>
    <t xml:space="preserve"> ETHYLENE DICHLORIDE</t>
  </si>
  <si>
    <t xml:space="preserve"> &amp;diams; ETHYLENE DICHLORIDE&lt;br /&gt;&amp;diams; 1,2-DICHLOROETHANE&lt;br /&gt;&amp;diams; ETHYLENE CHLORIDE&lt;br /&gt;&amp;diams; EDC&lt;br /&gt;&amp;diams; ETHANE, 1,2-DICHLORO-&lt;br /&gt;&amp;diams; ALPHA,BETA-DICHLOROETHANE</t>
  </si>
  <si>
    <t xml:space="preserve"> FUMIGANT</t>
  </si>
  <si>
    <t xml:space="preserve"> 627-83-8</t>
  </si>
  <si>
    <t xml:space="preserve"> ETHYLENE GLYCOL DISTEARATE</t>
  </si>
  <si>
    <t xml:space="preserve"> &amp;diams; ETHYLENE GLYCOL DISTEARATE&lt;br /&gt;&amp;diams; ETHYLENE DISTEARATE&lt;br /&gt;&amp;diams; ETHYLENE GLYCOL, DISTEARATE&lt;br /&gt;&amp;diams; OCTADECANOIC ACID, 1,2-ETHANEDIYL ESTER&lt;br /&gt;&amp;diams; STEARIC ACID, ETHYLENE ESTER&lt;br /&gt;&amp;diams; 1,2-ETHANEDIYL BIS(OCTADECANOATE)</t>
  </si>
  <si>
    <t xml:space="preserve"> 111-76-2</t>
  </si>
  <si>
    <t xml:space="preserve"> ETHYLENE GLYCOL MONOBUTYL ETHER</t>
  </si>
  <si>
    <t xml:space="preserve"> &amp;diams; ETHYLENE GLYCOL MONOBUTYL ETHER&lt;br /&gt;&amp;diams; ETHANOL, 2-BUTOXY-&lt;br /&gt;&amp;diams; 2-BUTOXYETHANOL</t>
  </si>
  <si>
    <t xml:space="preserve"> WASHING OR SURFACE REMOVAL AGENT</t>
  </si>
  <si>
    <t xml:space="preserve"> 110-80-5</t>
  </si>
  <si>
    <t xml:space="preserve"> ETHYLENE GLYCOL MONOETHYL ETHER</t>
  </si>
  <si>
    <t xml:space="preserve"> &amp;diams; ETHYLENE GLYCOL MONOETHYL ETHER&lt;br /&gt;&amp;diams; ETHANOL, 2-ETHOXY-&lt;br /&gt;&amp;diams; 2-ETHOXYETHANOL</t>
  </si>
  <si>
    <t xml:space="preserve"> FORMULATION AID,&lt;br /&gt; SOLVENT OR VEHICLE</t>
  </si>
  <si>
    <t xml:space="preserve"> 122-99-6</t>
  </si>
  <si>
    <t xml:space="preserve"> ETHYLENE GLYCOL MONOPHENYL ETHER</t>
  </si>
  <si>
    <t xml:space="preserve"> &amp;diams; ETHYLENE GLYCOL MONOPHENYL ETHER&lt;br /&gt;&amp;diams; (2-HYDROXYETHOXY)BENZENE&lt;br /&gt;&amp;diams; ETHANOL, 2-PHENOXY-&lt;br /&gt;&amp;diams; ETHYLENE GLYCOL PHENYL ETHER&lt;br /&gt;&amp;diams; 2-PHENOXYETHANOL&lt;br /&gt;&amp;diams; 1-HYDROXY-2-PHENOXYETHANE</t>
  </si>
  <si>
    <t xml:space="preserve"> 75-21-8</t>
  </si>
  <si>
    <t xml:space="preserve"> ETHYLENE OXIDE--NLFG</t>
  </si>
  <si>
    <t xml:space="preserve"> &amp;diams; ETHYLENE OXIDE&lt;br /&gt;&amp;diams; EPOXYETHANE&lt;br /&gt;&amp;diams; OXIRANE&lt;br /&gt;&amp;diams; 1,2-EPOXYETHANE</t>
  </si>
  <si>
    <t xml:space="preserve"> NLFG-2433</t>
  </si>
  <si>
    <t xml:space="preserve"> No longer FEMA GRAS (GRAS Pub. 27, 2015)</t>
  </si>
  <si>
    <t xml:space="preserve"> 9002-90-8</t>
  </si>
  <si>
    <t xml:space="preserve"> ETHYLENE OXIDE POLYMER</t>
  </si>
  <si>
    <t xml:space="preserve"> &amp;diams; ETHYLENE OXIDE POLYMER&lt;br /&gt;&amp;diams; POLY(OXY-1,2-ETHANEDIYL)</t>
  </si>
  <si>
    <t xml:space="preserve"> 977047-83-8</t>
  </si>
  <si>
    <t xml:space="preserve"> ETHYLENE OXIDE POLYMER, ALKYL ADDUCT</t>
  </si>
  <si>
    <t xml:space="preserve"> &amp;diams; PEG-9 ALKYL(C11-15) ETHER&lt;br /&gt;&amp;diams; ALPHA-ALKYL(C11-15)-OMEGA-HYDROXYPOLY(OXYETHYLENE) (9 MOLES ETHYLENE OXIDE)&lt;br /&gt;&amp;diams; C11-15 ALKYL PEG-9 ETHER&lt;br /&gt;&amp;diams; ETHYLENE OXIDE POLYMER, ALKYL(C11-15) ADDUCT</t>
  </si>
  <si>
    <t xml:space="preserve"> 977092-23-1</t>
  </si>
  <si>
    <t xml:space="preserve"> ETHYLENE OXIDE POLYMER, ALKYL ADDUCT, PHOSPHATE ESTER</t>
  </si>
  <si>
    <t xml:space="preserve"> &amp;diams; PEG ALKYL(C12-18) ETHER PHOSPHATE&lt;br /&gt;&amp;diams; ALPHA-ALKYL(C12-18)-OMEGA-HYDROXYPOLY(OXYETHYLENE)(3.3-3.7 MOLES) POLYMER (AVG M W 380), PHOSPHATE&lt;br /&gt;&amp;diams; ETHYLENE OXIDE POLYMER, ALKYL(C12-18) ADDUCT, PHOSPHATE ESTER&lt;br /&gt;&amp;diams; C12-18 ALKYL PEG ETHER PHOSPHATE&lt;br /&gt;&amp;diams; C12-18 PEG ALKYL ETHER PHOSPHATE&lt;br /&gt;&amp;diams; PEG ALKYL ETHER PHOSPHATE, C12-18</t>
  </si>
  <si>
    <t xml:space="preserve"> 9003-11-6</t>
  </si>
  <si>
    <t xml:space="preserve"> ETHYLENE OXIDE/PROPYLENE OXIDE COPOLYMER</t>
  </si>
  <si>
    <t xml:space="preserve"> &amp;diams; POLY(ETHYLENE OXIDE-CO-PROPYLENE OXIDE)&lt;br /&gt;&amp;diams; ALPHA-HYDRO-OMEGA-HYDROXYPOLY(OXYETHYLENE) POLY(OXYPROPYLENE)&lt;br /&gt;&amp;diams; ETHYLENE OXIDE-PROPYLENE OXIDE COPOLYMER&lt;br /&gt;&amp;diams; ETHYLENE GLYCOL-PROPYLENE GLYCOL COPOLYMER&lt;br /&gt;&amp;diams; GLYCOLS, POLYETHYLENE-POLYPROPYLENE&lt;br /&gt;&amp;diams; METHYL OXIRANE-OXIRANE COPOLYMER&lt;br /&gt;&amp;diams; PROPYLENE OXIDE-ETHYLENE OXIDE COPOLYMER&lt;br /&gt;&amp;diams; POLOXALENE&lt;br /&gt;&amp;diams; POLYETHYLENE-POLYPROPYLENE GLYCOL&lt;br /&gt;&amp;diams; POLYOXYETHYLENE-POLYOXYPROPYLENE&lt;br /&gt;&amp;diams; POLY(METHYLOXIRANE-CO-OXIRANE)&lt;br /&gt;&amp;diams; OXIRANE, METHYL-, POLYMER WITH OXIRANE&lt;br /&gt;&amp;diams; PEG/PPG&lt;br /&gt;&amp;diams; PEG-PPG&lt;br /&gt;&amp;diams; POLYOXYPROPYLENE-POLYOXYETHYLENE CONDENSATE</t>
  </si>
  <si>
    <t xml:space="preserve"> DOUGH STRENGTHENER,&lt;br /&gt; DRYING AGENT,&lt;br /&gt; STABILIZER OR THICKENER,&lt;br /&gt; SURFACE-ACTIVE AGENT</t>
  </si>
  <si>
    <t xml:space="preserve"> 977057-87-6</t>
  </si>
  <si>
    <t xml:space="preserve"> ETHYLENE OXIDE/PROPYLENE OXIDE COPOLYMER (AVG M W 14,000)</t>
  </si>
  <si>
    <t xml:space="preserve"> &amp;diams; POLOXAMER-338&lt;br /&gt;&amp;diams; ETHYLENE OXIDE-PROPYLENE OXIDE COPOLYMER, MW 14000&lt;br /&gt;&amp;diams; ALPHA-HYDRO-OMEGA-HYDROXYPOLY(OXYETHYLENE)/POLY(OXYPROPYLENE)(51-57 MOLES)/POLY(OXYETHYLENE) BLOCK COPOLYMER, AVG MW 14000&lt;br /&gt;&amp;diams; ETHYLENE OXIDE/PROPYLENE OXIDE COPOLYMER (AVG M W 14,000)</t>
  </si>
  <si>
    <t xml:space="preserve"> DOUGH STRENGTHENER,&lt;br /&gt; LEAVENING AGENT,&lt;br /&gt; PROCESSING AID,&lt;br /&gt; STABILIZER OR THICKENER,&lt;br /&gt; SURFACE-ACTIVE AGENT</t>
  </si>
  <si>
    <t xml:space="preserve"> 977057-63-8</t>
  </si>
  <si>
    <t xml:space="preserve"> ETHYLENE OXIDE/PROPYLENE OXIDE COPOLYMER (MIN AVG M W 1,900)</t>
  </si>
  <si>
    <t xml:space="preserve"> &amp;diams; POLOXAMER-105&lt;br /&gt;&amp;diams; ETHYLENE OXIDE-PROPYLENE OXIDE BLOCK COPOLYMER, MW 1900&lt;br /&gt;&amp;diams; ALPHA-HYDRO-OMEGA-HYDROXYPOLY(OXYETHYLENE)/POLY(OXYPROPYLENE)(MINIMUM 15 MOLES)/POLY(OXYETHYLENE) BLOCK COPOLYMER, MIN MW 1900&lt;br /&gt;&amp;diams; ETHYLENE OXIDE/PROPYLENE OXIDE BLOCK COPOLYMER, (MIN AVG MW 1900)&lt;br /&gt;&amp;diams; POLYOXYETHYLENE-POLYOXYPROPYLENE BLOCK COPOLYMER, MW 1900&lt;br /&gt;&amp;diams; PEG/PPG BLOCK COPOLYMER, MW 1900</t>
  </si>
  <si>
    <t xml:space="preserve"> 977057-83-2</t>
  </si>
  <si>
    <t xml:space="preserve"> ETHYLENE OXIDE/PROPYLENE OXIDE COPOLYMER (AVG M W 3,500-4,125)</t>
  </si>
  <si>
    <t xml:space="preserve"> &amp;diams; POLOXAMER-331&lt;br /&gt;&amp;diams; ETHYLENE OXIDE-PROPYLENE OXIDE COPOLYMER, MW 3500-4125&lt;br /&gt;&amp;diams; ALPHA-HYDRO-OMEGA-HYDROXYPOLY(OXYETHYLENE)/POLY(OXYPROPYLENE)(53-59 MOLES)/POLY(OXYETHYLENE)(14-16 MOLES) BLOCK COPOLYMER, AVG MW 3500-4125&lt;br /&gt;&amp;diams; ETHYLENE OXIDE/PROPYLENE OXIDE COPOLYMER (AVG M W 3,500-4,125)</t>
  </si>
  <si>
    <t xml:space="preserve"> 977057-91-2</t>
  </si>
  <si>
    <t xml:space="preserve"> ETHYLENE OXIDE/PROPYLENE OXIDE COPOLYMER (AVG M W 9,760 - 13,200)</t>
  </si>
  <si>
    <t xml:space="preserve"> &amp;diams; POLOXAMER-407&lt;br /&gt;&amp;diams; ETHYLENE OXIDE-PROPYLENE OXIDE COPOLYMER, MW 9760-13200&lt;br /&gt;&amp;diams; ALPHA-HYDRO-OMEGA-HYDROXYPOLY(OXYETHYLENE)/POLY(OXYPROPYLENE)(55-61 MOLES)/POLY(OXYETHYLENE) BLOCK COPOLYMER, AVG MW 9760-13200&lt;br /&gt;&amp;diams; ETHYLENE OXIDE/PROPYLENE OXIDE COPOLYMER (AVG M W 9,760-13,200)</t>
  </si>
  <si>
    <t xml:space="preserve"> 977083-02-5</t>
  </si>
  <si>
    <t xml:space="preserve"> ETHYLENE OXIDE/PROPYLENE OXIDE COPOLYMER, ALKYL ADDUCT</t>
  </si>
  <si>
    <t xml:space="preserve"> &amp;diams; ETHYLENE OXIDE-PROPYLENE OXIDE COPOLYMER, ALKYL(C12-18) ADDUCT&lt;br /&gt;&amp;diams; ALPHA-ALKYL(C12-18)-OMEGA-HYDROXYPOLY(OXYETHYLENE)(7.5-8.5 MOLES)/POLY(OXYPROPYLENE) BLOCK COPOLYMER (AVG M W 810)</t>
  </si>
  <si>
    <t xml:space="preserve"> 977083-03-6</t>
  </si>
  <si>
    <t xml:space="preserve"> ETHYLENE OXIDE/PROPYLENE OXIDE COPOLYMER, ALKYL ADDUCT, PHOSPHATE ESTER</t>
  </si>
  <si>
    <t xml:space="preserve"> &amp;diams; ETHYLENE OXIDE-PROPYLENE OXIDE COPOLYMER, ALKYL(C10-12) ADDUCT PHOSPHATE&lt;br /&gt;&amp;diams; ALPHA-ALKYL(C10-12)-OMEGA-HYDROXYPOLY(OXYETHYLENE)(11.9-12.9 MOLES)/POLY(OXYPROPYLENE) COPOLYMER (AVG M W 810), PHOSPHATE</t>
  </si>
  <si>
    <t xml:space="preserve"> 977077-55-6</t>
  </si>
  <si>
    <t xml:space="preserve"> ETHYL ESTERS OF FATTY ACIDS (EDIBLE)</t>
  </si>
  <si>
    <t xml:space="preserve"> &amp;diams; FATTY ACIDS, ETHYL ESTERS</t>
  </si>
  <si>
    <t xml:space="preserve"> 38446-21-8</t>
  </si>
  <si>
    <t xml:space="preserve"> ETHYL N-ETHYLANTHRANILATE</t>
  </si>
  <si>
    <t xml:space="preserve"> &amp;diams; ETHYL N-ETHYLANTHRANILATE&lt;br /&gt;&amp;diams; BENZOIC ACID, 2-(ETHYLAMINO)-, ETHYL ESTER&lt;br /&gt;&amp;diams; ETHYL 2-(ETHYLAMINO)BENZOATE&lt;br /&gt;&amp;diams; DIETHYL ANTHRANILATE&lt;br /&gt;&amp;diams; ETHYL (2-ETHYLAMINOPHENYL)METHANOATE&lt;br /&gt;&amp;diams; ETHYL 2-ETHYLAMINOBENZOATE&lt;br /&gt;&amp;diams; ETHYL O-(ETHYLAMINO)BENZOATE</t>
  </si>
  <si>
    <t xml:space="preserve"> 2983-38-2</t>
  </si>
  <si>
    <t xml:space="preserve"> ETHYL 2-ETHYLBUTYRATE</t>
  </si>
  <si>
    <t xml:space="preserve"> &amp;diams; ETHYL 2-ETHYLBUTYRATE&lt;br /&gt;&amp;diams; InChI=1S/C8H16O2/c1-4-7(5-2)8(9)10-6-3/h7H,4-6H2,1-3H3&lt;br /&gt;&amp;diams; InChIKey: MJGSLNIPTRPYJV-UHFFFAOYSA-N&lt;br /&gt;&amp;diams; butanoic acid, 2-ethyl-, ethyl ester&lt;br /&gt;&amp;diams; ethyl 2-ethylbutanoate&lt;br /&gt;&amp;diams; butyric acid, 2-ethyl-, ethyl ester&lt;br /&gt;&amp;diams; butyric acid, alpha-ethyl-, ethyl ester&lt;br /&gt;&amp;diams; ethyl alpha-ethylbutyrate</t>
  </si>
  <si>
    <t xml:space="preserve"> 2983-37-1</t>
  </si>
  <si>
    <t xml:space="preserve"> ETHYL 2-ETHYLHEXANOATE</t>
  </si>
  <si>
    <t xml:space="preserve"> &amp;diams; ETHYL 2-ETHYLHEXANOATE&lt;br /&gt;&amp;diams; InChI=1S/C10H20O2/c1-4-7-8-9(5-2)10(11)12-6-3/h9H,4-8H2,1-3H3&lt;br /&gt;&amp;diams; InChIKey: YXAGIRHBJJLWHW-UHFFFAOYSA-N&lt;br /&gt;&amp;diams; hexanoic acid, 2-ethyl-, ethyl ester&lt;br /&gt;&amp;diams; ethyl 2-ethylcaproate&lt;br /&gt;&amp;diams; ethyl alpha-ethylcaproate</t>
  </si>
  <si>
    <t xml:space="preserve"> 56630-76-3</t>
  </si>
  <si>
    <t xml:space="preserve"> ETHYL ALPHA-ETHYL-BETA-METHYL-BETA-PHENYLGLYCIDATE</t>
  </si>
  <si>
    <t xml:space="preserve"> &amp;diams; ETHYL 2-ETHYL-3-METHYL-3-PHENYLGLYCIDATE&lt;br /&gt;&amp;diams; 2-oxiranecarboxylic acid, 2-ethyl-3-methyl-3-phenyl-, ethyl ester&lt;br /&gt;&amp;diams; ethyl 2-ethyl-3-methyl-3-phenyl-2-oxiranecarboxylate&lt;br /&gt;&amp;diams; oxiranecarboxylic acid, 2-ethyl-3-methyl-3-phenyl-, ethyl ester&lt;br /&gt;&amp;diams; ethyl 2-ethyl-3-methyl-3-phenyloxiranecarboxylate&lt;br /&gt;&amp;diams; ethyl alpha-ethyl-beta-methyl-beta-phenylglycidate</t>
  </si>
  <si>
    <t xml:space="preserve"> 2983-36-0</t>
  </si>
  <si>
    <t xml:space="preserve"> ETHYL 2-ETHYL-3-PHENYLPROPANOATE</t>
  </si>
  <si>
    <t xml:space="preserve"> &amp;diams; ETHYL 2-ETHYL-3-PHENYLPROPIONATE&lt;br /&gt;&amp;diams; BENZENEPROPANOIC ACID, ALPHA-ETHYL-, ETHYL ESTER&lt;br /&gt;&amp;diams; ETHYL 2-ETHYLBENZENEPROPANOATE&lt;br /&gt;&amp;diams; ETHYL 2-ETHYLDIHYDROCINNAMATE&lt;br /&gt;&amp;diams; ETHYL 2-BENZYLBUTYRATE&lt;br /&gt;&amp;diams; ETHYL ALPHA-ETHYLBENZENEPROPANOATE&lt;br /&gt;&amp;diams; ETHYL ALPHA-ETHYLHYDROCINNAMATE&lt;br /&gt;&amp;diams; ETHYL 2-BENZYLBUTANOATE&lt;br /&gt;&amp;diams; ETHYL 2-ETHYL-3-PHENYLPROPANOATE&lt;br /&gt;&amp;diams; HYDROCINNAMIC ACID, ALPHA-ETHYL-, ETHYL ESTER</t>
  </si>
  <si>
    <t xml:space="preserve"> 90201-28-8</t>
  </si>
  <si>
    <t xml:space="preserve"> ETHYL 3-(ETHYLTHIO)BUTYRATE</t>
  </si>
  <si>
    <t xml:space="preserve"> &amp;diams; ETHYL 3-(ETHYLTHIO)BUTYRATE&lt;br /&gt;&amp;diams; butanoic acid, 3-(ethylthio)-, ethyl ester&lt;br /&gt;&amp;diams; ethyl 3-(ethylthio)butanoate&lt;br /&gt;&amp;diams; butyric acid, 3-(ethylthio)-, ethyl ester</t>
  </si>
  <si>
    <t xml:space="preserve"> 109-94-4</t>
  </si>
  <si>
    <t xml:space="preserve"> ETHYL FORMATE</t>
  </si>
  <si>
    <t xml:space="preserve"> &amp;diams; ETHYL FORMATE&lt;br /&gt;&amp;diams; CARBOXYLIC ACID OXAETHANE&lt;br /&gt;&amp;diams; ETHYL METHANOATE&lt;br /&gt;&amp;diams; FORMIC ETHER&lt;br /&gt;&amp;diams; FORMIC ACID, ETHYL ESTER</t>
  </si>
  <si>
    <t xml:space="preserve"> 3208-16-0</t>
  </si>
  <si>
    <t xml:space="preserve"> 2-ETHYLFURAN</t>
  </si>
  <si>
    <t xml:space="preserve"> &amp;diams; 2-ETHYLFURAN&lt;br /&gt;&amp;diams; 2-ETHYLOXOLE&lt;br /&gt;&amp;diams; FURAN, 2-ETHYL-&lt;br /&gt;&amp;diams; ALPHA-ETHYLFURAN</t>
  </si>
  <si>
    <t xml:space="preserve"> 10031-90-0</t>
  </si>
  <si>
    <t xml:space="preserve"> ETHYL 2-FURANPROPIONATE</t>
  </si>
  <si>
    <t xml:space="preserve"> &amp;diams; ETHYL 2-FURANPROPIONATE&lt;br /&gt;&amp;diams; ETHYL FURFURYLACETATE&lt;br /&gt;&amp;diams; ETHYL FURYLPROPIONATE&lt;br /&gt;&amp;diams; ETHYL 3-(2-FURYL)PROPANOATE&lt;br /&gt;&amp;diams; ETHYL FURFURYLHYDRACRYLATE&lt;br /&gt;&amp;diams; ETHYL 3-(2-FURYL)PROPIONATE&lt;br /&gt;&amp;diams; ETHYL 2-FURANPROPANOATE&lt;br /&gt;&amp;diams; ETHYL BETA-FURYLPROPIONATE&lt;br /&gt;&amp;diams; ETHYL 3-(ALPHA-FURYL)PROPIONATE&lt;br /&gt;&amp;diams; 2-FURANPROPANOIC ACID, ETHYL ESTER&lt;br /&gt;&amp;diams; 2-FURANPROPIONIC ACID, ETHYL ESTER</t>
  </si>
  <si>
    <t xml:space="preserve"> 6270-56-0</t>
  </si>
  <si>
    <t xml:space="preserve"> ETHYL FURFURYL ETHER</t>
  </si>
  <si>
    <t xml:space="preserve"> &amp;diams; ETHYL FURFURYL ETHER&lt;br /&gt;&amp;diams; furfuryl ethyl ether&lt;br /&gt;&amp;diams; 2-(ethoxymethyl)furan&lt;br /&gt;&amp;diams; furan, 2-(ethoxymethyl)-</t>
  </si>
  <si>
    <t xml:space="preserve"> 94278-27-0</t>
  </si>
  <si>
    <t xml:space="preserve"> ETHYL 3-(FURFURYLTHIO) PROPIONATE</t>
  </si>
  <si>
    <t xml:space="preserve"> &amp;diams; ETHYL 3-(FURFURYLTHIO)PROPIONATE&lt;br /&gt;&amp;diams; ETHYL 3-((2-FURANYLMETHYL)THIO)PROPANOATE&lt;br /&gt;&amp;diams; ETHYL BETA-FURFURYL-ALPHA-THIOPROPIONATE&lt;br /&gt;&amp;diams; PROPANOIC ACID, 3-((2-FURANYLMETHYL)THIO)-, ETHYL ESTER</t>
  </si>
  <si>
    <t xml:space="preserve"> 53282-12-5</t>
  </si>
  <si>
    <t xml:space="preserve"> (E)-ETHYL 3-(2-FURYL)ACRYLATE</t>
  </si>
  <si>
    <t xml:space="preserve"> &amp;diams; ETHYL 2-FURANACRYLATE, TRANS-&lt;br /&gt;&amp;diams; 2-propenoic acid, 3-(2-furanyl)-, ethyl ester, (2E)-&lt;br /&gt;&amp;diams; ethyl 3-(2-furanyl)-2-propenoate, (2E)-&lt;br /&gt;&amp;diams; 2-propenoic acid, 3-(2-furanyl)-, ethyl ester, (E)-&lt;br /&gt;&amp;diams; ethyl 3-(2-furyl)acrylate, (E)-</t>
  </si>
  <si>
    <t xml:space="preserve"> 2785-89-9</t>
  </si>
  <si>
    <t xml:space="preserve"> 4-ETHYLGUAIACOL</t>
  </si>
  <si>
    <t xml:space="preserve"> &amp;diams; 4-ETHYLGUAIACOL&lt;br /&gt;&amp;diams; 4-ETHYL-2-METHOXYPHENOL&lt;br /&gt;&amp;diams; 2-METHOXY-4-ETHYLPHENOL&lt;br /&gt;&amp;diams; HOMOCRESOL&lt;br /&gt;&amp;diams; 1-HYDROXY-2-METHOXY-4-ETHYLBENZENE&lt;br /&gt;&amp;diams; PHENOL, 4-ETHYL-2-METHOXY-&lt;br /&gt;&amp;diams; 4-HYDROXY-3-METHOXYETHYLBENZENE&lt;br /&gt;&amp;diams; GUAIACYL ETHANE&lt;br /&gt;&amp;diams; GUAIACOL, 4-ETHYL-&lt;br /&gt;&amp;diams; 4-HYDROXY-3-METHOXYPHENYLETHANE</t>
  </si>
  <si>
    <t xml:space="preserve"> 106-30-9</t>
  </si>
  <si>
    <t xml:space="preserve"> ETHYL HEPTANOATE</t>
  </si>
  <si>
    <t xml:space="preserve"> &amp;diams; ETHYL HEPTANOATE&lt;br /&gt;&amp;diams; ETHYL HEPTOATE&lt;br /&gt;&amp;diams; COGNAC OIL&lt;br /&gt;&amp;diams; OENANTHIC ETHER&lt;br /&gt;&amp;diams; ETHYL HEPTYLATE&lt;br /&gt;&amp;diams; ETHYL OENANTHATE&lt;br /&gt;&amp;diams; HEPTANOIC ACID, ETHYL ESTER</t>
  </si>
  <si>
    <t xml:space="preserve"> 10031-88-6</t>
  </si>
  <si>
    <t xml:space="preserve"> 2-ETHYL-2-HEPTENAL</t>
  </si>
  <si>
    <t xml:space="preserve"> &amp;diams; 2-ETHYL-2-HEPTENAL&lt;br /&gt;&amp;diams; 2-ETHYL-3-BUTYLACROLEIN&lt;br /&gt;&amp;diams; ALPHA-ETHYL-BETA-BUTYLACROLEIN&lt;br /&gt;&amp;diams; 2-HEPTENAL, 2-ETHYL-</t>
  </si>
  <si>
    <t xml:space="preserve"> 39924-27-1</t>
  </si>
  <si>
    <t xml:space="preserve"> ETHYL 4-HEPTENOATE, CIS-</t>
  </si>
  <si>
    <t xml:space="preserve"> &amp;diams; ETHYL 4-HEPTENOATE, CIS-&lt;br /&gt;&amp;diams; ETHYL CIS-4-HEPTENOATE&lt;br /&gt;&amp;diams; ETHYL 4-HEPTENOATE, (Z)-&lt;br /&gt;&amp;diams; 4-HEPTENOIC ACID, ETHYL ESTER, (Z)-</t>
  </si>
  <si>
    <t xml:space="preserve"> 7341-17-5</t>
  </si>
  <si>
    <t xml:space="preserve"> 2-ETHYLHEXANETHIOL</t>
  </si>
  <si>
    <t xml:space="preserve"> &amp;diams; 2-ETHYLHEXANETHIOL&lt;br /&gt;&amp;diams; 1-HEXANETHIOL, 2-ETHYL-&lt;br /&gt;&amp;diams; 2-ETHYL-1-HEXANETHIOL&lt;br /&gt;&amp;diams; 2-ETHYLHEXYL MERCAPTAN&lt;br /&gt;&amp;diams; 2-(MERCAPTOMETHYL)HEPTANE</t>
  </si>
  <si>
    <t xml:space="preserve"> 123-66-0</t>
  </si>
  <si>
    <t xml:space="preserve"> ETHYL HEXANOATE</t>
  </si>
  <si>
    <t xml:space="preserve"> &amp;diams; ETHYL HEXANOATE&lt;br /&gt;&amp;diams; ETHYL CAPROATE&lt;br /&gt;&amp;diams; CAPRONIC ETHER ABSOLUTE&lt;br /&gt;&amp;diams; HEXANOIC ACID, ETHYL ESTER</t>
  </si>
  <si>
    <t xml:space="preserve"> 104-76-7</t>
  </si>
  <si>
    <t xml:space="preserve"> 2-ETHYL-1-HEXANOL</t>
  </si>
  <si>
    <t xml:space="preserve"> &amp;diams; 2-ETHYL-1-HEXANOL&lt;br /&gt;&amp;diams; 2-ETHYLHEXYL ALCOHOL&lt;br /&gt;&amp;diams; 2-ETHYLHEXANOL&lt;br /&gt;&amp;diams; ETHYLHEXANOL&lt;br /&gt;&amp;diams; 2-ETHYLHEXAN-1-OL&lt;br /&gt;&amp;diams; 1-HEXANOL, 2-ETHYL-</t>
  </si>
  <si>
    <t xml:space="preserve"> 645-62-5</t>
  </si>
  <si>
    <t xml:space="preserve"> 2-ETHYL-2-HEXENAL</t>
  </si>
  <si>
    <t xml:space="preserve"> &amp;diams; 2-ETHYL-2-HEXENAL&lt;br /&gt;&amp;diams; 2-HEXENAL, 2-ETHYL-&lt;br /&gt;&amp;diams; 2-ETHYL-3-PROPYLACROLEIN</t>
  </si>
  <si>
    <t xml:space="preserve"> 1552-67-6</t>
  </si>
  <si>
    <t xml:space="preserve"> ETHYL 2-HEXENOATE</t>
  </si>
  <si>
    <t xml:space="preserve"> &amp;diams; ETHYL 2-HEXENOATE&lt;br /&gt;&amp;diams; 2-HEXENOIC ACID, ETHYL ESTER</t>
  </si>
  <si>
    <t xml:space="preserve"> 2396-83-0</t>
  </si>
  <si>
    <t xml:space="preserve"> ETHYL 3-HEXENOATE</t>
  </si>
  <si>
    <t xml:space="preserve"> &amp;diams; ETHYL 3-HEXENOATE&lt;br /&gt;&amp;diams; 3-HEXENOIC ACID, ETHYL ESTER&lt;br /&gt;&amp;diams; ETHYL HYDROSORBATE</t>
  </si>
  <si>
    <t xml:space="preserve"> 64187-83-3</t>
  </si>
  <si>
    <t xml:space="preserve"> ETHYL CIS-3-HEXENOATE</t>
  </si>
  <si>
    <t xml:space="preserve"> &amp;diams; ETHYL 3-HEXENOATE, CIS-&lt;br /&gt;&amp;diams; ethyl 3-hexenoate, (Z)&lt;br /&gt;&amp;diams; ethyl cis-3-hexenoate&lt;br /&gt;&amp;diams; 3-hexenoic acid, ethyl ester, (3Z)-&lt;br /&gt;&amp;diams; 3-hexenoic acid, ethyl ester, (Z)-&lt;br /&gt;&amp;diams; InChI=1S/C8H14O2/c1-3-5-6-7-8(9)10-4-2/h5-6H,3-4,7H2,1-2H3/b6-5-&lt;br /&gt;&amp;diams; InChIKey: VTSFIPHRNAESED-WAYWQWQTSA-N</t>
  </si>
  <si>
    <t xml:space="preserve"> 54653-25-7</t>
  </si>
  <si>
    <t xml:space="preserve"> ETHYL 5-HEXENOATE</t>
  </si>
  <si>
    <t xml:space="preserve"> &amp;diams; ETHYL 5-HEXENOATE&lt;br /&gt;&amp;diams; 5-HEXENOIC ACID, ETHYL ESTER</t>
  </si>
  <si>
    <t xml:space="preserve"> 5444-75-7</t>
  </si>
  <si>
    <t xml:space="preserve"> 2-ETHYLHEXYL BENZOATE</t>
  </si>
  <si>
    <t xml:space="preserve"> &amp;diams; 2-ETHYLHEXYL BENZOATE&lt;br /&gt;&amp;diams; BENZOIC ACID, 2-ETHYLHEXYL ESTER&lt;br /&gt;&amp;diams; 1-hexanol, 2-ethyl-, benzoate&lt;br /&gt;&amp;diams; 2-ethyl-1-hexanal benzoate</t>
  </si>
  <si>
    <t xml:space="preserve"> 50448-95-8</t>
  </si>
  <si>
    <t xml:space="preserve"> 2-ETHYLHEXYL 3-MERCAPTOPROPIONATE</t>
  </si>
  <si>
    <t xml:space="preserve"> &amp;diams; 2-ETHYLHEXYL 3-MERCAPTOPROPIONATE&lt;br /&gt;&amp;diams; propanoic acid, 3-mercapto-, 3-ethylhexyl ester&lt;br /&gt;&amp;diams; 2-ethylhexyl beta-mercaptopropionate&lt;br /&gt;&amp;diams; 2-ethylhexyl 3-mercaptopropanoate</t>
  </si>
  <si>
    <t xml:space="preserve"> 94133-92-3</t>
  </si>
  <si>
    <t xml:space="preserve"> 1-ETHYLHEXYL TIGLATE</t>
  </si>
  <si>
    <t xml:space="preserve"> &amp;diams; 1-ETHYLHEXYL TIGLATE&lt;br /&gt;&amp;diams; 1-ETHYLHEXYL 2-METHYL-2-BUTENOATE, (E)-&lt;br /&gt;&amp;diams; 1-ETHYLHEXYL 2-METHYLCROTONATE&lt;br /&gt;&amp;diams; 3-OCTYL TIGLATE&lt;br /&gt;&amp;diams; 3-OCTYL TRANS-2-METHYL-2-BUTENOATE&lt;br /&gt;&amp;diams; 3-OCTYL 2-METHYLCROTONATE&lt;br /&gt;&amp;diams; 2-BUTENOIC ACID, 2-METHYL-, 1-ETHYLHEXYL ESTER, (E)-</t>
  </si>
  <si>
    <t xml:space="preserve"> 5405-41-4</t>
  </si>
  <si>
    <t xml:space="preserve"> ETHYL 3-HYDROXYBUTYRATE</t>
  </si>
  <si>
    <t xml:space="preserve"> &amp;diams; ETHYL 3-HYDROXYBUTYRATE&lt;br /&gt;&amp;diams; BUTANOIC ACID, 3-HYDROXY-, ETHYL ESTER&lt;br /&gt;&amp;diams; BUTYRIC ACID, 3-HYDROXY-, ETHYL ESTER&lt;br /&gt;&amp;diams; ETHYL 3-HYDROXYBUTANOATE&lt;br /&gt;&amp;diams; ETHYL BETA-HYDROXYBUTYRATE</t>
  </si>
  <si>
    <t xml:space="preserve"> 21835-01-8</t>
  </si>
  <si>
    <t xml:space="preserve"> 3-ETHYL-2-HYDROXY-2-CYCLOPENTEN-1-ONE</t>
  </si>
  <si>
    <t xml:space="preserve"> &amp;diams; 3-ETHYL-2-HYDROXY-2-CYCLOPENTEN-1-ONE&lt;br /&gt;&amp;diams; 3-ETHYL-2-CYCLOPENTEN-2-OL-1-ONE&lt;br /&gt;&amp;diams; 2-CYCLOPENTEN-1-ONE, 3-ETHYL-2-HYDROXY-</t>
  </si>
  <si>
    <t xml:space="preserve"> 75587-06-3</t>
  </si>
  <si>
    <t xml:space="preserve"> ETHYL 5-HYDROXYDECANOATE</t>
  </si>
  <si>
    <t xml:space="preserve"> &amp;diams; ETHYL 5-HYDROXYDECANOATE&lt;br /&gt;&amp;diams; decanoic acid, 5-hydroxy-, ethyl ester</t>
  </si>
  <si>
    <t xml:space="preserve"> 110-77-0</t>
  </si>
  <si>
    <t xml:space="preserve"> ETHYL 2-HYDROXYETHYL SULFIDE</t>
  </si>
  <si>
    <t xml:space="preserve"> &amp;diams; 2-(ETHYLTHIO)ETHANOL&lt;br /&gt;&amp;diams; 2-HYDROXYETHYL ETHYL SULFIDE&lt;br /&gt;&amp;diams; 2-(ETHYLMERCAPTO)ETHANOL&lt;br /&gt;&amp;diams; ethanol, 2-(ethylthio)-&lt;br /&gt;&amp;diams; InChI=1S/C4H10OS/c1-2-6-4-3-5/h5H,2-4H2,1H3&lt;br /&gt;&amp;diams; InChIKey: LNRIEBFNWGMXKP-UHFFFAOYSA-N</t>
  </si>
  <si>
    <t xml:space="preserve"> 2305-25-1</t>
  </si>
  <si>
    <t xml:space="preserve"> ETHYL 3-HYDROXYHEXANOATE</t>
  </si>
  <si>
    <t xml:space="preserve"> &amp;diams; ETHYL 3-HYDROXYHEXANOATE&lt;br /&gt;&amp;diams; ETHYL BETA-HYDROXYCAPROATE&lt;br /&gt;&amp;diams; HEXANOIC ACID, 3-HYDROXY-, ETHYL ESTER</t>
  </si>
  <si>
    <t xml:space="preserve"> 77-70-3</t>
  </si>
  <si>
    <t xml:space="preserve"> (+/-)-ETHYL 2-HYDROXY-2-METHYLBUTYRATE</t>
  </si>
  <si>
    <t xml:space="preserve"> &amp;diams; ETHYL 2-HYDROXY-2-METHYLBUTYRATE&lt;br /&gt;&amp;diams; butanoic acid, 2-hydroxy-2-methyl-, ethyl ester&lt;br /&gt;&amp;diams; ethyl 2-hydroxy-2-methylbutanoate&lt;br /&gt;&amp;diams; butyric acid, 2-hydroxy-2-methyl-, ethyl ester&lt;br /&gt;&amp;diams; ethyl 2-hydroxy-2-methylbutyrate, (+-)-&lt;br /&gt;&amp;diams; InChI=1S/C7H14O3/c1-4-7(3,9)6(8)10-5-2/h9H,4-5H2,1-3H3&lt;br /&gt;&amp;diams; InChIKey: KIYWRWLZHQZKKD-UHFFFAOYSA-N</t>
  </si>
  <si>
    <t xml:space="preserve"> 27372-03-8</t>
  </si>
  <si>
    <t xml:space="preserve"> (+/-)-ETHYL 3-HYDROXY-2-METHYLBUTYRATE</t>
  </si>
  <si>
    <t xml:space="preserve"> &amp;diams; ETHYL 3-HYDROXY-2-METHYLBUTYRATE&lt;br /&gt;&amp;diams; butanoic acid, 3-hydroxy-2-methyl-, ethyl ester&lt;br /&gt;&amp;diams; ethyl 3-hydroxy-2-methylbutanoate&lt;br /&gt;&amp;diams; butyric acid, 3-hydroxy-2-methyl-, ethyl ester</t>
  </si>
  <si>
    <t xml:space="preserve"> 42348-12-9</t>
  </si>
  <si>
    <t xml:space="preserve"> 3-ETHYL-2-HYDROXY-4-METHYLCYCLOPENT-2-EN-1-ONE</t>
  </si>
  <si>
    <t xml:space="preserve"> &amp;diams; 3-ETHYL-2-HYDROXY-4-METHYL-2-CYCLOPENTEN-1-ONE&lt;br /&gt;&amp;diams; 3-ETHYL-2-HYDROXY-4-METHYLCYCLOPENT-2-EN-1-ONE&lt;br /&gt;&amp;diams; 3-ETHYL-4-METHYLCYCLOTENE&lt;br /&gt;&amp;diams; 2-CYCLOPENTEN-1-ONE, 3-ETHYL-2-HYDROXY-4-METHYL-</t>
  </si>
  <si>
    <t xml:space="preserve"> 53263-58-4</t>
  </si>
  <si>
    <t xml:space="preserve"> 5-ETHYL-2-HYDROXY-3-METHYLCYCLOPENT-2-EN-1-ONE</t>
  </si>
  <si>
    <t xml:space="preserve"> &amp;diams; 5-ETHYL-2-HYDROXY-3-METHYL-2-CYCLOPENTEN-1-ONE&lt;br /&gt;&amp;diams; 2-CYCLOPENTEN-1-ONE, 5-ETHYL-2-HYDROXY-3-METHYL-&lt;br /&gt;&amp;diams; 5-ETHYL-2-HYDROXY-3-METHYLCYCLOPENT-2-EN-1-ONE&lt;br /&gt;&amp;diams; 5-ETHYL-3-METHYLCYCLOTENE</t>
  </si>
  <si>
    <t xml:space="preserve"> 27538-10-9</t>
  </si>
  <si>
    <t xml:space="preserve"> 2-ETHYL-4-HYDROXY-5-METHYL-3(2H)-FURANONE</t>
  </si>
  <si>
    <t xml:space="preserve"> &amp;diams; 2-ETHYL-4-HYDROXY-5-METHYL-3(2H)-FURANONE&lt;br /&gt;&amp;diams; 3(2H)-FURANONE, 2-ETHYL-4-HYDROXY-5-METHYL-</t>
  </si>
  <si>
    <t xml:space="preserve"> 698-10-2</t>
  </si>
  <si>
    <t xml:space="preserve"> 5-ETHYL-3-HYDROXY-4-METHYL-2(5H)-FURANONE</t>
  </si>
  <si>
    <t xml:space="preserve"> &amp;diams; 5-ETHYL-3-HYDROXY-4-METHYL-2(5H)-FURANONE&lt;br /&gt;&amp;diams; ABHEXONE&lt;br /&gt;&amp;diams; 2-ETHYL-3-METHYL-4-HYDROXYDIHYDRO-(2,5)-FURAN-5-ONE&lt;br /&gt;&amp;diams; 2-HYDROXY-3-METHYL-GAMMA-2-HEXENOLACTONE&lt;br /&gt;&amp;diams; 2,4-DIHYDROXY-3-METHYL-2-HEXENOIC ACID GAMMA-LACTONE&lt;br /&gt;&amp;diams; 2(5H)-FURANONE, 5-ETHYL-3-HYDROXY-4-METHYL-&lt;br /&gt;&amp;diams; 5-ETHYLSOTOLONE</t>
  </si>
  <si>
    <t xml:space="preserve"> 24323-38-4</t>
  </si>
  <si>
    <t xml:space="preserve"> (+/-)-ETHYL 2-HYDROXY-3-METHYLVALERATE</t>
  </si>
  <si>
    <t xml:space="preserve"> &amp;diams; ETHYL 2-HYDROXY-3-METHYLVALERATE&lt;br /&gt;&amp;diams; ETHYL 2-HYDROXY-3-METHYLPENTANOATE&lt;br /&gt;&amp;diams; PENTANOIC ACID, 2-HYDROXY-3-METHYL-, ETHYL ESTER&lt;br /&gt;&amp;diams; VALERIC ACID, 2-HYDROXY-3-METHYL-, ETHYL ESTER&lt;br /&gt;&amp;diams; InChI=1S/C8H16O3/c1-4-6(3)7(9)8(10)11-5-2/h6-7,9H,4-5H2,1-3H3&lt;br /&gt;&amp;diams; InChIKey: TXLBCYISDOYPIH-UHFFFAOYSA-N</t>
  </si>
  <si>
    <t xml:space="preserve"> 7367-90-0</t>
  </si>
  <si>
    <t xml:space="preserve"> ETHYL 3-HYDROXYOCTANOATE</t>
  </si>
  <si>
    <t xml:space="preserve"> &amp;diams; ETHYL 3-HYDROXYOCTANOATE&lt;br /&gt;&amp;diams; OCTANOIC ACID, 3-HYDROXY-, ETHYL ESTER&lt;br /&gt;&amp;diams; carpylic acid, beta-hydroxy-, ethyl ester&lt;br /&gt;&amp;diams; ethyl beta-hydroxycaprylate&lt;br /&gt;&amp;diams; InChI=1S/C10H20O3/c1-3-5-6-7-9(11)8-10(12)13-4-2/h9,11H,3-8H2,1-2H3&lt;br /&gt;&amp;diams; InChIKey: VGWUJHSTGYCXQQ-UHFFFAOYSA-N</t>
  </si>
  <si>
    <t xml:space="preserve"> 75587-05-2</t>
  </si>
  <si>
    <t xml:space="preserve"> ETHYL 5-HYDROXYOCTANOATE</t>
  </si>
  <si>
    <t xml:space="preserve"> &amp;diams; ETHYL 5-HYDROXYOCTANOATE&lt;br /&gt;&amp;diams; octanoic acid, 5-hydroxy-, ethyl ester</t>
  </si>
  <si>
    <t xml:space="preserve"> 15399-05-0</t>
  </si>
  <si>
    <t xml:space="preserve"> ETHYL 2-HYDROXY-3-PHENYLPROPIONATE</t>
  </si>
  <si>
    <t xml:space="preserve"> &amp;diams; ETHYL PHENYLLACTATE&lt;br /&gt;&amp;diams; benzenepropanoic acid, alpha-hydroxy-, ethyl ester&lt;br /&gt;&amp;diams; ethyl alpha-hydroxybenzenepropanoate&lt;br /&gt;&amp;diams; ethyl 2-hydroxy-3-phenylpropionate&lt;br /&gt;&amp;diams; lactic acid, 3-phenyl-, ethyl ester&lt;br /&gt;&amp;diams; ethyl 3-phenyllactate&lt;br /&gt;&amp;diams; ethyl 2-hydroxy-3-phenylpropanoate&lt;br /&gt;&amp;diams; ethyl alpha-hydroxyhydrocinnamate</t>
  </si>
  <si>
    <t xml:space="preserve"> 97-62-1</t>
  </si>
  <si>
    <t xml:space="preserve"> ETHYL ISOBUTYRATE</t>
  </si>
  <si>
    <t xml:space="preserve"> &amp;diams; ETHYL ISOBUTYRATE&lt;br /&gt;&amp;diams; ETHYL 2-METHYLPROPANOATE&lt;br /&gt;&amp;diams; PROPANOIC ACID, 2-METHYL-, ETHYL ESTER&lt;br /&gt;&amp;diams; ISOBUTYRIC ACID, ETHYL ESTER&lt;br /&gt;&amp;diams; ETHYL 2-METHYLPROPIONATE&lt;br /&gt;&amp;diams; ETHYL ISOBUTANOATE&lt;br /&gt;&amp;diams; ETHYL 2,2-DIMETHYLACETATE</t>
  </si>
  <si>
    <t xml:space="preserve"> 39711-79-0</t>
  </si>
  <si>
    <t xml:space="preserve"> N-ETHYL-2-ISOPROPYL-5-METHYLCYCLOHEXANE CARBOXAMIDE</t>
  </si>
  <si>
    <t xml:space="preserve"> &amp;diams; N-ETHYL-2-ISOPROPYL-5-METHYLCYCLOHEXANECARBOXAMIDE&lt;br /&gt;&amp;diams; CYCLOHEXANECARBOXAMIDE, N-ETHYL-5-METHYL-2-(1-METHYLETHYL)-&lt;br /&gt;&amp;diams; N-ETHYL-5-METHYL-2-(1-METHYLETHYL)CYCLOHEXANECARBOXAMIDE&lt;br /&gt;&amp;diams; N-ETHYL-P-MENTHANE-3-CARBOXAMIDE</t>
  </si>
  <si>
    <t xml:space="preserve"> 9, 18</t>
  </si>
  <si>
    <t xml:space="preserve"> 542-85-8</t>
  </si>
  <si>
    <t xml:space="preserve"> ETHYL ISOTHIOCYANATE</t>
  </si>
  <si>
    <t xml:space="preserve"> &amp;diams; ETHYL ISOTHIOCYANATE&lt;br /&gt;&amp;diams; ETHYL MUSTARD OIL&lt;br /&gt;&amp;diams; ethane, isothiocyanato-&lt;br /&gt;&amp;diams; isothiocyanatoethane&lt;br /&gt;&amp;diams; isothiocyanic acid, ethyl ester&lt;br /&gt;&amp;diams; InChI=1S/C3H5NS/c1-2-4-3-5/h2H2,1H3&lt;br /&gt;&amp;diams; InChIKey: HBNYJWAFDZLWRS-UHFFFAOYSA-N</t>
  </si>
  <si>
    <t xml:space="preserve"> 108-64-5</t>
  </si>
  <si>
    <t xml:space="preserve"> ETHYL ISOVALERATE</t>
  </si>
  <si>
    <t xml:space="preserve"> &amp;diams; ETHYL ISOVALERATE&lt;br /&gt;&amp;diams; ETHYL 3-METHYLBUTANOATE&lt;br /&gt;&amp;diams; ETHYL 3-METHYLBUTYRATE&lt;br /&gt;&amp;diams; ETHYL BETA-METHYLBUTYRATE&lt;br /&gt;&amp;diams; ETHYL ISOPENTANOATE&lt;br /&gt;&amp;diams; ETHYL ISOVALERIANATE&lt;br /&gt;&amp;diams; BUTANOIC ACID, 3-METHYL-, ETHYL ESTER&lt;br /&gt;&amp;diams; ISOVALERIC ACID, ETHYL ESTER</t>
  </si>
  <si>
    <t xml:space="preserve"> 97-64-3</t>
  </si>
  <si>
    <t xml:space="preserve"> ETHYL LACTATE</t>
  </si>
  <si>
    <t xml:space="preserve"> &amp;diams; ETHYL LACTATE&lt;br /&gt;&amp;diams; ETHYL ALPHA-HYDROXYPROPIONATE&lt;br /&gt;&amp;diams; ETHYL 2-HYDROXYPROPANOATE&lt;br /&gt;&amp;diams; ETHYL 2-HYDROXYPROPIONATE&lt;br /&gt;&amp;diams; PROPANOIC ACID, 2-HYDROXY-, ETHYL ESTER&lt;br /&gt;&amp;diams; LACTIC ACID, ETHYL ESTER</t>
  </si>
  <si>
    <t xml:space="preserve"> 106-33-2</t>
  </si>
  <si>
    <t xml:space="preserve"> ETHYL LAURATE</t>
  </si>
  <si>
    <t xml:space="preserve"> &amp;diams; ETHYL LAURATE&lt;br /&gt;&amp;diams; ETHYL DODECANOATE&lt;br /&gt;&amp;diams; ETHYL DODECYLATE&lt;br /&gt;&amp;diams; DODECANOIC ACID, ETHYL ESTER&lt;br /&gt;&amp;diams; LAURIC ACID, ETHYL ESTER</t>
  </si>
  <si>
    <t xml:space="preserve"> 539-88-8</t>
  </si>
  <si>
    <t xml:space="preserve"> ETHYL LEVULINATE</t>
  </si>
  <si>
    <t xml:space="preserve"> &amp;diams; ETHYL LEVULINATE&lt;br /&gt;&amp;diams; ETHYL 4-OXOPENTANOATE&lt;br /&gt;&amp;diams; ETHYL ACETYLPROPANOATE&lt;br /&gt;&amp;diams; ETHYL 4-KETOVALERATE&lt;br /&gt;&amp;diams; PENTANOIC ACID, 4-OXO-, ETHYL ESTER&lt;br /&gt;&amp;diams; LEVULINIC ACID, ETHYL ESTER</t>
  </si>
  <si>
    <t xml:space="preserve"> 5413-49-0</t>
  </si>
  <si>
    <t xml:space="preserve"> ETHYL LEVULINATE PROPYLENEGLYCOL KETAL</t>
  </si>
  <si>
    <t xml:space="preserve"> &amp;diams; ETHYL LEVULINATE PROPYLENE GLYCOL KETAL&lt;br /&gt;&amp;diams; 1,3-dioxolane-2-propanoic acid, 2,4-dimethyl-, ethyl ester&lt;br /&gt;&amp;diams; 1,3-dioxolane-2-propionic acid, 2,4-dimethyl-, ethyl ester&lt;br /&gt;&amp;diams; ethyl 2,4-dimethyl-1,3-dioxolane-2-propanoate&lt;br /&gt;&amp;diams; ethyl 2,4-dimethyl-1,3-dioxolane-2-propionate&lt;br /&gt;&amp;diams; InChI=1S/C10H18O4/c1-4-12-9(11)5-6-10(3)13-7-8(2)14-10/h8H,4-7H2,1-3H3&lt;br /&gt;&amp;diams; InChIKey: IAZAUEBWBHMDGV-UHFFFAOYSA-N</t>
  </si>
  <si>
    <t xml:space="preserve"> 72845-33-1</t>
  </si>
  <si>
    <t xml:space="preserve"> ETHYL LINALYL ETHER</t>
  </si>
  <si>
    <t xml:space="preserve"> &amp;diams; LINALOOL ETHYL ETHER&lt;br /&gt;&amp;diams; 1,6-octadiene, 3-ethoxy-3,7-dimethyl-&lt;br /&gt;&amp;diams; 3-ethoxy-3,7-dimethyl-1,6-octadiene&lt;br /&gt;&amp;diams; ether, 1,5-dimethyl-1-vinyl-4-hexenyl ethyl&lt;br /&gt;&amp;diams; 1,5-dimethyl-1-vinyl-4-hexenyl ethyl ether&lt;br /&gt;&amp;diams; ethyl linalyl ether&lt;br /&gt;&amp;diams; InChI=1S/C12H22O/c1-6-12(5,13-7-2)10-8-9-11(3)4/h6,9H,1,7-8,10H2,2-5H3&lt;br /&gt;&amp;diams; InChIKey: GSFBRCUXDDCNKV-UHFFFAOYSA-N</t>
  </si>
  <si>
    <t xml:space="preserve"> 4940-11-8</t>
  </si>
  <si>
    <t xml:space="preserve"> ETHYL MALTOL</t>
  </si>
  <si>
    <t xml:space="preserve"> &amp;diams; 2-ETHYL-3-HYDROXY-4-PYRONE&lt;br /&gt;&amp;diams; ETHYL MALTOL&lt;br /&gt;&amp;diams; MALTOL, ETHYL&lt;br /&gt;&amp;diams; 2-ETHYL-3-HYDROXY-4H-PYRAN-4-ONE&lt;br /&gt;&amp;diams; 2-ETHYLPYROMECONIC ACID&lt;br /&gt;&amp;diams; 3-HYDROXY-2-ETHYL-1,4-PYRONE&lt;br /&gt;&amp;diams; 3-HYDROXY-2-ETHYL-GAMMA-PYRONE&lt;br /&gt;&amp;diams; 4H-PYRAN-4-ONE, 2-ETHYL-3-HYDROXY-</t>
  </si>
  <si>
    <t xml:space="preserve"> COLOR OR COLORING ADJUNCT,&lt;br /&gt; FLAVORING AGENT OR ADJUVANT,&lt;br /&gt; PROCESSING AID</t>
  </si>
  <si>
    <t xml:space="preserve"> 852997-28-5</t>
  </si>
  <si>
    <t xml:space="preserve"> ETHYL MALTOL ISOBUTYRATE</t>
  </si>
  <si>
    <t xml:space="preserve"> &amp;diams; ETHYL MALTOL ISOBUTYRATE&lt;br /&gt;&amp;diams; propanoic acid, 2-methyl-, 2-ethyl-4-oxo-4H-pyran-3-yl ester&lt;br /&gt;&amp;diams; 2-ethyl-4-oxo-4H-pyran-3-yl 2-methylpropanoate</t>
  </si>
  <si>
    <t xml:space="preserve"> 156472-94-5</t>
  </si>
  <si>
    <t xml:space="preserve"> ETHYL 3-MERCAPTOBUTYRATE</t>
  </si>
  <si>
    <t xml:space="preserve"> &amp;diams; ETHYL 3-MERCAPTOBUTYRATE&lt;br /&gt;&amp;diams; BUTANOIC ACID, 3-MERCAPTO-, ETHYL ESTER&lt;br /&gt;&amp;diams; ETHYL 3-MERCAPTOBUTANOATE, (+-)-</t>
  </si>
  <si>
    <t xml:space="preserve"> 888021-82-7</t>
  </si>
  <si>
    <t xml:space="preserve"> (+/-)-ETHYL 3-MERCAPTO-2-METHYLBUTANOATE</t>
  </si>
  <si>
    <t xml:space="preserve"> 33441-50-8</t>
  </si>
  <si>
    <t xml:space="preserve"> ETHYL 2-MERCAPTO-2-METHYLPROPIONATE</t>
  </si>
  <si>
    <t xml:space="preserve"> &amp;diams; ETHYL 2-MERCAPTO-2-METHYLPROPIONATE&lt;br /&gt;&amp;diams; ethyl 2-mercapto-2-methylpropanoate&lt;br /&gt;&amp;diams; propanoic acid, 2-mercapto-2-methyl-, ethyl ester&lt;br /&gt;&amp;diams; propionic acid, 2-mercapto-2-methyl-, ethyl ester</t>
  </si>
  <si>
    <t xml:space="preserve"> 19788-49-9</t>
  </si>
  <si>
    <t xml:space="preserve"> ETHYL 2-MERCAPTOPROPIONATE</t>
  </si>
  <si>
    <t xml:space="preserve"> &amp;diams; ETHYL 2-MERCAPTOPROPIONATE&lt;br /&gt;&amp;diams; ETHYL 2-MERCAPTOPROPANOATE&lt;br /&gt;&amp;diams; ETHYL THIOLACTATE&lt;br /&gt;&amp;diams; ETHYL ALPHA-MERCAPTOPROPIONATE&lt;br /&gt;&amp;diams; PROPANOIC ACID, 2-MERCAPTO-, ETHYL ESTER&lt;br /&gt;&amp;diams; PROPIONIC ACID, 2-MERCAPTO-, ETHYL ESTER</t>
  </si>
  <si>
    <t xml:space="preserve"> 5466-06-8</t>
  </si>
  <si>
    <t xml:space="preserve"> ETHYL 3-MERCAPTOPROPIONATE</t>
  </si>
  <si>
    <t xml:space="preserve"> &amp;diams; ETHYL 3-MERCAPTOPROPIONATE&lt;br /&gt;&amp;diams; ETHYL BETA-MERCAPTOPROPIONATE&lt;br /&gt;&amp;diams; ETHYL 3-THIOPROPIONATE&lt;br /&gt;&amp;diams; ETHYL 3-MERCAPTOPROPANOATE&lt;br /&gt;&amp;diams; PROPANOIC ACID, 3-MERCAPTO-, ETHYL ESTER&lt;br /&gt;&amp;diams; PROPIONIC ACID, 3-MERCAPTO-, ETHYL ESTER</t>
  </si>
  <si>
    <t xml:space="preserve"> 35472-56-1</t>
  </si>
  <si>
    <t xml:space="preserve"> ETHYL N-METHYLANTHRANILATE</t>
  </si>
  <si>
    <t xml:space="preserve"> &amp;diams; ETHYL N-METHYLANTHRANILATE&lt;br /&gt;&amp;diams; ETHYL 2-(METHYLAMINO)BENZOATE&lt;br /&gt;&amp;diams; benzoic acid, 2-(methylamino)-, ethyl ester&lt;br /&gt;&amp;diams; anthranilic acid, N-methyl-, ethyl ester</t>
  </si>
  <si>
    <t xml:space="preserve"> 7452-79-1</t>
  </si>
  <si>
    <t xml:space="preserve"> ETHYL 2-METHYLBUTYRATE</t>
  </si>
  <si>
    <t xml:space="preserve"> &amp;diams; ETHYL 2-METHYLBUTYRATE&lt;br /&gt;&amp;diams; BUTANOIC ACID, 2-METHYL-, ETHYL ESTER&lt;br /&gt;&amp;diams; BUTYRIC ACID, 2-METHYL-, ETHYL ESTER&lt;br /&gt;&amp;diams; ETHYL 2-METHYLBUTANOATE&lt;br /&gt;&amp;diams; ETHYL ALPHA-METHYLBUTYRATE</t>
  </si>
  <si>
    <t xml:space="preserve"> 20333-39-5</t>
  </si>
  <si>
    <t xml:space="preserve"> ETHYL METHYL DISULFIDE</t>
  </si>
  <si>
    <t xml:space="preserve"> &amp;diams; ETHYL METHYL DISULFIDE&lt;br /&gt;&amp;diams; disulfide, ethyl methyl&lt;br /&gt;&amp;diams; 2,3-dithiapentane&lt;br /&gt;&amp;diams; methyldisulfanylethane</t>
  </si>
  <si>
    <t xml:space="preserve"> 23747-43-5</t>
  </si>
  <si>
    <t xml:space="preserve"> ETHYL 2-(METHYLDITHIO)PROPIONATE</t>
  </si>
  <si>
    <t xml:space="preserve"> &amp;diams; ETHYL 2-(METHYLDITHIO)PROPIONATE&lt;br /&gt;&amp;diams; ETHYL 2-(METHYLDITHIO)PROPANOATE&lt;br /&gt;&amp;diams; PROPANOIC ACID, 2-(METHYLDITHIO)-, ETHYL ESTER&lt;br /&gt;&amp;diams; PROPIONIC ACID, 2-(METHYLDITHIO)-, ETHYL ESTER</t>
  </si>
  <si>
    <t xml:space="preserve"> 60523-21-9</t>
  </si>
  <si>
    <t xml:space="preserve"> ETHYL 2-METHYL-3,4-PENTADIENOATE</t>
  </si>
  <si>
    <t xml:space="preserve"> &amp;diams; ETHYL 2-METHYL-3,4-PENTADIENOATE&lt;br /&gt;&amp;diams; 3,4-PENTADIENOIC ACID, 2-METHYL-, ETHYL ESTER</t>
  </si>
  <si>
    <t xml:space="preserve"> 39255-32-8</t>
  </si>
  <si>
    <t xml:space="preserve"> ETHYL 2-METHYLPENTANOATE</t>
  </si>
  <si>
    <t xml:space="preserve"> &amp;diams; ETHYL 2-METHYLVALERATE&lt;br /&gt;&amp;diams; ETHYL 2-METHYLPENTANOATE&lt;br /&gt;&amp;diams; ETHYL ALPHA-METHYLVALERATE&lt;br /&gt;&amp;diams; PENTANOIC ACID, 2-METHYL-, ETHYL ESTER</t>
  </si>
  <si>
    <t xml:space="preserve"> 5870-68-8</t>
  </si>
  <si>
    <t xml:space="preserve"> ETHYL 3-METHYLPENTANOATE</t>
  </si>
  <si>
    <t xml:space="preserve"> &amp;diams; ETHYL 3-METHYLVALERATE&lt;br /&gt;&amp;diams; ETHYL BETA-METHYLVALERATE&lt;br /&gt;&amp;diams; ETHYL 3-METHYLPENTANOATE&lt;br /&gt;&amp;diams; PENTANOIC ACID, 3-METHYL-, ETHYL ESTER&lt;br /&gt;&amp;diams; VALERIC ACID, 3-METHYL-, ETHYL ESTER</t>
  </si>
  <si>
    <t xml:space="preserve"> 25415-67-2</t>
  </si>
  <si>
    <t xml:space="preserve"> ETHYL 4-METHYLPENTANOATE</t>
  </si>
  <si>
    <t xml:space="preserve"> &amp;diams; ETHYL 4-METHYLVALERATE&lt;br /&gt;&amp;diams; InChI=1S/C8H16O2/c1-4-10-8(9)6-5-7(2)3/h7H,4-6H2,1-3H3&lt;br /&gt;&amp;diams; InChIKey: OFQRUTMGVBMTFQ-UHFFFAOYSA-N&lt;br /&gt;&amp;diams; pentanoic acid, 4-methyl-, ethyl ester&lt;br /&gt;&amp;diams; valeric acid, 4-methyl-, ethyl ester&lt;br /&gt;&amp;diams; ethyl isocaproate&lt;br /&gt;&amp;diams; ethyl isohexanoate</t>
  </si>
  <si>
    <t xml:space="preserve"> 1617-23-8</t>
  </si>
  <si>
    <t xml:space="preserve"> ETHYL 2-METHYL-3-PENTENOATE</t>
  </si>
  <si>
    <t xml:space="preserve"> &amp;diams; ETHYL 2-METHYL-3-PENTENOATE&lt;br /&gt;&amp;diams; 3-PENTENOIC ACID, 2-METHYL-, ETHYL ESTER</t>
  </si>
  <si>
    <t xml:space="preserve"> 53399-81-8</t>
  </si>
  <si>
    <t xml:space="preserve"> ETHYL 2-METHYL-4-PENTENOATE</t>
  </si>
  <si>
    <t xml:space="preserve"> &amp;diams; ETHYL 2-METHYL-4-PENTENOATE&lt;br /&gt;&amp;diams; 4-PENTENOIC ACID, 2-METHYL-, ETHYL ESTER</t>
  </si>
  <si>
    <t xml:space="preserve"> 13360-64-0</t>
  </si>
  <si>
    <t xml:space="preserve"> 2-ETHYL-5-METHYLPYRAZINE</t>
  </si>
  <si>
    <t xml:space="preserve"> &amp;diams; 2-ETHYL-5-METHYLPYRAZINE&lt;br /&gt;&amp;diams; PYRAZINE, 2-ETHYL-5-METHYL-&lt;br /&gt;&amp;diams; 2-METHYL-5-ETHYLPYRAZINE</t>
  </si>
  <si>
    <t xml:space="preserve"> 13925-03-6</t>
  </si>
  <si>
    <t xml:space="preserve"> 2-ETHYL-6-METHYLPYRAZINE</t>
  </si>
  <si>
    <t xml:space="preserve"> &amp;diams; 2-ETHYL-6-METHYLPYRAZINE&lt;br /&gt;&amp;diams; PYRAZINE, 2-ETHYL-6-METHYL-&lt;br /&gt;&amp;diams; 2-METHYL-6-ETHYLPYRAZINE&lt;br /&gt;&amp;diams; 6-METHYL-2-ETHYLPYRAZINE</t>
  </si>
  <si>
    <t xml:space="preserve"> 15707-23-0</t>
  </si>
  <si>
    <t xml:space="preserve"> 3-ETHYL-2-METHYLPYRAZINE</t>
  </si>
  <si>
    <t xml:space="preserve"> &amp;diams; 2-ETHYL-3-METHYLPYRAZINE&lt;br /&gt;&amp;diams; PYRAZINE, 2-ETHYL-3-METHYL-&lt;br /&gt;&amp;diams; 2-METHYL-3-ETHYLPYRAZINE&lt;br /&gt;&amp;diams; 3-ETHYL-2-METHYLPYRAZINE</t>
  </si>
  <si>
    <t xml:space="preserve"> 104-90-5</t>
  </si>
  <si>
    <t xml:space="preserve"> 5-ETHYL-2-METHYLPYRIDINE</t>
  </si>
  <si>
    <t xml:space="preserve"> &amp;diams; 5-ETHYL-2-METHYLPYRIDINE&lt;br /&gt;&amp;diams; PYRIDINE, 5-ETHYL-2-METHYL-&lt;br /&gt;&amp;diams; 2-METHYL-5-ETHYLPYRIDINE&lt;br /&gt;&amp;diams; 2-PICOLINE, 5-ETHYL-&lt;br /&gt;&amp;diams; 5-ETHYL-2-PICOLINE</t>
  </si>
  <si>
    <t xml:space="preserve"> 15679-12-6</t>
  </si>
  <si>
    <t xml:space="preserve"> 2-ETHYL-4-METHYLTHIAZOLE</t>
  </si>
  <si>
    <t xml:space="preserve"> &amp;diams; 2-ETHYL-4-METHYLTHIAZOLE&lt;br /&gt;&amp;diams; THIAZOLE, 2-ETHYL-4-METHYL-</t>
  </si>
  <si>
    <t xml:space="preserve"> 19961-52-5</t>
  </si>
  <si>
    <t xml:space="preserve"> 5-ETHYL-2-METHYLTHIAZOLE</t>
  </si>
  <si>
    <t xml:space="preserve"> &amp;diams; 5-ETHYL-2-METHYLTHIAZOLE&lt;br /&gt;&amp;diams; THIAZOLE, 5-ETHYL-2-METHYL-&lt;br /&gt;&amp;diams; 2-METHYL-5-ETHYLTHIAZOLE&lt;br /&gt;&amp;diams; InChI=1S/C6H9NS/c1-3-6-4-7-5(2)8-6/h4H,3H2,1-2H3&lt;br /&gt;&amp;diams; InChIKey: JIZHATVFRZONHT-UHFFFAOYSA-N</t>
  </si>
  <si>
    <t xml:space="preserve"> 4455-13-4</t>
  </si>
  <si>
    <t xml:space="preserve"> ETHYL 2-(METHYLTHIO)ACETATE</t>
  </si>
  <si>
    <t xml:space="preserve"> &amp;diams; ETHYL (METHYLTHIO)ACETATE&lt;br /&gt;&amp;diams; ACETIC ACID, (METHYLTHIO)-, ETHYL ESTER&lt;br /&gt;&amp;diams; ETHYL 2-(METHYLTHIO)ACETATE</t>
  </si>
  <si>
    <t xml:space="preserve"> 233665-96-8</t>
  </si>
  <si>
    <t xml:space="preserve"> ETHYL 3-(METHYLTHIO)BUTYRATE</t>
  </si>
  <si>
    <t xml:space="preserve"> &amp;diams; ETHYL 3-(METHYLTHIO)BUTYRATE&lt;br /&gt;&amp;diams; BUTANOIC ACID, 3-(METHYLTHIO)-, ETHYL ESTER&lt;br /&gt;&amp;diams; ETHYL 3-(METHYLTHIO)BUTANOATE</t>
  </si>
  <si>
    <t xml:space="preserve"> 22014-48-8</t>
  </si>
  <si>
    <t xml:space="preserve"> ETHYL 4-(METHYLTHIO) BUTYRATE</t>
  </si>
  <si>
    <t xml:space="preserve"> &amp;diams; ETHYL 4-(METHYLTHIO)BUTYRATE&lt;br /&gt;&amp;diams; BUTANOIC ACID, 4-(METHYLTHIO)-, ETHYL ESTER&lt;br /&gt;&amp;diams; BUTYRIC ACID, 4-(METHYLTHIO)-, ETHYL ESTER&lt;br /&gt;&amp;diams; ETHYL 4-(METHYLTHIO)BUTANOATE</t>
  </si>
  <si>
    <t xml:space="preserve"> 136115-66-7</t>
  </si>
  <si>
    <t xml:space="preserve"> ETHYL 3-(METHYLTHIO)-CIS-2-PROPENOATE</t>
  </si>
  <si>
    <t xml:space="preserve"> &amp;diams; ETHYL 3-(METHYLTHIO)-2-PROPENOATE, CIS-&lt;br /&gt;&amp;diams; 2-propenoic acid, 3-(methylthio)-, ethyl ester, (Z-)&lt;br /&gt;&amp;diams; ethyl 3-(methylthio)-2-propenoate, (Z)-&lt;br /&gt;&amp;diams; 2-propenoic acid, 3-(methylthio)-, ethyl ester&lt;br /&gt;&amp;diams; InChI=1S/C6H10O2S/c1-3-8-6(7)4-5-9-2/h4-5H,3H2,1-2H3/b5-4-&lt;br /&gt;&amp;diams; InChIKey: DNNJFSSUXIAKAI-PLNGDYQASA-N</t>
  </si>
  <si>
    <t xml:space="preserve"> 77105-51-2</t>
  </si>
  <si>
    <t xml:space="preserve"> ETHYL 3-(METHYLTHIO)-2-PROPENOATE</t>
  </si>
  <si>
    <t xml:space="preserve"> &amp;diams; ETHYL 3-(METHYLTHIO)-2-PROPENOATE&lt;br /&gt;&amp;diams; 2-propenoic acid, 3-(methylthio)-, ethyl ester</t>
  </si>
  <si>
    <t xml:space="preserve"> 13327-56-5</t>
  </si>
  <si>
    <t xml:space="preserve"> ETHYL 3-METHYLTHIOPROPIONATE</t>
  </si>
  <si>
    <t xml:space="preserve"> &amp;diams; ETHYL 3-(METHYLTHIO)PROPIONATE&lt;br /&gt;&amp;diams; ETHYL 3-(METHYLTHIO)PROPANOATE&lt;br /&gt;&amp;diams; ETHYL 3-METHYLMERCAPTOPROPIONATE&lt;br /&gt;&amp;diams; ETHYL 3-METHYLTHIOPROPIONATE&lt;br /&gt;&amp;diams; ETHYL BETA-METHYLTHIOPROPIONATE&lt;br /&gt;&amp;diams; PROPANOIC ACID, 3-(METHYLTHIO)-, ETHYL ESTER&lt;br /&gt;&amp;diams; PROPIONIC ACID, 3-(METHYLTHIO)-, ETHYL ESTER</t>
  </si>
  <si>
    <t xml:space="preserve"> 72987-62-3</t>
  </si>
  <si>
    <t xml:space="preserve"> 2-ETHYL-3-METHYLTHIOPYRAZINE</t>
  </si>
  <si>
    <t xml:space="preserve"> &amp;diams; 2-ETHYL-3-(METHYLTHIO)PYRAZINE&lt;br /&gt;&amp;diams; pyrazine, 2-ethyl-3-(methylthio)-&lt;br /&gt;&amp;diams; 2-(methylthio)-3-ethylpyrazine</t>
  </si>
  <si>
    <t xml:space="preserve"> 136115-65-6</t>
  </si>
  <si>
    <t xml:space="preserve"> ETHYL 3-(METHYLTHIO)-TRANS-2-PROPENOATE</t>
  </si>
  <si>
    <t xml:space="preserve"> &amp;diams; ETHYL 3-(METHYLTHIO)-2-PROPENOATE, TRANS-&lt;br /&gt;&amp;diams; 2-propenoic acid, 3-(methylthio)-, ethyl ester, (2E)-&lt;br /&gt;&amp;diams; 2-propenoic acid, 3-(methylthio)-, ethyl ester, (E-)&lt;br /&gt;&amp;diams; ethyl 3-(methylthio)-2-propenoate, (2E)-&lt;br /&gt;&amp;diams; ethyl 3-(methylthio)-2-propenoate, (E)-&lt;br /&gt;&amp;diams; 136115-65-6&lt;br /&gt;&amp;diams; InChI=1S/C6H10O2S/c1-3-8-6(7)4-5-9-2/h4-5H,3H2,1-2H3/b5-4+&lt;br /&gt;&amp;diams; InChIKey: DNNJFSSUXIAKAI-SNAWJCMRSA-N</t>
  </si>
  <si>
    <t xml:space="preserve"> 233665-98-0</t>
  </si>
  <si>
    <t xml:space="preserve"> ETHYL 5-(METHYLTHIO)VALERATE</t>
  </si>
  <si>
    <t xml:space="preserve"> &amp;diams; ETHYL 5-(METHYLTHIO)VALERATE&lt;br /&gt;&amp;diams; ETHYL 5-(METHYLTHIO)PENTANOATE&lt;br /&gt;&amp;diams; PENTANOIC ACID, 5-(METHYLTHIO)-, ETHYL ESTER</t>
  </si>
  <si>
    <t xml:space="preserve"> 74367-97-8</t>
  </si>
  <si>
    <t xml:space="preserve"> ETHYL METHYL-P-TOLYLGLYCIDATE</t>
  </si>
  <si>
    <t xml:space="preserve"> &amp;diams; ETHYL 3-METHYL-3-(P-TOLYL)GLYCIDATE&lt;br /&gt;&amp;diams; ETHYL 3-METHYL-3-(4-METHYLPHENYL)OXIRANECARBOXYLATE&lt;br /&gt;&amp;diams; ETHYL METHYL-P-TOLYLGLYCIDATE&lt;br /&gt;&amp;diams; ETHYL METHYL-P-METHYLPHENYLGLYCIDATE&lt;br /&gt;&amp;diams; OXIRANECARBOXYLIC ACID, 3-METHYL-3-(4-METHYLPHENYL)-, ETHYL ESTER</t>
  </si>
  <si>
    <t xml:space="preserve"> 977044-47-5</t>
  </si>
  <si>
    <t xml:space="preserve"> 2-ETHYL-(3 OR 5 OR 6)-MOP(85%) AND 2-METHYL-(3 OR 5 OR 6)-MOP(13%)</t>
  </si>
  <si>
    <t xml:space="preserve"> &amp;diams; 2-ETHYL-3(OR 5 OR 6)-MOP AND 2-METHYL-3(OR 5 OR 6)-MOP</t>
  </si>
  <si>
    <t xml:space="preserve"> 124-06-1</t>
  </si>
  <si>
    <t xml:space="preserve"> ETHYL MYRISTATE</t>
  </si>
  <si>
    <t xml:space="preserve"> &amp;diams; ETHYL MYRISTATE&lt;br /&gt;&amp;diams; ETHYL TETRADECANOATE&lt;br /&gt;&amp;diams; TETRADECANOIC ACID, ETHYL ESTER&lt;br /&gt;&amp;diams; MYRISTIC ACID, ETHYL ESTER</t>
  </si>
  <si>
    <t xml:space="preserve"> 109-95-5</t>
  </si>
  <si>
    <t xml:space="preserve"> ETHYL NITRITE</t>
  </si>
  <si>
    <t xml:space="preserve"> &amp;diams; ETHYL NITRITE&lt;br /&gt;&amp;diams; NITROUS ETHER&lt;br /&gt;&amp;diams; NITROUS ACID, ETHYL ESTER&lt;br /&gt;&amp;diams; SWEET SPIRIT OF NITRE&lt;br /&gt;&amp;diams; SPIRIT OF NITROUS ETHER&lt;br /&gt;&amp;diams; SPIRIT OF ETHYL NITRITE&lt;br /&gt;&amp;diams; NITROSYL ETHOXIDE&lt;br /&gt;&amp;diams; ETHYL NITRITE SPIRIT</t>
  </si>
  <si>
    <t xml:space="preserve"> 608514-56-3</t>
  </si>
  <si>
    <t xml:space="preserve"> N-ETHYL TRANS-2-CIS-6-NONADIENAMIDE</t>
  </si>
  <si>
    <t xml:space="preserve"> &amp;diams; N-ETHYL-2,6-NONADIENAMIDE, (2E,6Z)-&lt;br /&gt;&amp;diams; 2,6-nonadienamide, N-ethyl-, (2E,6Z)-&lt;br /&gt;&amp;diams; N-ethyl 2,6-nonadienamide, trans,cis-&lt;br /&gt;&amp;diams; N-ethyl 2-trans,6-cis-nonadienamide</t>
  </si>
  <si>
    <t xml:space="preserve"> 123-29-5</t>
  </si>
  <si>
    <t xml:space="preserve"> ETHYL NONANOATE</t>
  </si>
  <si>
    <t xml:space="preserve"> &amp;diams; ETHYL NONANOATE&lt;br /&gt;&amp;diams; ETHYL PELARGONATE&lt;br /&gt;&amp;diams; ETHYL NONYLATE&lt;br /&gt;&amp;diams; WINE ETHER&lt;br /&gt;&amp;diams; NONANOIC ACID, ETHYL ESTER</t>
  </si>
  <si>
    <t xml:space="preserve"> 10031-92-2</t>
  </si>
  <si>
    <t xml:space="preserve"> ETHYL 2-NONYNOATE</t>
  </si>
  <si>
    <t xml:space="preserve"> &amp;diams; ETHYL NONYNOATE&lt;br /&gt;&amp;diams; ETHYL OCTYNE CARBONATE&lt;br /&gt;&amp;diams; ETHYL 2-NONYNOATE&lt;br /&gt;&amp;diams; 2-NONYNOIC ACID, ETHYL ESTER</t>
  </si>
  <si>
    <t xml:space="preserve"> 111-61-5</t>
  </si>
  <si>
    <t xml:space="preserve"> ETHYL OCTADECANOATE</t>
  </si>
  <si>
    <t xml:space="preserve"> &amp;diams; ETHYL STEARATE&lt;br /&gt;&amp;diams; ETHYL OCTADECANOATE&lt;br /&gt;&amp;diams; OCTADECANOIC ACID, ETHYL ESTER&lt;br /&gt;&amp;diams; STEARIC ACID, ETHYL ESTER</t>
  </si>
  <si>
    <t xml:space="preserve"> 69925-33-3</t>
  </si>
  <si>
    <t xml:space="preserve"> ETHYL CIS-4,7-OCTADIENOATE</t>
  </si>
  <si>
    <t xml:space="preserve"> &amp;diams; ETHYL CIS-4,7-OCTADIENOATE&lt;br /&gt;&amp;diams; ETHYL (Z)-4,7-OCTADIENOATE&lt;br /&gt;&amp;diams; 4,7-OCTADIENOIC ACID, ETHYL ESTER, (Z)-</t>
  </si>
  <si>
    <t xml:space="preserve"> 58475-04-0</t>
  </si>
  <si>
    <t xml:space="preserve"> (+/-)-4-ETHYLOCTANAL</t>
  </si>
  <si>
    <t xml:space="preserve"> &amp;diams; 4-ETHYLOCTANAL&lt;br /&gt;&amp;diams; octanal, 4-ethyl-</t>
  </si>
  <si>
    <t xml:space="preserve"> 106-32-1</t>
  </si>
  <si>
    <t xml:space="preserve"> ETHYL OCTANOATE</t>
  </si>
  <si>
    <t xml:space="preserve"> &amp;diams; ETHYL OCTANOATE&lt;br /&gt;&amp;diams; ETHYL CAPRYLATE&lt;br /&gt;&amp;diams; ETHYL OCTYLATE&lt;br /&gt;&amp;diams; OCTANOIC ACID, ETHYL ESTER</t>
  </si>
  <si>
    <t xml:space="preserve"> 16493-80-4</t>
  </si>
  <si>
    <t xml:space="preserve"> 4-ETHYLOCTANOIC ACID</t>
  </si>
  <si>
    <t xml:space="preserve"> &amp;diams; 4-ETHYLOCTANOIC ACID&lt;br /&gt;&amp;diams; OCTANOIC ACID, 4-ETHYL-&lt;br /&gt;&amp;diams; 4-ETHYLCAPRYLIC ACID</t>
  </si>
  <si>
    <t xml:space="preserve"> 7367-82-0</t>
  </si>
  <si>
    <t xml:space="preserve"> ETHYL TRANS-2-OCTENOATE</t>
  </si>
  <si>
    <t xml:space="preserve"> &amp;diams; ETHYL 2-OCTENOATE, TRANS-&lt;br /&gt;&amp;diams; ETHYL (E)-2-OCTENOATE&lt;br /&gt;&amp;diams; ETHYL 2-OCTENOATE, (E)-&lt;br /&gt;&amp;diams; ETHYL TRANS-2-OCTENOATE&lt;br /&gt;&amp;diams; 2-OCTENOIC ACID, ETHYL ESTER, (2E)-</t>
  </si>
  <si>
    <t xml:space="preserve"> 1117-65-3</t>
  </si>
  <si>
    <t xml:space="preserve"> ETHYL 3-OCTENOATE</t>
  </si>
  <si>
    <t xml:space="preserve"> &amp;diams; ETHYL 3-OCTENOATE&lt;br /&gt;&amp;diams; 3-octenoic acid, ethyl ester&lt;br /&gt;&amp;diams; InChI=1S/C10H18O2/c1-3-5-6-7-8-9-10(11)12-4-2/h8-9H,3-7H2,1-2H3&lt;br /&gt;&amp;diams; InChIKey: AISZSTYLOVXFII-UHFFFAOYSA-N</t>
  </si>
  <si>
    <t xml:space="preserve"> 34495-71-1</t>
  </si>
  <si>
    <t xml:space="preserve"> ETHYL CIS-4-OCTENOATE</t>
  </si>
  <si>
    <t xml:space="preserve"> &amp;diams; ETHYL CIS-4-OCTENOATE&lt;br /&gt;&amp;diams; 4-OCTENOIC ACID, ETHYL ESTER, (Z)-</t>
  </si>
  <si>
    <t xml:space="preserve"> 111-62-6</t>
  </si>
  <si>
    <t xml:space="preserve"> ETHYL OLEATE</t>
  </si>
  <si>
    <t xml:space="preserve"> &amp;diams; ETHYL OLEATE&lt;br /&gt;&amp;diams; ETHYL CIS-9-OCTADECENOATE&lt;br /&gt;&amp;diams; 9-OCTADECENOIC ACID (Z)-, ETHYL ESTER&lt;br /&gt;&amp;diams; OLEIC ACID, ETHYL ESTER&lt;br /&gt;&amp;diams; ETHYL 9-OCTADECENOATE, (Z)-</t>
  </si>
  <si>
    <t xml:space="preserve"> 27043-05-6</t>
  </si>
  <si>
    <t xml:space="preserve"> 2-ETHYL-3,(5 OR 6)-DIMETHYLPYRAZINE</t>
  </si>
  <si>
    <t xml:space="preserve"> &amp;diams; 2-ETHYL-3,5(OR 6)-DIMETHYLPYRAZINE&lt;br /&gt;&amp;diams; PYRAZINE, 2-ETHYL-3,?-DIMETHYL-</t>
  </si>
  <si>
    <t xml:space="preserve"> 93919-00-7</t>
  </si>
  <si>
    <t xml:space="preserve"> ETHYL 5-OXODECANOATE</t>
  </si>
  <si>
    <t xml:space="preserve"> &amp;diams; ETHYL 5-OXODECANOATE&lt;br /&gt;&amp;diams; decanoic acid, 5-oxo-, ethyl ester&lt;br /&gt;&amp;diams; InChI=1S/C12H22O3/c1-3-5-6-8-11(13)9-7-10-12(14)15-4-2/h3-10H2,1-2H3&lt;br /&gt;&amp;diams; InChIKey: ZAHUTEIIIFGYHV-UHFFFAOYSA-N</t>
  </si>
  <si>
    <t xml:space="preserve"> 3249-68-1</t>
  </si>
  <si>
    <t xml:space="preserve"> ETHYL 3-OXOHEXANOATE</t>
  </si>
  <si>
    <t xml:space="preserve"> &amp;diams; ETHYL 3-OXOHEXANOATE&lt;br /&gt;&amp;diams; ETHYL ALPHA-BUTYRYLACETATE&lt;br /&gt;&amp;diams; ETHYL BETA-KETOHEXANOATE&lt;br /&gt;&amp;diams; ETHYL BUTYROACETATE&lt;br /&gt;&amp;diams; ETHYL BUTYRYLACETATE&lt;br /&gt;&amp;diams; HEXANOIC ACID, 3-OXO-, ETHYL ESTER</t>
  </si>
  <si>
    <t xml:space="preserve"> 628-97-7</t>
  </si>
  <si>
    <t xml:space="preserve"> ETHYL PALMITATE</t>
  </si>
  <si>
    <t xml:space="preserve"> &amp;diams; ETHYL PALMITATE&lt;br /&gt;&amp;diams; ETHYL HEXADECANOATE&lt;br /&gt;&amp;diams; ETHYL CETYLATE&lt;br /&gt;&amp;diams; HEXADECANOIC ACID, ETHYL ESTER&lt;br /&gt;&amp;diams; PALMITIC ACID, ETHYL ESTER</t>
  </si>
  <si>
    <t xml:space="preserve"> 1968-40-7</t>
  </si>
  <si>
    <t xml:space="preserve"> ETHYL 4-PENTENOATE</t>
  </si>
  <si>
    <t xml:space="preserve"> &amp;diams; ETHYL 4-PENTENOATE&lt;br /&gt;&amp;diams; 4-PENTENOIC ACID, ETHYL ESTER&lt;br /&gt;&amp;diams; InChI=1S/C7H12O2/c1-3-5-6-7(8)9-4-2/h3H,1,4-6H2,2H3&lt;br /&gt;&amp;diams; InChIKey: PTVSRINJXWDIKP-UHFFFAOYSA-N</t>
  </si>
  <si>
    <t xml:space="preserve"> 123-07-9</t>
  </si>
  <si>
    <t xml:space="preserve"> P-ETHYLPHENOL</t>
  </si>
  <si>
    <t xml:space="preserve"> &amp;diams; 4-ETHYLPHENOL&lt;br /&gt;&amp;diams; ETHYLPHENOL, P-&lt;br /&gt;&amp;diams; 4-HYDROXYETHYLBENZENE&lt;br /&gt;&amp;diams; PHENOL, 4-ETHYL-&lt;br /&gt;&amp;diams; PHENOL, P-ETHYL-&lt;br /&gt;&amp;diams; 1-ETHYL-4-HYDROXYBENZENE&lt;br /&gt;&amp;diams; 4-HYDROXYPHENYLETHANE&lt;br /&gt;&amp;diams; HYDROXYPHENYLETHANE, P-</t>
  </si>
  <si>
    <t xml:space="preserve"> FLAVOR ENHANCER,&lt;br /&gt; FLAVORING AGENT OR ADJUVANT,&lt;br /&gt; PROCESSING AID,&lt;br /&gt; SURFACE-FINISHING AGENT</t>
  </si>
  <si>
    <t xml:space="preserve"> 101-97-3</t>
  </si>
  <si>
    <t xml:space="preserve"> ETHYL PHENYLACETATE</t>
  </si>
  <si>
    <t xml:space="preserve"> &amp;diams; ETHYL PHENYLACETATE&lt;br /&gt;&amp;diams; ETHYL ALPHA-TOLUATE&lt;br /&gt;&amp;diams; BENZENEACETIC ACID, ETHYL ESTER&lt;br /&gt;&amp;diams; ETHYL BENZENEACETATE&lt;br /&gt;&amp;diams; ACETIC ACID, PHENYL-, ETHYL ESTER</t>
  </si>
  <si>
    <t xml:space="preserve"> 10031-93-3</t>
  </si>
  <si>
    <t xml:space="preserve"> ETHYL 4-PHENYLBUTYRATE</t>
  </si>
  <si>
    <t xml:space="preserve"> &amp;diams; ETHYL 4-PHENYLBUTYRATE&lt;br /&gt;&amp;diams; BENZENEBUTANOIC ACID, ETHYL ESTER&lt;br /&gt;&amp;diams; BUTYRIC ACID, 4-PHENYL-, ETHYL ESTER&lt;br /&gt;&amp;diams; ETHYL GAMMA-PHENYLBUTYRATE&lt;br /&gt;&amp;diams; ETHYL PHENYLBUTYRATE&lt;br /&gt;&amp;diams; ETHYL 4-PHENYLBUTANOATE&lt;br /&gt;&amp;diams; ETHYL BENZENEBUTANOATE</t>
  </si>
  <si>
    <t xml:space="preserve"> 121-39-1</t>
  </si>
  <si>
    <t xml:space="preserve"> ETHYL 3-PHENYLGLYCIDATE</t>
  </si>
  <si>
    <t xml:space="preserve"> &amp;diams; ETHYL 3-PHENYLGLYCIDATE&lt;br /&gt;&amp;diams; ETHYL ALPHA,BETA-EPOXY-BETA-PHENYLPROPIONATE&lt;br /&gt;&amp;diams; ETHYL 3-PHENYL-2,3-EPOXYPROPIONATE&lt;br /&gt;&amp;diams; ETHYL 3-PHENYLOXIRANECARBOXYLATE&lt;br /&gt;&amp;diams; ETHYL ALPHA,BETA-EPOXYHYDROCINNAMATE&lt;br /&gt;&amp;diams; ETHYL 2,3-EPOXY-3-PHENYLPROPIONATE&lt;br /&gt;&amp;diams; GLYCIDIC ACID, 3-PHENYL-, ETHYL ESTER&lt;br /&gt;&amp;diams; OXIRANECARBOXYLIC ACID, 3-PHENYL-, ETHYL ESTER</t>
  </si>
  <si>
    <t xml:space="preserve"> 2021-28-5</t>
  </si>
  <si>
    <t xml:space="preserve"> ETHYL 3-PHENYLPROPIONATE</t>
  </si>
  <si>
    <t xml:space="preserve"> &amp;diams; ETHYL 3-PHENYLPROPIONATE&lt;br /&gt;&amp;diams; BENZENEPROPANOIC ACID, ETHYL ESTER&lt;br /&gt;&amp;diams; ETHYL HYDROCINNAMATE&lt;br /&gt;&amp;diams; ETHYL DIHYDROCINNAMATE&lt;br /&gt;&amp;diams; ETHYL BENZENEPROPANOATE&lt;br /&gt;&amp;diams; HYDROCINNAMIC ACID, ETHYL ESTER</t>
  </si>
  <si>
    <t xml:space="preserve"> 105-37-3</t>
  </si>
  <si>
    <t xml:space="preserve"> ETHYL PROPIONATE</t>
  </si>
  <si>
    <t xml:space="preserve"> &amp;diams; ETHYL PROPIONATE&lt;br /&gt;&amp;diams; ETHYL PROPANOATE&lt;br /&gt;&amp;diams; PROPANOIC ACID, ETHYL ESTER&lt;br /&gt;&amp;diams; PROPIONIC ACID, ETHYL ESTER</t>
  </si>
  <si>
    <t xml:space="preserve"> 30453-31-7</t>
  </si>
  <si>
    <t xml:space="preserve"> ETHYL PROPYL DISULFIDE</t>
  </si>
  <si>
    <t xml:space="preserve"> &amp;diams; ETHYL PROPYL DISULFIDE&lt;br /&gt;&amp;diams; 30453-31-7&lt;br /&gt;&amp;diams; disulfide, ethyl propyl&lt;br /&gt;&amp;diams; 1-ethyldisulfanylpropane</t>
  </si>
  <si>
    <t xml:space="preserve"> 31499-70-4</t>
  </si>
  <si>
    <t xml:space="preserve"> ETHYL PROPYL TRISULFIDE</t>
  </si>
  <si>
    <t xml:space="preserve"> &amp;diams; ETHYL PROPYL TRISULFIDE&lt;br /&gt;&amp;diams; trisulfide, ethyl propyl&lt;br /&gt;&amp;diams; 3,4,5-trithiaoctane</t>
  </si>
  <si>
    <t xml:space="preserve"> 13925-00-3</t>
  </si>
  <si>
    <t xml:space="preserve"> 2-ETHYLPYRAZINE</t>
  </si>
  <si>
    <t xml:space="preserve"> &amp;diams; ETHYLPYRAZINE&lt;br /&gt;&amp;diams; 2-ETHYLPYRAZINE&lt;br /&gt;&amp;diams; 2-ETHYL-1,4-DIAZINE&lt;br /&gt;&amp;diams; PYRAZINE, ETHYL-</t>
  </si>
  <si>
    <t xml:space="preserve"> 536-78-7</t>
  </si>
  <si>
    <t xml:space="preserve"> 3-ETHYLPYRIDINE</t>
  </si>
  <si>
    <t xml:space="preserve"> &amp;diams; 3-ETHYLPYRIDINE&lt;br /&gt;&amp;diams; BETA-ETHYLPYRIDINE&lt;br /&gt;&amp;diams; LUTIDINE, BETA-&lt;br /&gt;&amp;diams; PYRIDINE, 3-ETHYL-</t>
  </si>
  <si>
    <t xml:space="preserve"> 2167-14-8</t>
  </si>
  <si>
    <t xml:space="preserve"> 1-ETHYL-2-PYRROLECARBOXALDEHYDE</t>
  </si>
  <si>
    <t xml:space="preserve"> &amp;diams; 1-ETHYLPYRROLE-2-CARBOXALDEHYDE&lt;br /&gt;&amp;diams; 1H-pyrrole-2-carboxaldehyde, 1-ethyl-&lt;br /&gt;&amp;diams; 1-ethyl-1H-pyrrole-2-carboxaldehyde&lt;br /&gt;&amp;diams; pyrrole-2-carboxaldehyde, 1-ethyl-&lt;br /&gt;&amp;diams; 1-ethyl-2-formylpyrrole&lt;br /&gt;&amp;diams; N-ethyl-2-formylpyrrole&lt;br /&gt;&amp;diams; 1-ethyl-2-pyrrolecarboxaldehyde&lt;br /&gt;&amp;diams; InChI=1S/C7H9NO/c1-2-8-5-3-4-7(8)6-9/h3-6H,2H2,1H3&lt;br /&gt;&amp;diams; InChIKey: DVLGEHCERRWDIX-UHFFFAOYSA-N</t>
  </si>
  <si>
    <t xml:space="preserve"> 617-35-6</t>
  </si>
  <si>
    <t xml:space="preserve"> ETHYL PYRUVATE</t>
  </si>
  <si>
    <t xml:space="preserve"> &amp;diams; ETHYL PYRUVATE&lt;br /&gt;&amp;diams; ETHYL ACETYLFORMATE&lt;br /&gt;&amp;diams; ETHYL ALPHA-KETOPROPIONATE&lt;br /&gt;&amp;diams; ETHYL PYRORACEMATE&lt;br /&gt;&amp;diams; ETHYL 2-OXOPROPANOATE&lt;br /&gt;&amp;diams; PROPANOIC ACID, 2-OXO-, ETHYL ESTER&lt;br /&gt;&amp;diams; PYRUVIC ACID, ETHYL ESTER&lt;br /&gt;&amp;diams; ETHYL 2-OXOPROPIONATE</t>
  </si>
  <si>
    <t xml:space="preserve"> 118-61-6</t>
  </si>
  <si>
    <t xml:space="preserve"> ETHYL SALICYLATE</t>
  </si>
  <si>
    <t xml:space="preserve"> &amp;diams; ETHYL SALICYLATE&lt;br /&gt;&amp;diams; ETHYL 2-HYDROXYBENZOATE&lt;br /&gt;&amp;diams; SAL ETHER&lt;br /&gt;&amp;diams; SALICYLIC ETHER&lt;br /&gt;&amp;diams; BENZOIC ACID, 2-HYDROXY-, ETHYL ESTER&lt;br /&gt;&amp;diams; SALICYCLIC ACID, ETHYL ESTER&lt;br /&gt;&amp;diams; ETHYL O-HYDROXYBENZOATE</t>
  </si>
  <si>
    <t xml:space="preserve"> 2396-84-1</t>
  </si>
  <si>
    <t xml:space="preserve"> ETHYL SORBATE</t>
  </si>
  <si>
    <t xml:space="preserve"> &amp;diams; ETHYL SORBATE&lt;br /&gt;&amp;diams; ETHYL 2,4-HEXADIENOATE&lt;br /&gt;&amp;diams; 2,4-HEXADIENOIC ACID, ETHYL ESTER, (E,E)-&lt;br /&gt;&amp;diams; ETHYL 2,4-HEXADIENOATE, (E,E)-&lt;br /&gt;&amp;diams; SORBIC ACID, ETHYL ESTER</t>
  </si>
  <si>
    <t xml:space="preserve"> 625-60-5</t>
  </si>
  <si>
    <t xml:space="preserve"> ETHYL THIOACETATE</t>
  </si>
  <si>
    <t xml:space="preserve"> &amp;diams; S-ETHYL THIOACETATE&lt;br /&gt;&amp;diams; ETHYL THIOACETATE&lt;br /&gt;&amp;diams; ETHYL THIOLACETATE&lt;br /&gt;&amp;diams; S-ETHYL THIOLACETATE&lt;br /&gt;&amp;diams; ACETIC ACID, THIO-, S-ETHYL ESTER&lt;br /&gt;&amp;diams; ETHANETHIOIC ACID, S-ETHYL ESTER&lt;br /&gt;&amp;diams; S-ETHYL ETHANETHIOATE</t>
  </si>
  <si>
    <t xml:space="preserve"> 117013-33-9</t>
  </si>
  <si>
    <t xml:space="preserve"> (+/-)-3-(ETHYLTHIO)BUTANOL</t>
  </si>
  <si>
    <t xml:space="preserve"> &amp;diams; 3-(ETHYLTHIO)BUTANOL&lt;br /&gt;&amp;diams; 1-butanol, 3-(ethylthio)-&lt;br /&gt;&amp;diams; 3-(ethylthio)-1-butanol&lt;br /&gt;&amp;diams; InChi=1S/C6H14OS/c1-3-8-6(2)4-5-7/h6-7H,3-5H2,1-2H3&lt;br /&gt;&amp;diams; InChIKey: RNFXBUGJWZOUJT-UHFFFAOYSA-N</t>
  </si>
  <si>
    <t xml:space="preserve"> 4500-58-7</t>
  </si>
  <si>
    <t xml:space="preserve"> 2-ETHYLTHIOPHENOL</t>
  </si>
  <si>
    <t xml:space="preserve"> &amp;diams; 2-ETHYLBENZENETHIOL&lt;br /&gt;&amp;diams; ETHYLBENZENETHIOL, O-&lt;br /&gt;&amp;diams; 2-ETHYLPHENYL MERCAPTAN&lt;br /&gt;&amp;diams; 2-ETHYLTHIOPHENOL&lt;br /&gt;&amp;diams; BENZENETHIOL, 2-ETHYL-&lt;br /&gt;&amp;diams; BENZENETHIOL, O-ETHYL-</t>
  </si>
  <si>
    <t xml:space="preserve"> 5837-78-5</t>
  </si>
  <si>
    <t xml:space="preserve"> ETHYL TIGLATE</t>
  </si>
  <si>
    <t xml:space="preserve"> &amp;diams; ETHYL TIGLATE&lt;br /&gt;&amp;diams; ETHYL TRANS-2-METHYL-2-BUTENOATE&lt;br /&gt;&amp;diams; ETHYL TRANS-2-METHYLCROTONATE&lt;br /&gt;&amp;diams; 2-BUTENOIC ACID, 2-METHYL-, ETHYL ESTER, (E)-&lt;br /&gt;&amp;diams; ETHYL 2-METHYL-2-BUTENOATE, (E)-&lt;br /&gt;&amp;diams; CROTONIC ACID, 2-METHYL-, ETHYL ESTER, (E)-&lt;br /&gt;&amp;diams; ETHYL 2-METHYLCROTONATE, (E)-&lt;br /&gt;&amp;diams; TIGLIC ACID, ETHYL ESTER&lt;br /&gt;&amp;diams; ETHYL ALPHA-METHYLCROTONATE</t>
  </si>
  <si>
    <t xml:space="preserve"> 27829-72-7</t>
  </si>
  <si>
    <t xml:space="preserve"> ETHYL TRANS-2-HEXENOATE</t>
  </si>
  <si>
    <t xml:space="preserve"> &amp;diams; ETHYL TRANS-2-HEXENOATE&lt;br /&gt;&amp;diams; ETHYL (E)-2-HEXENOATE&lt;br /&gt;&amp;diams; 2-HEXENOIC ACID, ETHYL ESTER, (E)-</t>
  </si>
  <si>
    <t xml:space="preserve"> 1617-40-9</t>
  </si>
  <si>
    <t xml:space="preserve"> ETHYL TRANS-2-METHYL-2-PENTENOATE</t>
  </si>
  <si>
    <t xml:space="preserve"> &amp;diams; ETHYL 2-METHYL-2-PENTENOATE, TRANS-&lt;br /&gt;&amp;diams; 2-pentenoic acid, 2-methyl-, ethyl ester, (2E)-&lt;br /&gt;&amp;diams; ethyl 2-methyl-2-pentenoate, (2E)-&lt;br /&gt;&amp;diams; 2-pentenoic acid, 2-methyl-, ethyl ester, (E)-&lt;br /&gt;&amp;diams; ethyl 2-methyl-2-pentenoate, (E)-&lt;br /&gt;&amp;diams; InChI=1S/C8H14O2/c1-4-6-7(3)8(9)10-5-2/h6H,4-5H2,1-3H3/b7-6+&lt;br /&gt;&amp;diams; InChIKey: HYQYCHQAUPHFKX-VOTSOKGWSA-N</t>
  </si>
  <si>
    <t xml:space="preserve"> 18368-91-7</t>
  </si>
  <si>
    <t xml:space="preserve"> 2-ETHYL-1,3,3-TRIMETHYL-2-NORBORNANOL</t>
  </si>
  <si>
    <t xml:space="preserve"> &amp;diams; 2-ETHYL-1,3,3-TRIMETHYL-2-NORBORNANOL&lt;br /&gt;&amp;diams; BICYCLO(2.2.2)HEPTAN-2-OL, 2-ETHYL-1,3,3-TRIMETHYL-&lt;br /&gt;&amp;diams; 2-ETHYLFENCHOL&lt;br /&gt;&amp;diams; 2-ETHYL-1,3,3-TRIMETHYLBICYCLO(2.2.1)HEPTAN-2-OL&lt;br /&gt;&amp;diams; 2-NORBORNANOL, 2-ETHYL-1,3,3-TRIMETHYL-</t>
  </si>
  <si>
    <t xml:space="preserve"> 627-90-7</t>
  </si>
  <si>
    <t xml:space="preserve"> ETHYL UNDECANOATE</t>
  </si>
  <si>
    <t xml:space="preserve"> &amp;diams; ETHYL UNDECANOATE&lt;br /&gt;&amp;diams; ETHYL UNDECYLATE&lt;br /&gt;&amp;diams; ETHYL HENDECANOATE&lt;br /&gt;&amp;diams; UNDECANOIC ACID, ETHYL ESTER</t>
  </si>
  <si>
    <t xml:space="preserve"> 692-86-4</t>
  </si>
  <si>
    <t xml:space="preserve"> ETHYL 10-UNDECENOATE</t>
  </si>
  <si>
    <t xml:space="preserve"> &amp;diams; ETHYL 10-UNDECENOATE&lt;br /&gt;&amp;diams; ETHYL 10-UNDECYLENATE&lt;br /&gt;&amp;diams; ETHYL UNDECYLENATE&lt;br /&gt;&amp;diams; 10-UNDECENOIC ACID, ETHYL ESTER&lt;br /&gt;&amp;diams; ETHYL UNDECENOATE</t>
  </si>
  <si>
    <t xml:space="preserve"> 539-82-2</t>
  </si>
  <si>
    <t xml:space="preserve"> ETHYL VALERATE</t>
  </si>
  <si>
    <t xml:space="preserve"> &amp;diams; ETHYL VALERATE&lt;br /&gt;&amp;diams; ETHYL PENTANOATE&lt;br /&gt;&amp;diams; ETHYL VALERIANATE&lt;br /&gt;&amp;diams; PENTANOIC ACID, ETHYL ESTER&lt;br /&gt;&amp;diams; VALERIC ACID, ETHYL ESTER</t>
  </si>
  <si>
    <t xml:space="preserve"> 121-32-4</t>
  </si>
  <si>
    <t xml:space="preserve"> ETHYL VANILLIN</t>
  </si>
  <si>
    <t xml:space="preserve"> &amp;diams; ETHYL VANILLIN&lt;br /&gt;&amp;diams; 3-ETHOXY-4-HYDROXYBENZALDEHYDE&lt;br /&gt;&amp;diams; BOURBONAL&lt;br /&gt;&amp;diams; 3-ETHOXYPROTOCATECHUALDEHYDE&lt;br /&gt;&amp;diams; ETHYL PROTAL&lt;br /&gt;&amp;diams; ETHYLPROTOCATECHUALDEHYDE-3-ETHYL ETHER&lt;br /&gt;&amp;diams; BENZALDEHYDE, 3-ETHOXY-4-HYDROXY-&lt;br /&gt;&amp;diams; 2-ETHOXY-4-FORMYLPHENOL&lt;br /&gt;&amp;diams; VANILLIN,  ETHYL</t>
  </si>
  <si>
    <t xml:space="preserve"> 122397-96-0</t>
  </si>
  <si>
    <t xml:space="preserve"> ETHYL VANILLIN BETA-D-GLUCOPYRANOSIDE</t>
  </si>
  <si>
    <t xml:space="preserve"> &amp;diams; ETHYL VANILLIN BETA-D-GLUCOPYRANOSIDE&lt;br /&gt;&amp;diams; BENZALDEHYDE, 3-ETHOXY-4-(BETA-D-GLUCOPYRANOSYLOXY)-&lt;br /&gt;&amp;diams; ETHYL VANILLIN GLUCOSIDE&lt;br /&gt;&amp;diams; GLUCOETHYLVANILLIN&lt;br /&gt;&amp;diams; 3-ETHOXY-4-(BETA-D-GLUCOPYRANOSYLOXY)BENZALDEHYDE</t>
  </si>
  <si>
    <t xml:space="preserve"> 188417-26-7</t>
  </si>
  <si>
    <t xml:space="preserve"> ETHYL VANILLIN ISOBUTYRATE</t>
  </si>
  <si>
    <t xml:space="preserve"> &amp;diams; ETHYL VANILLIN ISOBUTYRATE&lt;br /&gt;&amp;diams; PROPANOIC ACID, 2-METHYL-, 2-ETHYOXY-4-FORMYLPHENYL ESTER&lt;br /&gt;&amp;diams; 2-ETHOXY-4-FORMYLPHENYL 2-METHYLPROPANOATE</t>
  </si>
  <si>
    <t xml:space="preserve"> 68527-76-4</t>
  </si>
  <si>
    <t xml:space="preserve"> ETHYL VANILLIN PROPYLENE GLYCOL ACETAL</t>
  </si>
  <si>
    <t xml:space="preserve"> &amp;diams; ETHYL VANILLIN PROPYLENE GLYCOL ACETAL&lt;br /&gt;&amp;diams; PHENOL, 2-ETHOXY-4-(4-METHYL-1,3-DIOXOLAN-2-YL)-&lt;br /&gt;&amp;diams; 2-ETHOXY-4-(4-METHYL-1,3-DIOXOLAN-2-YL)PHENOL</t>
  </si>
  <si>
    <t xml:space="preserve"> 470-82-6</t>
  </si>
  <si>
    <t xml:space="preserve"> EUCALYPTOL</t>
  </si>
  <si>
    <t xml:space="preserve"> &amp;diams; EUCALYPTOL&lt;br /&gt;&amp;diams; CINEOLE&lt;br /&gt;&amp;diams; 1,8-EPOXY-P-MENTHANE&lt;br /&gt;&amp;diams; CAJEPUTOL&lt;br /&gt;&amp;diams; 2-OXABICYCLO(2.2.2)OCTANE, 1,3,3-TRIMETHYL-&lt;br /&gt;&amp;diams; 1,3,3-TRIMETHYL-2-OXABICYCLO(2.2.2)OCTANE&lt;br /&gt;&amp;diams; P-MENTHANE, 1,8-EPOXY-</t>
  </si>
  <si>
    <t xml:space="preserve"> 8000-48-4</t>
  </si>
  <si>
    <t xml:space="preserve"> EUCALYPTUS, OIL (EUCALYPTUS GLOBULUS LABILLE)</t>
  </si>
  <si>
    <t xml:space="preserve"> &amp;diams; EUCALYPTUS OIL&lt;br /&gt;&amp;diams; OILS, EUCALYPTUS&lt;br /&gt;&amp;diams; EUCALYPTUS GLOBULUS OIL</t>
  </si>
  <si>
    <t xml:space="preserve"> 97-53-0</t>
  </si>
  <si>
    <t xml:space="preserve"> EUGENOL</t>
  </si>
  <si>
    <t xml:space="preserve"> &amp;diams; EUGENOL&lt;br /&gt;&amp;diams; 2-METHOXY-4-(2-PROPENYL)PHENOL&lt;br /&gt;&amp;diams; CARYOPHYLLIC ACID&lt;br /&gt;&amp;diams; EUGENIC ACID&lt;br /&gt;&amp;diams; 1-HYDROXY-2-METHOXY-4-PROPENYLBENZENE&lt;br /&gt;&amp;diams; 2-METHOXY-4-(2-PROPEN-1-YL)PHENOL&lt;br /&gt;&amp;diams; 2-METHOXY-4-ALLYLPHENOL&lt;br /&gt;&amp;diams; 4-ALLYL-2-METHOXYPHENOL&lt;br /&gt;&amp;diams; 4-ALLYLCATECHOL 2-METHYL ETHER&lt;br /&gt;&amp;diams; 4-ALLYLGUAIACOL&lt;br /&gt;&amp;diams; 4-HYDROXY-3-METHOXY-1-ALLYLBENZENE&lt;br /&gt;&amp;diams; 4-HYDROXY-3-METHOXYALLYLBENZENE&lt;br /&gt;&amp;diams; PHENOL, 2-METHOXY-4-(2-PROPENYL)-&lt;br /&gt;&amp;diams; PHENOL, 4-ALLYL-2-METHOXY-</t>
  </si>
  <si>
    <t xml:space="preserve"> 93-28-7</t>
  </si>
  <si>
    <t xml:space="preserve"> EUGENYL ACETATE</t>
  </si>
  <si>
    <t xml:space="preserve"> &amp;diams; EUGENYL ACETATE&lt;br /&gt;&amp;diams; ACETYL EUGENOL&lt;br /&gt;&amp;diams; 4-ALLYL-2-METHOXYPHENYL ACETATE&lt;br /&gt;&amp;diams; 2-METHOXY-4-(2-PROPEN-1-YL)PHENYL ACETATE&lt;br /&gt;&amp;diams; PHENOL, 2-METHOXY-4-(2-PROPENYL)-, ACETATE&lt;br /&gt;&amp;diams; PHENOL, 4-ALLYL-2-METHOXY-, ACETATE&lt;br /&gt;&amp;diams; 2-METHOXY-4-(2-PROPENYL)PHENYL ACETATE</t>
  </si>
  <si>
    <t xml:space="preserve"> 531-26-0</t>
  </si>
  <si>
    <t xml:space="preserve"> EUGENYL BENZOATE</t>
  </si>
  <si>
    <t xml:space="preserve"> &amp;diams; EUGENYL BENZOATE&lt;br /&gt;&amp;diams; 4-ALLYL-2-METHOXYPHENYL BENZOATE&lt;br /&gt;&amp;diams; BENZOYL EUGENOL&lt;br /&gt;&amp;diams; PHENOL, 2-METHOXY-4-(2-PROPENYL)-, BENZOATE&lt;br /&gt;&amp;diams; 2-METHOXY-4-(2-PROPENYL)PHENYL BENZOATE&lt;br /&gt;&amp;diams; PHENOL, 4-ALLYL-2-METHOXY-, BENZOATE</t>
  </si>
  <si>
    <t xml:space="preserve"> 10031-96-6</t>
  </si>
  <si>
    <t xml:space="preserve"> EUGENYL FORMATE</t>
  </si>
  <si>
    <t xml:space="preserve"> &amp;diams; EUGENYL FORMATE&lt;br /&gt;&amp;diams; 4-ALLYL-2-METHOXYPHENYL FORMATE&lt;br /&gt;&amp;diams; 4-(2-PROPEN-1-YL)-2-METHOXYPHENYL FORMATE&lt;br /&gt;&amp;diams; PHENOL, 2-METHOXY-4-(2-PROPENYL)-, FORMATE&lt;br /&gt;&amp;diams; 2-METHOXY-4-(2-PROPENYL)PHENYL FORMATE&lt;br /&gt;&amp;diams; PHENOL, 4-ALLYL-2-METHOXY-, FORMATE</t>
  </si>
  <si>
    <t xml:space="preserve"> 61114-24-7</t>
  </si>
  <si>
    <t xml:space="preserve"> EUGENYL ISOVALERATE</t>
  </si>
  <si>
    <t xml:space="preserve"> &amp;diams; EUGENOL ISOVALERATE&lt;br /&gt;&amp;diams; eugenyl isovalerate&lt;br /&gt;&amp;diams; butanoic acid, 3-methyl-, 2-methoxy-4-(2-propenyl)phenyl ester&lt;br /&gt;&amp;diams; 2-methoxy-4-(2-propenyl)phenyl 3-methylbutanoate</t>
  </si>
  <si>
    <t xml:space="preserve"> 25394-57-4</t>
  </si>
  <si>
    <t xml:space="preserve"> (2E,6Z,8E)-N-(2-METHYLPROPYL)-2,6,8-DECATRIENAMIDE</t>
  </si>
  <si>
    <t xml:space="preserve"> &amp;diams; SODIUM STEAROYL-2-LACTYLATE&lt;br /&gt;&amp;diams; LACTIC ACID, BIMOL. ESTER, STEARATE, SODIUM SALT&lt;br /&gt;&amp;diams; OCTADECANOIC ACID, 2-(1-CARBOXYETHOXY)-1-METHYL-2-OXOETHYL ESTER, SODIUM SALT&lt;br /&gt;&amp;diams; SODIUM 2-(1-CARBOXYETHOXY)-1-METHYL-2-OXOETHYL OCTADECANOATE&lt;br /&gt;&amp;diams; STEARIC ACID, ESTER WITH LACTIC ACID BIMOL. ESTER, SODIUM SALT&lt;br /&gt;&amp;diams; STEAROYL-2-LACTYLIC ACID, SODIUM SALT</t>
  </si>
  <si>
    <t xml:space="preserve"> 19317-11-4</t>
  </si>
  <si>
    <t xml:space="preserve"> FARNESAL</t>
  </si>
  <si>
    <t xml:space="preserve"> &amp;diams; FARNESAL&lt;br /&gt;&amp;diams; 2,6,10-DODECATRIENAL, 3,7,11-TRIMETHYL-&lt;br /&gt;&amp;diams; 3,7,11-TRIMETHYL-2,6,10-DODECATRIENAL</t>
  </si>
  <si>
    <t xml:space="preserve"> 502-61-4</t>
  </si>
  <si>
    <t xml:space="preserve"> FARNESENE</t>
  </si>
  <si>
    <t xml:space="preserve"> &amp;diams; FARNESENE&lt;br /&gt;&amp;diams; FARNESENE, ALPHA-&lt;br /&gt;&amp;diams; FARNESENE, (E,E)-ALPHA-&lt;br /&gt;&amp;diams; 1,3,6,10-DODECATETRAENE, 3,7,11-TRIMETHYL-, (3E,6E)-&lt;br /&gt;&amp;diams; 3,7,11-TRIMETHYL-1,3,6,10-DODECATETRAENE, (3,E,6E)-&lt;br /&gt;&amp;diams; FARNESENE, TRANS-ALPHA-&lt;br /&gt;&amp;diams; 1,3,6,10-DODECATETRAENE, 3,7,11-TRIMETHYL-, (E,E)-&lt;br /&gt;&amp;diams; 3,7,11-TRIMETHYL-1,3,6,10-DODECATETRAENE, (E,E)-&lt;br /&gt;&amp;diams; 3,7,11-TRIMETHYL-1,3,6,10-DODECATETRAENE, TRANS-&lt;br /&gt;&amp;diams; FARNESENE, TRANS,TRANS-ALPHA-</t>
  </si>
  <si>
    <t xml:space="preserve"> 4602-84-0</t>
  </si>
  <si>
    <t xml:space="preserve"> FARNESOL</t>
  </si>
  <si>
    <t xml:space="preserve"> &amp;diams; FARNESOL&lt;br /&gt;&amp;diams; 3,7,11-TRIMETHYL-2,6,10-DODECATRIEN-1-OL&lt;br /&gt;&amp;diams; 2,6,10-DODECATRIEN-1-OL, 3,7,11-TRIMETHYL-&lt;br /&gt;&amp;diams; FARNESYL ALCOHOL</t>
  </si>
  <si>
    <t xml:space="preserve"> 67254-79-9</t>
  </si>
  <si>
    <t xml:space="preserve"> FATTY ACIDS</t>
  </si>
  <si>
    <t xml:space="preserve"> &amp;diams; FATTY ACIDS&lt;br /&gt;&amp;diams; FATTY ACID&lt;br /&gt;&amp;diams; FATTY ACIDS, MONOBASIC</t>
  </si>
  <si>
    <t xml:space="preserve"> FORMULATION AID,&lt;br /&gt; LUBRICANT OR RELEASE AGENT,&lt;br /&gt; SURFACE-ACTIVE AGENT,&lt;br /&gt; SURFACE-FINISHING AGENT</t>
  </si>
  <si>
    <t xml:space="preserve"> 977096-86-8</t>
  </si>
  <si>
    <t xml:space="preserve"> FATTY ALCOHOLS, SYNTHETIC</t>
  </si>
  <si>
    <t xml:space="preserve"> &amp;diams; FATTY ALCOHOLS, SYNTHETIC&lt;br /&gt;&amp;diams; ALCOHOLS, SYNTHETIC&lt;br /&gt;&amp;diams; SYNTHETIC FATTY ALCOHOLS</t>
  </si>
  <si>
    <t xml:space="preserve"> 3844-45-9</t>
  </si>
  <si>
    <t xml:space="preserve"> FD&amp;C BLUE NO. 1</t>
  </si>
  <si>
    <t xml:space="preserve"> &amp;diams; FD&amp;C BLUE NO. 1&lt;br /&gt;&amp;diams; PATENT BLUE AE&lt;br /&gt;&amp;diams; C.I. ACID BLUE 9&lt;br /&gt;&amp;diams; BRILLIANT BLUE FCF&lt;br /&gt;&amp;diams; C.I. 42090&lt;br /&gt;&amp;diams; C.I. ACID BLUE 9, DISODIUM SALT&lt;br /&gt;&amp;diams; D&amp;C BLUE NO. 1&lt;br /&gt;&amp;diams; BENZENEMETHANAMINIUM, N-ETHYL-N-(4-((4-(ETHYL((3-SULFOPHENYL)METHYL)AMINO)PHENYL)(2-SULFOPHENYL)METHYLENE)-2,5-CYCLOHEXADIEN-1-YLIDENE)-3-SULFO-, INNER SALT, DISODIUM SALT&lt;br /&gt;&amp;diams; ACID BLUE 9&lt;br /&gt;&amp;diams; C.I. FOOD BLUE 2&lt;br /&gt;&amp;diams; FOOD BLUE NO. 1&lt;br /&gt;&amp;diams; BRILLIANT BLUE&lt;br /&gt;&amp;diams; DISODIUM ETHYL(4-(P-(ETHYL(M-SULFOBENZYL)AMINO)-ALPHA-(O-SULFOPHENYL)BENZYLIDENE)-2,5-CYCLOHEXADIENE-1-YLIDENE)(M-SULFOBENZYL)AMMONIUM HYDROXIDE INNER SALT</t>
  </si>
  <si>
    <t xml:space="preserve"> 68921-42-6</t>
  </si>
  <si>
    <t xml:space="preserve"> FD&amp;C BLUE NO. 1, ALUMINUM LAKE</t>
  </si>
  <si>
    <t xml:space="preserve"> &amp;diams; FD&amp;C BLUE NO. 1-ALUMINUM LAKE&lt;br /&gt;&amp;diams; BENZENEMETHANAMINIUM, N-ETHYL-N-(4-((4-(ETHYL((3-SULFOPHENYL)METHYL)AMINO)PHENYL)(2-SULFOPHENYL)METHYLENE)-2,5-CYCLOHEXADIEN-1-YLIDENE-3-SULFO-, HYDRO...68921-42-6&lt;br /&gt;&amp;diams; ACID BLUE 9-ALUMINUM LAKE&lt;br /&gt;&amp;diams; BRILLIANT BLUE FCF-ALUMINUM LAKE&lt;br /&gt;&amp;diams; C.I. FOOD BLUE 2-ALUMINUM LAKE&lt;br /&gt;&amp;diams; C.I. 42090:2&lt;br /&gt;&amp;diams; C.I. ACID BLUE 9-ALUMINUM LAKE&lt;br /&gt;&amp;diams; FOOD BLUE NO. 1-ALUMINUM LAKE&lt;br /&gt;&amp;diams; JAPAN BLUE 1 LAKE&lt;br /&gt;&amp;diams; JAPAN BLUE 1-ALUMINUM LAKE</t>
  </si>
  <si>
    <t xml:space="preserve"> 977011-13-4</t>
  </si>
  <si>
    <t xml:space="preserve"> FD&amp;C BLUE NO. 1, CALCIUM LAKE</t>
  </si>
  <si>
    <t xml:space="preserve"> &amp;diams; FD&amp;C BLUE NO. 1-CALCIUM LAKE&lt;br /&gt;&amp;diams; BRILLIANT BLUE FCF-CALCIUM LAKE</t>
  </si>
  <si>
    <t xml:space="preserve"> 860-22-0</t>
  </si>
  <si>
    <t xml:space="preserve"> FD&amp;C BLUE NO. 2</t>
  </si>
  <si>
    <t xml:space="preserve"> &amp;diams; FD&amp;C BLUE NO. 2&lt;br /&gt;&amp;diams; SODIUM INDIGOTINDISULFONATE&lt;br /&gt;&amp;diams; INDIGO CARMINE&lt;br /&gt;&amp;diams; DISODIUM 5,5'-DISULFOINDIGO&lt;br /&gt;&amp;diams; 1H-INDOLE-5-SULFONIC ACID, 2-(1,3-DIHYDRO-3-OXO-5-SULFO-2H-INDOL-2-YLIDENE)-2,3-DIHYDRO-3-OXO-, DISODIUM SALT&lt;br /&gt;&amp;diams; (DELTA2,2'-BIINDOLINE)-5,5'-DISULFONIC ACID, 3,3'-DIOXO-, DISODIUM SALT&lt;br /&gt;&amp;diams; DISODIUM 2-(1,3-DIHYDRO-3-OXO-5-SULFO-2H-INDOL-2-YLIDENE)-2,3-DIHYDRO-3-OXO-1H-INDOLE-5-SULFONATE&lt;br /&gt;&amp;diams; DISODIUM 3,3'-DIOXO-(DELTA2,2'-BIINDOLINE)-5,5'-DISULFONATE&lt;br /&gt;&amp;diams; INDIGOTINE&lt;br /&gt;&amp;diams; C.I. ACID BLUE 74&lt;br /&gt;&amp;diams; ACID BLUE 74&lt;br /&gt;&amp;diams; C.I. 73015&lt;br /&gt;&amp;diams; C.I. FOOD BLUE 1&lt;br /&gt;&amp;diams; FOOD BLUE NO. 2&lt;br /&gt;&amp;diams; INDIGOTINDISULFONATE SODIUM</t>
  </si>
  <si>
    <t xml:space="preserve"> 977011-14-5</t>
  </si>
  <si>
    <t xml:space="preserve"> FD&amp;C BLUE NO. 2, CALCIUM LAKE</t>
  </si>
  <si>
    <t xml:space="preserve"> &amp;diams; FD&amp;C BLUE NO. 2-CALCIUM LAKE&lt;br /&gt;&amp;diams; INDIGOTINE-CALCIUM LAKE&lt;br /&gt;&amp;diams; INDIGO CARMINE-CALCIUM LAKE</t>
  </si>
  <si>
    <t xml:space="preserve"> 4680-78-8</t>
  </si>
  <si>
    <t xml:space="preserve"> FD&amp;C GREEN NO. 1--DELISTED</t>
  </si>
  <si>
    <t xml:space="preserve"> &amp;diams; C.I. ACID GREEN 3&lt;br /&gt;&amp;diams; FD&amp;C GREEN NO. 1&lt;br /&gt;&amp;diams; GUINEA GREEN B&lt;br /&gt;&amp;diams; ACID GREEN 3&lt;br /&gt;&amp;diams; GUINEA GREEN&lt;br /&gt;&amp;diams; C.I. ACID GREEN 3, SODIUM SALT&lt;br /&gt;&amp;diams; BENZENEMETHANAMINIUM, N-ETHYL-N-(4-((4-(ETHYL((3-SULFOPHENYL)METHYL)AMINO)PHENYL)PHENYLMETHYLENE)-2,5-CYCLOHEXADIEN-1-YLIDENE)-3-SULFO-, HYDROXIDE, INNER SALT, SODIUM SALT&lt;br /&gt;&amp;diams; C.I. 42085</t>
  </si>
  <si>
    <t xml:space="preserve"> 5141-20-8</t>
  </si>
  <si>
    <t xml:space="preserve"> FD&amp;C GREEN NO. 2--DELISTED</t>
  </si>
  <si>
    <t xml:space="preserve"> &amp;diams; C.I. ACID GREEN 5&lt;br /&gt;&amp;diams; LIGHT GREEN SF&lt;br /&gt;&amp;diams; LIGHT GREEN SF YELLOWISH&lt;br /&gt;&amp;diams; FD&amp;C GREEN NO. 2&lt;br /&gt;&amp;diams; D&amp;C GREEN NO. 2&lt;br /&gt;&amp;diams; C.I. ACID GREEN 5, DISODIUM SALT&lt;br /&gt;&amp;diams; C.I. 42095&lt;br /&gt;&amp;diams; BENZENEMETHANAMINIUM, N-ETHYL-N-(4-((4-(ETHYL((3-SULFOPHENYL)METHYL)AMINO)PHENYL)(4-SULFOPHENYL)METHYLENE)-2,5-CYCLOHEXADIEN-1-YLIDENE)-3-SULFO-, HYDROXIDE, INNER SALT, DISODIUM SALT</t>
  </si>
  <si>
    <t xml:space="preserve"> 977011-12-3</t>
  </si>
  <si>
    <t xml:space="preserve"> FD&amp;C GREEN NO. 3, CALCIUM LAKE</t>
  </si>
  <si>
    <t xml:space="preserve"> &amp;diams; FD&amp;C GREEN NO. 3-CALCIUM LAKE&lt;br /&gt;&amp;diams; FAST GREEN FCF-CALCIUM LAKE</t>
  </si>
  <si>
    <t xml:space="preserve"> 3564-09-8</t>
  </si>
  <si>
    <t xml:space="preserve"> FD&amp;C RED NO. 1--DELISTED</t>
  </si>
  <si>
    <t xml:space="preserve"> &amp;diams; C.I. FOOD RED 6, DISODIUM SALT&lt;br /&gt;&amp;diams; C.I. 16155&lt;br /&gt;&amp;diams; EXT. D&amp;C RED NO. 15&lt;br /&gt;&amp;diams; FD&amp;C RED NO. 1&lt;br /&gt;&amp;diams; FOOD RED 6&lt;br /&gt;&amp;diams; D&amp;C RED NO. 1&lt;br /&gt;&amp;diams; DISODIUM 3-HYDROXY-4-((2,4,5-TRIMETHYLPHENYL)AZO)-2,7-NAPHTHALENEDISULFONATE&lt;br /&gt;&amp;diams; PONCEAU 3R&lt;br /&gt;&amp;diams; SCHARLACH GN&lt;br /&gt;&amp;diams; SCARLET F&lt;br /&gt;&amp;diams; 2,7-NAPHTHALENEDISULFONIC ACID, 3-HYDROXY-4-((2,4,5-TRIMETHYLPHENYL)AZO)-, DISODIUM SALT</t>
  </si>
  <si>
    <t xml:space="preserve"> 915-67-3</t>
  </si>
  <si>
    <t xml:space="preserve"> FD&amp;C RED NO. 2--DELISTED</t>
  </si>
  <si>
    <t xml:space="preserve"> &amp;diams; AMARANTH (DYE)&lt;br /&gt;&amp;diams; C.I. 16185&lt;br /&gt;&amp;diams; EDICOL AMARANTH AS&lt;br /&gt;&amp;diams; FD&amp;C RED NO. 2&lt;br /&gt;&amp;diams; TRISODIUM 1-(4-SULFO-1-NAPHTHYLAZO)-2-NAPHTHOL-3,6-DISULFONATE&lt;br /&gt;&amp;diams; D&amp;C RED NO. 2&lt;br /&gt;&amp;diams; C.I. FOOD RED 9&lt;br /&gt;&amp;diams; C.I. ACID RED 27&lt;br /&gt;&amp;diams; TRISODIUM 3-HYDROXY-4-((4-SULFO-1-NAPHTHALENYL)AZO)-2,7-NAPHTHALENEDISULFONATE&lt;br /&gt;&amp;diams; C.I. ACID RED 27, TRISODIUM SALT&lt;br /&gt;&amp;diams; FOOD RED NO. 2&lt;br /&gt;&amp;diams; 2,7-NAPHTHALENEDISULFONIC ACID, 3-HYDROXY-4-((4-SULFO-1-NAPHTHALENYL)AZO)-, TRISODIUM SALT</t>
  </si>
  <si>
    <t xml:space="preserve"> 12227-78-0</t>
  </si>
  <si>
    <t xml:space="preserve"> FD&amp;C RED NO. 3, ALUMINUM LAKE--DELISTED</t>
  </si>
  <si>
    <t xml:space="preserve"> &amp;diams; FD&amp;C RED NO. 3-ALUMINUM LAKE&lt;br /&gt;&amp;diams; ALUMINUM 3',6'-DIHYDROXY-2',4',5',7'-TETRAIODOSPIRO(ISOBENZOFURAN-1(3H),9'-(9H)XANTHEN)-3-ONE, (2:3)&lt;br /&gt;&amp;diams; ACID RED 51:1&lt;br /&gt;&amp;diams; C.I. PIGMENT RED 172&lt;br /&gt;&amp;diams; CERTOLAKE ERYTHROSINE&lt;br /&gt;&amp;diams; C.I. FOOD RED 14:1&lt;br /&gt;&amp;diams; C.I. ACID RED 51:1&lt;br /&gt;&amp;diams; C.I. 45430:1&lt;br /&gt;&amp;diams; FOOD RED 14:1&lt;br /&gt;&amp;diams; FOOD RED NO. 3-ALUMINUM LAKE&lt;br /&gt;&amp;diams; ERYTHROSINE-ALUMINUM LAKE&lt;br /&gt;&amp;diams; PIGMENT RED 172&lt;br /&gt;&amp;diams; SPIRO(ISOBENZOFURAN-1(3H),9'-(9H)XANTHEN)-3-ONE, 3',6'-DIHYDROXY-2',4',5',7'-TETRAIODO-, ALUMINUM SALT (3:2)</t>
  </si>
  <si>
    <t xml:space="preserve"> 977011-16-7</t>
  </si>
  <si>
    <t xml:space="preserve"> FD&amp;C RED NO. 3, CALCIUM LAKE--DELISTED</t>
  </si>
  <si>
    <t xml:space="preserve"> &amp;diams; ERYTHROSINE-CALCIUM LAKE&lt;br /&gt;&amp;diams; FD&amp;C RED NO. 3-CALCIUM LAKE</t>
  </si>
  <si>
    <t xml:space="preserve"> 4548-53-2</t>
  </si>
  <si>
    <t xml:space="preserve"> FD&amp;C RED NO. 4--DELISTED</t>
  </si>
  <si>
    <t xml:space="preserve"> &amp;diams; FD&amp;C RED NO. 4&lt;br /&gt;&amp;diams; PONCEAU SX&lt;br /&gt;&amp;diams; C.I. 14700&lt;br /&gt;&amp;diams; DISODIUM 3-((2,4-DIMETHYL-5-SULFOPHENYL)AZO)-4-HYDROXY-1-NAPHTHALENESULFONATE&lt;br /&gt;&amp;diams; D&amp;C RED NO. 4&lt;br /&gt;&amp;diams; DISODIUM 2-(5-SULFO-2,4-XYLYLAZO)-1-NAPHTHOL-4-SULFONATE&lt;br /&gt;&amp;diams; C.I. FOOD RED 1, DISODIUM SALT&lt;br /&gt;&amp;diams; EXT. D&amp;C RED NO. 24&lt;br /&gt;&amp;diams; RED SHADE #24&lt;br /&gt;&amp;diams; 1-NAPHTHALENESULFONIC ACID, 3-((2,4-DIMETHYL-5-SULFOPHENYL)AZO)-4-HYDROXY-, DISODIUM SALT&lt;br /&gt;&amp;diams; C.I. FOOD RED 1</t>
  </si>
  <si>
    <t xml:space="preserve"> 16423-68-0</t>
  </si>
  <si>
    <t xml:space="preserve"> FD&amp;C RED NO. 3</t>
  </si>
  <si>
    <t xml:space="preserve"> &amp;diams; FD&amp;C RED NO. 3&lt;br /&gt;&amp;diams; ERYTHROSINE&lt;br /&gt;&amp;diams; DISODIUM 2',4',5',7'-TETRAIODOFLUORESCEIN&lt;br /&gt;&amp;diams; ERYTHROSINE BS&lt;br /&gt;&amp;diams; SODIUM ERYTHROSIN&lt;br /&gt;&amp;diams; C.I. ACID RED 51&lt;br /&gt;&amp;diams; D&amp;C RED NO. 3&lt;br /&gt;&amp;diams; EBS&lt;br /&gt;&amp;diams; SPIRO(ISOBENZOFURAN-1(3H),9'-(9H)XANTHEN)-3-ONE, 3',6'-DIHYDROXY-2',4',5',7'-TETRAIODO-, DISODIUM SALT&lt;br /&gt;&amp;diams; FLUORESCEIN, 2',4',5',7'-TETRAIODO-, DISODIUM SALT&lt;br /&gt;&amp;diams; C.I. FOOD RED 14&lt;br /&gt;&amp;diams; C.I. 45430&lt;br /&gt;&amp;diams; ERYTHROSINE B&lt;br /&gt;&amp;diams; DISODIUM 9-(O-CARBOXYPHENYL)-6-HYDROXY-2,4,5,7-TETRAIODO-3H-XANTHEN-3-ONE MONOHYDRATE&lt;br /&gt;&amp;diams; DISODIUM 3',6'-DIHYDROXY-2',4',5',7'-TETRAIODOSPIRO(ISOBENZOFURAN-1(3H),9'-(9H)XANTHEN)-3-ONE&lt;br /&gt;&amp;diams; ACID RED 51&lt;br /&gt;&amp;diams; FOOD RED 14&lt;br /&gt;&amp;diams; ERYTHROSINE SODIUM&lt;br /&gt;&amp;diams; FOOD RED NO. 3&lt;br /&gt;&amp;diams;</t>
  </si>
  <si>
    <t xml:space="preserve"> COLOR OR COLORING ADJUNCT,&lt;br /&gt; SOLVENT OR VEHICLE</t>
  </si>
  <si>
    <t xml:space="preserve"> 25956-17-6</t>
  </si>
  <si>
    <t xml:space="preserve"> FD&amp;C RED NO. 40</t>
  </si>
  <si>
    <t xml:space="preserve"> &amp;diams; FD&amp;C RED NO. 40&lt;br /&gt;&amp;diams; C.I. 16035&lt;br /&gt;&amp;diams; C.I. FOOD RED 17&lt;br /&gt;&amp;diams; DISODIUM 6-HYDROXY-5-((2-METHOXY-5-METHYL-4-SULFOPHENYL)AZO)-2-NAPHTHALENESULFONATE&lt;br /&gt;&amp;diams; D&amp;C RED NO. 40&lt;br /&gt;&amp;diams; ALLURA RED&lt;br /&gt;&amp;diams; 2-NAPHTHALENESULFONIC ACID, 6-HYDROXY-5-((2-METHOXY-5-METHYL-4-SULFOPHENYL)AZO)-, DISODIUM SALT&lt;br /&gt;&amp;diams; 2-NAPHTHALENESULFONIC ACID, 6-HYDROXY-5-((6-METHOXY-4-SULFO-M-TOLYL)AZO)-, DISODIUM SALT&lt;br /&gt;&amp;diams; DISODIUM 6-HYDROXY-5-((6-METHOXY-4-SULFO-M-TOLYL)AZO)-2-NAPHTHALENESULFONATE&lt;br /&gt;&amp;diams; FOOD RED 17&lt;br /&gt;&amp;diams; ALLURA RED AC&lt;br /&gt;&amp;diams; FOOD RED NO. 40</t>
  </si>
  <si>
    <t xml:space="preserve"> 1694-09-3</t>
  </si>
  <si>
    <t xml:space="preserve"> FD&amp;C VIOLET NO. 1--DELISTED</t>
  </si>
  <si>
    <t xml:space="preserve"> &amp;diams; C.I. ACID VIOLET 49&lt;br /&gt;&amp;diams; C.I. 42640&lt;br /&gt;&amp;diams; FD&amp;C VIOLET NO. 1&lt;br /&gt;&amp;diams; BENZYL VIOLET 4B&lt;br /&gt;&amp;diams; BENZYL VIOLET&lt;br /&gt;&amp;diams; VIOLET 6B&lt;br /&gt;&amp;diams; D&amp;C VIOLET NO. 1&lt;br /&gt;&amp;diams; ACID VIOLET 6B&lt;br /&gt;&amp;diams; ACID VIOLET 49&lt;br /&gt;&amp;diams; ACID VIOLET 5B&lt;br /&gt;&amp;diams; C.I. ACID VIOLET 49, SODIUM SALT&lt;br /&gt;&amp;diams; C.I. FOOD VIOLET 2&lt;br /&gt;&amp;diams; BENZENEMETHANAMINIUM, N-(4-((4-(DIMETHYLAMINO)PHENYL)(4-(ETHYL((3-SULFOPHENYL)METHYL)AMINO)PHENYL)METHYLENE)-2,5-CYCLOHEXADIEN-1-YLIDENE)-N-ETHYL-3-SULFO-, INNER SALT, SODIUM SALT</t>
  </si>
  <si>
    <t xml:space="preserve"> 1934-21-0</t>
  </si>
  <si>
    <t xml:space="preserve"> FD&amp;C YELLOW NO. 5</t>
  </si>
  <si>
    <t xml:space="preserve"> &amp;diams; FD&amp;C YELLOW NO. 5&lt;br /&gt;&amp;diams; TARTRAZINE&lt;br /&gt;&amp;diams; TARTRAZINE LAKE&lt;br /&gt;&amp;diams; C.I. ACID YELLOW 23&lt;br /&gt;&amp;diams; TARTRAZINE O&lt;br /&gt;&amp;diams; TARTRAZINE YELLOW&lt;br /&gt;&amp;diams; D&amp;C YELLOW NO. 5&lt;br /&gt;&amp;diams; YELLOW LAKE 69&lt;br /&gt;&amp;diams; TRISODIUM 4,5-DIHYDRO-5-OXO-1-(4-SULFOPHENYL)-4-((4-SULFOPHENYL)AZO)-1H-PYRAZOLE-3-CARBOXYLATE&lt;br /&gt;&amp;diams; C.I. 19140&lt;br /&gt;&amp;diams; C.I. FOOD YELLOW 4&lt;br /&gt;&amp;diams; ACID YELLOW 23&lt;br /&gt;&amp;diams; 1H-PYRAZOLE-3-CARBOXYLIC ACID, 4,5-DIHYDRO-5-OXO-1-(4-SULFOPHENYL)-4-((4-SULFOPHENYL)AZO)-, TRISODIUM SALT&lt;br /&gt;&amp;diams; C.I. ACID YELLOW 23, TRISODIUM SALT&lt;br /&gt;&amp;diams; FOOD YELLOW NO. 4</t>
  </si>
  <si>
    <t xml:space="preserve"> 12225-21-7</t>
  </si>
  <si>
    <t xml:space="preserve"> FD&amp;C YELLOW NO. 5, ALUMINUM LAKE</t>
  </si>
  <si>
    <t xml:space="preserve"> &amp;diams; FD&amp;C YELLOW NO. 5-ALUMINUM LAKE&lt;br /&gt;&amp;diams; ACID YELLOW 23-ALUMINUM LAKE&lt;br /&gt;&amp;diams; C.I. PIGMENT YELLOW 100&lt;br /&gt;&amp;diams; C.I. 19140:1&lt;br /&gt;&amp;diams; C.I. ACID YELLOW 23-ALUMINUM LAKE&lt;br /&gt;&amp;diams; FOOD YELLOW NO. 4-ALUMINUM LAKE&lt;br /&gt;&amp;diams; JAPAN YELLOW 4 LAKE&lt;br /&gt;&amp;diams; JAPAN YELLOW 4-ALUMINUM LAKE&lt;br /&gt;&amp;diams; TARTRAZINE-ALUMINUM LAKE</t>
  </si>
  <si>
    <t xml:space="preserve"> 977011-18-9</t>
  </si>
  <si>
    <t xml:space="preserve"> FD&amp;C YELLOW NO. 5, CALCIUM LAKE</t>
  </si>
  <si>
    <t xml:space="preserve"> &amp;diams; FD&amp;C YELLOW NO. 5-CALCIUM LAKE&lt;br /&gt;&amp;diams; TARTRAZINE-CALCIUM LAKE</t>
  </si>
  <si>
    <t xml:space="preserve"> 2783-94-0</t>
  </si>
  <si>
    <t xml:space="preserve"> FD&amp;C YELLOW NO. 6</t>
  </si>
  <si>
    <t xml:space="preserve"> &amp;diams; FD&amp;C YELLOW NO. 6&lt;br /&gt;&amp;diams; SUNSET YELLOW&lt;br /&gt;&amp;diams; DISODIUM 6-HYDROXY-5-((4-SULFOPHENYL)AZO)-2-NAPHTHALENESULFONATE&lt;br /&gt;&amp;diams; SOLAR RADIATION COLOR&lt;br /&gt;&amp;diams; C.I. FOOD YELLOW 3, DISODIUM SALT&lt;br /&gt;&amp;diams; SUNSET YELLOW FCF&lt;br /&gt;&amp;diams; YELLOW ORANGE S&lt;br /&gt;&amp;diams; C.I. 15985&lt;br /&gt;&amp;diams; D&amp;C YELLOW NO. 6&lt;br /&gt;&amp;diams; 2-NAPHTHALENESULFONIC ACID, 6-HYDROXY-5-((4-SULFOPHENYL)AZO)-, DISODIUM SALT&lt;br /&gt;&amp;diams; ORANGE YELLOW S&lt;br /&gt;&amp;diams; C.I. FOOD YELLOW 3&lt;br /&gt;&amp;diams; FOOD YELLOW NO. 5</t>
  </si>
  <si>
    <t xml:space="preserve"> 15790-07-5</t>
  </si>
  <si>
    <t xml:space="preserve"> FD&amp;C YELLOW NO. 6, ALUMINUM LAKE</t>
  </si>
  <si>
    <t xml:space="preserve"> &amp;diams; FD&amp;C YELLOW NO. 6-ALUMINUM LAKE&lt;br /&gt;&amp;diams; C.I. PIGMENT YELLOW 104&lt;br /&gt;&amp;diams; C.I. 15985:1&lt;br /&gt;&amp;diams; FOOD YELLOW NO. 5-ALUMINUM LAKE&lt;br /&gt;&amp;diams; SUNSET YELLOW FCF-ALUMINUM LAKE</t>
  </si>
  <si>
    <t xml:space="preserve"> 977083-04-7</t>
  </si>
  <si>
    <t xml:space="preserve"> FD&amp;C YELLOW NO. 6, CALCIUM LAKE</t>
  </si>
  <si>
    <t xml:space="preserve"> &amp;diams; FD&amp;C YELLOW NO. 6-CALCIUM LAKE&lt;br /&gt;&amp;diams; SUNSET YELLOW FCF-CALCIUM LAKE</t>
  </si>
  <si>
    <t xml:space="preserve"> 2353-45-9</t>
  </si>
  <si>
    <t xml:space="preserve"> FD&amp;C GREEN NO. 3</t>
  </si>
  <si>
    <t xml:space="preserve"> &amp;diams; FD&amp;C GREEN NO. 3&lt;br /&gt;&amp;diams; C.I. FOOD GREEN 3, DISODIUM SALT&lt;br /&gt;&amp;diams; FAST GREEN FCF&lt;br /&gt;&amp;diams; D&amp;C GREEN NO. 3&lt;br /&gt;&amp;diams; BENZENEMETHANAMINIUM, N-ETHYL-N-(4-((4-(ETHYL((3-SULFOPHENYL)METHYL)AMINO)PHENYL)(4-HYDROXY-2-SULFOPHENYL)METHYLENE)-2,5-CYCLOHEXADIEN-1-YLIDENE)-3-SULFO-, INNER SALT, DISODIUM SALT&lt;br /&gt;&amp;diams; C.I. FOOD GREEN 3&lt;br /&gt;&amp;diams; C.I. 42053&lt;br /&gt;&amp;diams; FOOD GREEN NO. 3</t>
  </si>
  <si>
    <t xml:space="preserve"> 977011-88-3</t>
  </si>
  <si>
    <t xml:space="preserve"> FD&amp;C GREEN NO. 3, ALUMINUM LAKE</t>
  </si>
  <si>
    <t xml:space="preserve"> &amp;diams; FD&amp;C GREEN NO. 3-ALUMINUM LAKE&lt;br /&gt;&amp;diams; FOOD GREEN NO. 3-ALUMINUM LAKE&lt;br /&gt;&amp;diams; FAST GREEN FCF-ALUMINUM LAKE</t>
  </si>
  <si>
    <t xml:space="preserve"> 977154-53-2</t>
  </si>
  <si>
    <t xml:space="preserve"> FD&amp;C RED NO. 40, ALUMINUM LAKE</t>
  </si>
  <si>
    <t xml:space="preserve"> &amp;diams; FD&amp;C RED NO. 40-ALUMINUM LAKE&lt;br /&gt;&amp;diams; ALLURA RED AC-ALUMINUM LAKE&lt;br /&gt;&amp;diams; FOOD RED NO. 40-ALUMINUM LAKE</t>
  </si>
  <si>
    <t xml:space="preserve"> 977011-17-8</t>
  </si>
  <si>
    <t xml:space="preserve"> FD&amp;C RED NO. 40, CALCIUM LAKE</t>
  </si>
  <si>
    <t xml:space="preserve"> &amp;diams; FD&amp;C RED NO. 40-CALCIUM LAKE&lt;br /&gt;&amp;diams; ALLURA RED AC-CALCIUM LAKE</t>
  </si>
  <si>
    <t xml:space="preserve"> 4695-62-9</t>
  </si>
  <si>
    <t xml:space="preserve"> D-FENCHONE</t>
  </si>
  <si>
    <t xml:space="preserve"> &amp;diams; FENCHONE, D-&lt;br /&gt;&amp;diams; 2-FENCHANONE, D-&lt;br /&gt;&amp;diams; 1,3,3-TRIMETHYLBICYCLO(2.2.1)HEPTAN-2-ONE&lt;br /&gt;&amp;diams; 1,3,3-TRIMETHYL-2-NORBORNANONE, D-&lt;br /&gt;&amp;diams; 1,3,3-TRIMETHYL-2-NORCAMPHANONE, D-&lt;br /&gt;&amp;diams; BICYCLO(2.2.1)HEPTAN-2-ONE, 1,3,3-TRIMETHYL-, (1S,4R)-&lt;br /&gt;&amp;diams; 1,3,3-TRIMETHYLBICYCLO(2.2.1)HEPTAN-2-ONE, (1S)-&lt;br /&gt;&amp;diams; 2-NORBORNANONE, 1,3,3-TRIMETHYL-, (1S,4R)-(+)-&lt;br /&gt;&amp;diams; 1,3,3-TRIMETHYL-2-NORBORNANONE, (1S,4R)-(+)-</t>
  </si>
  <si>
    <t xml:space="preserve"> 1632-73-1</t>
  </si>
  <si>
    <t xml:space="preserve"> FENCHYL ALCOHOL</t>
  </si>
  <si>
    <t xml:space="preserve"> &amp;diams; FENCHYL ALCOHOL&lt;br /&gt;&amp;diams; 2-FENCHANOL&lt;br /&gt;&amp;diams; 1,3,3-TRIMETHYLBICYCLO(2.2.1)HEPTAN-2-OL&lt;br /&gt;&amp;diams; 1,3,3-TRIMETHYL-2-NORBORNANOL&lt;br /&gt;&amp;diams; BICYCLO(2.2.1)HEPTAN-2-OL, 1,3,3-TRIMETHYL-&lt;br /&gt;&amp;diams; 2-NORBORNANOL, 1,3,3-TRIMETHYL-&lt;br /&gt;&amp;diams; FENCHOL</t>
  </si>
  <si>
    <t xml:space="preserve"> 977001-13-0</t>
  </si>
  <si>
    <t xml:space="preserve"> FENNEL, COMMON (FOENICULUM VULGARE MILL.)</t>
  </si>
  <si>
    <t xml:space="preserve"> &amp;diams; FENNEL&lt;br /&gt;&amp;diams; FENNEL, COMMON&lt;br /&gt;&amp;diams; FOENICULUM VULGARE&lt;br /&gt;&amp;diams; FENOUIL (FOENICULUM VULGARE)</t>
  </si>
  <si>
    <t xml:space="preserve"> 977007-85-4</t>
  </si>
  <si>
    <t xml:space="preserve"> FENNEL, SWEET (FOENICULUM VULGARE MILL. VAR. DULCE (D.C.) ALEF.)</t>
  </si>
  <si>
    <t xml:space="preserve"> &amp;diams; FENNEL, SWEET&lt;br /&gt;&amp;diams; FENNEL, FLORENCE&lt;br /&gt;&amp;diams; FINOCHIO&lt;br /&gt;&amp;diams; FOENICULUM VULGARE VAR. DULCE</t>
  </si>
  <si>
    <t xml:space="preserve"> 8006-84-6</t>
  </si>
  <si>
    <t xml:space="preserve"> FENNEL, SWEET, OIL (FOENICULUM VULGARE MILL. VAR. DULCE (D.C.) ALEF.)</t>
  </si>
  <si>
    <t xml:space="preserve"> &amp;diams; FENNEL OIL&lt;br /&gt;&amp;diams; FENNEL OIL, SWEET&lt;br /&gt;&amp;diams; OILS, FENNEL&lt;br /&gt;&amp;diams; FOENICULUM VULGARE VAR. DULCE OIL</t>
  </si>
  <si>
    <t xml:space="preserve"> 977155-29-5</t>
  </si>
  <si>
    <t xml:space="preserve"> FENUGREEK (TRIGONELLA FOENUM-GRAECUM L.)</t>
  </si>
  <si>
    <t xml:space="preserve"> &amp;diams; FENUGREEK&lt;br /&gt;&amp;diams; FOENUGREEK&lt;br /&gt;&amp;diams; TRIGONELLA FOENUM-GRAECUM&lt;br /&gt;&amp;diams; FENUGREC (TRIGONELLA FOENUM-GRACEUM)</t>
  </si>
  <si>
    <t xml:space="preserve"> 84625-40-1</t>
  </si>
  <si>
    <t xml:space="preserve"> FENUGREEK, EXTRACT (TRIGONELLA FOENUM-GRAECUM L.)</t>
  </si>
  <si>
    <t xml:space="preserve"> &amp;diams; FENUGREEK EXTRACT&lt;br /&gt;&amp;diams; FENUGREEK, EXT.&lt;br /&gt;&amp;diams; TRIGONELLA FOENUM-GRAECUM EXTRACT</t>
  </si>
  <si>
    <t xml:space="preserve"> 977018-53-3</t>
  </si>
  <si>
    <t xml:space="preserve"> FENUGREEK, OLEORESIN (TRIGONELLA FOENUM-GRAECUM L.)</t>
  </si>
  <si>
    <t xml:space="preserve"> &amp;diams; FENUGREEK OLEORESIN&lt;br /&gt;&amp;diams; TRIGONELLA FOENUM-GRAECUM OLEORESIN</t>
  </si>
  <si>
    <t xml:space="preserve"> 1332-98-5</t>
  </si>
  <si>
    <t xml:space="preserve"> FERRIC AMMONIUM CITRATE, BROWN</t>
  </si>
  <si>
    <t xml:space="preserve"> &amp;diams; FERRIC AMMONIUM CITRATE, BROWN&lt;br /&gt;&amp;diams; AMMONIUM IRON CITRATE HYDRATE&lt;br /&gt;&amp;diams; AMMONIUM IRON CITRATE, SOLUBLE&lt;br /&gt;&amp;diams; AMMONIUM IRON 2-HYDROXY-1,2,3-PROPANETRICARBOXYLATE HYDRATE&lt;br /&gt;&amp;diams; FERRIC CITRATE, SOLUBLE&lt;br /&gt;&amp;diams; CITRIC ACID, AMMONIUM IRON SALT, SOLUBLE&lt;br /&gt;&amp;diams; IRON AMMONIUM CITRATE HYDRATE&lt;br /&gt;&amp;diams; 1,2,3-PROPANETRICARBOXYLIC ACID, 2-HYDROXY-, AMMONIUM IRON SALT, HYDRATE</t>
  </si>
  <si>
    <t xml:space="preserve"> 7705-08-0</t>
  </si>
  <si>
    <t xml:space="preserve"> FERRIC CHLORIDE</t>
  </si>
  <si>
    <t xml:space="preserve"> &amp;diams; IRON(III) CHLORIDE&lt;br /&gt;&amp;diams; IRON CHLORIDE (FECL3)&lt;br /&gt;&amp;diams; IRON PERCHLORIDE&lt;br /&gt;&amp;diams; IRON TRICHLORIDE</t>
  </si>
  <si>
    <t xml:space="preserve"> ENZYME,&lt;br /&gt; FLAVORING AGENT OR ADJUVANT,&lt;br /&gt; PROCESSING AID</t>
  </si>
  <si>
    <t xml:space="preserve"> 28633-45-6</t>
  </si>
  <si>
    <t xml:space="preserve"> FERRIC CITRATE</t>
  </si>
  <si>
    <t xml:space="preserve"> &amp;diams; IRON(III) CITRATE&lt;br /&gt;&amp;diams; 1,2,3-PROPANETRICARBOXYLIC ACID, 2-HYDROXY-, IRON(3+) SALT&lt;br /&gt;&amp;diams; CITRIC ACID, IRON(3+) SALT&lt;br /&gt;&amp;diams; IRON(III) 2-HYDROXY-1,2,3-PROPANETRICARBOXYLATE</t>
  </si>
  <si>
    <t xml:space="preserve"> 1309-37-1</t>
  </si>
  <si>
    <t xml:space="preserve"> FERRIC OXIDE</t>
  </si>
  <si>
    <t xml:space="preserve"> &amp;diams; IRON(III) OXIDE&lt;br /&gt;&amp;diams; BURNT UMBER&lt;br /&gt;&amp;diams; VENETIAN RED&lt;br /&gt;&amp;diams; SIENNA BROWN&lt;br /&gt;&amp;diams; RED OXIDE&lt;br /&gt;&amp;diams; IRON TRIOXIDE&lt;br /&gt;&amp;diams; RED IRON OXIDE&lt;br /&gt;&amp;diams; IRON SESQUIOXIDE&lt;br /&gt;&amp;diams; C.I. PIGMENT RED 101&lt;br /&gt;&amp;diams; FERRIC SESQUIOXIDE&lt;br /&gt;&amp;diams; JEWELERS ROUGE&lt;br /&gt;&amp;diams; HEMATITE MINERAL&lt;br /&gt;&amp;diams; IRON OXIDE (FE2O3)&lt;br /&gt;&amp;diams; IRON OXIDE RED&lt;br /&gt;&amp;diams; C.I. 77491&lt;br /&gt;&amp;diams; PIGMENT RED 101&lt;br /&gt;&amp;diams; OCHRE &lt;br /&gt;&amp;diams;</t>
  </si>
  <si>
    <t xml:space="preserve"> 977089-86-3</t>
  </si>
  <si>
    <t xml:space="preserve"> FERRIC PEPTONATE</t>
  </si>
  <si>
    <t xml:space="preserve"> &amp;diams; FERRIC PEPTONATE</t>
  </si>
  <si>
    <t xml:space="preserve"> 10045-86-0</t>
  </si>
  <si>
    <t xml:space="preserve"> FERRIC PHOSPHATE</t>
  </si>
  <si>
    <t xml:space="preserve"> &amp;diams; IRON(III) PHOSPHATE&lt;br /&gt;&amp;diams; FERRIC ORTHOPHOSPHATE&lt;br /&gt;&amp;diams; PHOSPHORIC ACID, IRON(3+) SALT (1:1)&lt;br /&gt;&amp;diams; IRON(3+) PHOSPHATE, (1:1)</t>
  </si>
  <si>
    <t xml:space="preserve"> 10058-44-3</t>
  </si>
  <si>
    <t xml:space="preserve"> FERRIC PYROPHOSPHATE</t>
  </si>
  <si>
    <t xml:space="preserve"> &amp;diams; IRON(III) PYROPHOSPHATE&lt;br /&gt;&amp;diams; FERRIC PYROPHOSPHATE&lt;br /&gt;&amp;diams; DIPHOSPHORIC ACID, IRON(3+) SALT (3:4)&lt;br /&gt;&amp;diams; IRON(3+) PYROPHOSPHATE&lt;br /&gt;&amp;diams; IRON(3+) DIPHOSPHORATE, (4:3)&lt;br /&gt;&amp;diams; PYROPHOSPHORIC ACID, IRON(3+) SALT (3:4)</t>
  </si>
  <si>
    <t xml:space="preserve"> 10045-87-1</t>
  </si>
  <si>
    <t xml:space="preserve"> FERRIC SODIUM PYROPHOSPHATE</t>
  </si>
  <si>
    <t xml:space="preserve"> &amp;diams; IRON(III) SODIUM PYROPHOSPHATE&lt;br /&gt;&amp;diams; FERRIC SODIUM PYROPHOSPHATE&lt;br /&gt;&amp;diams; DIPHOSPHORIC ACID, IRON(3+) SODIUM SALT (1:1:1)&lt;br /&gt;&amp;diams; IRON(3+) SODIUM PYROPHOSPHATE&lt;br /&gt;&amp;diams; PYROPHOSPHORIC ACID, IRON(3+) SODIUM SALT (1:1:1)&lt;br /&gt;&amp;diams; SODIUM FERRIC PYROPHOSPHATE</t>
  </si>
  <si>
    <t xml:space="preserve"> 10028-22-5</t>
  </si>
  <si>
    <t xml:space="preserve"> FERRIC SULFATE</t>
  </si>
  <si>
    <t xml:space="preserve"> &amp;diams; IRON(III) SULFATE&lt;br /&gt;&amp;diams; COQUIMBITE MINERAL&lt;br /&gt;&amp;diams; FERRIC PERSULFATE&lt;br /&gt;&amp;diams; FERRIC SESQUISULFATE&lt;br /&gt;&amp;diams; FERRIC TERSULFATE&lt;br /&gt;&amp;diams; IRON(3+) SULFATE&lt;br /&gt;&amp;diams; SULFURIC ACID, IRON(3+) SALT (3:2)&lt;br /&gt;&amp;diams; IRON(3+) SULFATE, (2:3)&lt;br /&gt;&amp;diams; IRON SULFATE (FE2(SO4)3)&lt;br /&gt;&amp;diams; IRON SESQUISULFATE</t>
  </si>
  <si>
    <t xml:space="preserve"> 977171-91-7</t>
  </si>
  <si>
    <t xml:space="preserve"> FERROCYANIDE SALTS</t>
  </si>
  <si>
    <t xml:space="preserve"> &amp;diams; FERROCYANIDE SALT&lt;br /&gt;&amp;diams; FERROCYANIDE COMPOUND</t>
  </si>
  <si>
    <t xml:space="preserve"> 24808-52-4</t>
  </si>
  <si>
    <t xml:space="preserve"> FERROUS ASCORBATE</t>
  </si>
  <si>
    <t xml:space="preserve"> &amp;diams; IRON(II) ASCORBATE&lt;br /&gt;&amp;diams; FERROUS CEVITAMATE&lt;br /&gt;&amp;diams; IRON(2+) L-ASCORBATE&lt;br /&gt;&amp;diams; FERRATE(2-), BIS(L-ASCORBATO(2-)-02,03)-, DIHYDROGEN&lt;br /&gt;&amp;diams; DIHYDROGEN BIS(L-ASCORBATO(2-)-02,03)FERRATE(2-)&lt;br /&gt;&amp;diams; L-ASCORBIC ACID, IRON(2+) SALT (2:1)&lt;br /&gt;&amp;diams; L-ASCORBIC ACID, IRON COMPLEX&lt;br /&gt;&amp;diams; FERROUS ASCORBATE</t>
  </si>
  <si>
    <t xml:space="preserve"> 563-71-3</t>
  </si>
  <si>
    <t xml:space="preserve"> FERROUS CARBONATE</t>
  </si>
  <si>
    <t xml:space="preserve"> &amp;diams; IRON(II) CARBONATE&lt;br /&gt;&amp;diams; CARBONIC ACID, IRON(2+) SALT (1:1)&lt;br /&gt;&amp;diams; IRON(2+) CARBONATE&lt;br /&gt;&amp;diams; FERROUS CARBONATE&lt;br /&gt;&amp;diams; FERROUS MONOCARBONATE</t>
  </si>
  <si>
    <t xml:space="preserve"> 23383-11-1</t>
  </si>
  <si>
    <t xml:space="preserve"> FERROUS CITRATE</t>
  </si>
  <si>
    <t xml:space="preserve"> &amp;diams; IRON(II) CITRATE&lt;br /&gt;&amp;diams; 1,2,3-PROPANETRICARBOXYLIC ACID, 2-HYDROXY-, IRON(2+) SALT&lt;br /&gt;&amp;diams; IRON(2+) 2-HYDROXY-1,2,3-PROPANETRICARBOXYLATE&lt;br /&gt;&amp;diams; CITRIC ACID, IRON(2+) SALT&lt;br /&gt;&amp;diams; IRON(2+) CITRATE&lt;br /&gt;&amp;diams; FERROUS CITRATE</t>
  </si>
  <si>
    <t xml:space="preserve"> 141-01-5</t>
  </si>
  <si>
    <t xml:space="preserve"> FERROUS FUMARATE</t>
  </si>
  <si>
    <t xml:space="preserve"> &amp;diams; IRON(II) FUMARATE&lt;br /&gt;&amp;diams; FERROUS FUMARATE&lt;br /&gt;&amp;diams; FUMARIC ACID, IRON(2+) SALT (1:1)&lt;br /&gt;&amp;diams; 2-BUTENEDIOIC ACID (E)-, IRON(2+) SALT (1:1)&lt;br /&gt;&amp;diams; IRON 2-BUTENEDIOATE, (E)-</t>
  </si>
  <si>
    <t xml:space="preserve"> 6047-12-7</t>
  </si>
  <si>
    <t xml:space="preserve"> FERROUS GLUCONATE</t>
  </si>
  <si>
    <t xml:space="preserve"> &amp;diams; IRON(II) GLUCONATE&lt;br /&gt;&amp;diams; FERROUS GLUCONATE&lt;br /&gt;&amp;diams; IRON, BIS(D-GLUCONATO-O1,O2)-, DIHYDRATE&lt;br /&gt;&amp;diams; GLUCONIC ACID, IRON(2+) SALT, DIHYDRATE&lt;br /&gt;&amp;diams; FERROUS GLUCONATE USP&lt;br /&gt;&amp;diams; BIS(D-GLUCONATO-O1,O2)IRON DIHYDRATE&lt;br /&gt;&amp;diams; IRON(II) GLUCONATE DIHYDRATE&lt;br /&gt;&amp;diams; FERROUS GLUCONATE DIHYDRATE&lt;br /&gt;&amp;diams; IRON(2+) GLUCONATE DIHYDRATE</t>
  </si>
  <si>
    <t xml:space="preserve"> COLOR OR COLORING ADJUNCT,&lt;br /&gt; NUTRIENT SUPPLEMENT</t>
  </si>
  <si>
    <t xml:space="preserve"> 5905-52-2</t>
  </si>
  <si>
    <t xml:space="preserve"> FERROUS LACTATE</t>
  </si>
  <si>
    <t xml:space="preserve"> &amp;diams; IRON(II) LACTATE&lt;br /&gt;&amp;diams; IRON(2+) LACTATE, (2:1)&lt;br /&gt;&amp;diams; FERROUS LACTATE&lt;br /&gt;&amp;diams; PROPANOIC ACID, 2-HYDROXY-, IRON(2+) SALT (2:1)&lt;br /&gt;&amp;diams; IRON(2+) 2-HYDROXYPROPANOATE, (2:1)&lt;br /&gt;&amp;diams; LACTIC ACID, IRON(2+) SALT (2:1)&lt;br /&gt;&amp;diams; iron, bis(2-(hydroxy-kappaO)propanoato-kappaO)-, (T-4)-&lt;br /&gt;&amp;diams; bis(2-(hydroxy-kappaO)propanoato-kappaO)iron, (T-4)-&lt;br /&gt;&amp;diams; bis(2-hydroxypropanoato-O1,O2)iron, (T-4)-</t>
  </si>
  <si>
    <t xml:space="preserve"> 85993-25-5</t>
  </si>
  <si>
    <t xml:space="preserve"> FERROUS L-LACTATE</t>
  </si>
  <si>
    <t xml:space="preserve"> 977089-87-4</t>
  </si>
  <si>
    <t xml:space="preserve"> FERROUS PEPTONATE</t>
  </si>
  <si>
    <t xml:space="preserve"> &amp;diams; FERROUS PEPTONATE</t>
  </si>
  <si>
    <t xml:space="preserve"> 7782-63-0</t>
  </si>
  <si>
    <t xml:space="preserve"> FERROUS SULFATE</t>
  </si>
  <si>
    <t xml:space="preserve"> &amp;diams; IRON(II) SULFATE HEPTAHYDRATE&lt;br /&gt;&amp;diams; COPPERAS&lt;br /&gt;&amp;diams; FERROUS SULFATE HEPTAHYDRATE&lt;br /&gt;&amp;diams; GREEN VITRIOL&lt;br /&gt;&amp;diams; IRON VITRIOL&lt;br /&gt;&amp;diams; IRON(2+) SULFATE HEPTAHYDRATE&lt;br /&gt;&amp;diams; MELANTERITE MINERAL&lt;br /&gt;&amp;diams; TAURISCITE MINERAL&lt;br /&gt;&amp;diams; SIDEROTIL MINERAL&lt;br /&gt;&amp;diams; SZOMOLNIKITE MINERAL&lt;br /&gt;&amp;diams; SULFURIC ACID, IRON(2+) SALT (1:1), HEPTAHYDRATE</t>
  </si>
  <si>
    <t xml:space="preserve"> NUTRIENT SUPPLEMENT,&lt;br /&gt; PROCESSING AID,&lt;br /&gt; STABILIZER OR THICKENER</t>
  </si>
  <si>
    <t xml:space="preserve"> 9001-33-6</t>
  </si>
  <si>
    <t xml:space="preserve"> FICIN</t>
  </si>
  <si>
    <t xml:space="preserve"> &amp;diams; FICIN&lt;br /&gt;&amp;diams; HIGUEROXYL DELABARRE&lt;br /&gt;&amp;diams; FICUS PROTEASE</t>
  </si>
  <si>
    <t xml:space="preserve"> 8021-29-2</t>
  </si>
  <si>
    <t xml:space="preserve"> FIR (PINE) NEEDLES AND TWIGS (ABIES SIBIRICA LEDEB.)</t>
  </si>
  <si>
    <t xml:space="preserve"> &amp;diams; FIR NEEDLE OIL, SIBERIAN&lt;br /&gt;&amp;diams; ABIES SIBIRICA OIL&lt;br /&gt;&amp;diams; OILS, SIBERIAN FIR&lt;br /&gt;&amp;diams; SIBERIAN FIR OIL</t>
  </si>
  <si>
    <t xml:space="preserve"> 8021-28-1</t>
  </si>
  <si>
    <t xml:space="preserve"> FIR NEEDLES AND TWIGS, OIL (ABIES SPP.)</t>
  </si>
  <si>
    <t xml:space="preserve"> &amp;diams; FIR NEEDLE OIL, CANADIAN&lt;br /&gt;&amp;diams; ABIES BALSAMEA OIL&lt;br /&gt;&amp;diams; CANADA BALSAM NEEDLE OIL&lt;br /&gt;&amp;diams; FIR OIL&lt;br /&gt;&amp;diams; OILS, FIR</t>
  </si>
  <si>
    <t xml:space="preserve"> 91078-95-4</t>
  </si>
  <si>
    <t xml:space="preserve"> FISH OIL (HYDROGENATED)</t>
  </si>
  <si>
    <t xml:space="preserve"> &amp;diams; FISH OIL, HYDROGENATED&lt;br /&gt;&amp;diams; FATS AND GLYCERIDIC OILS, FISH, HYDROGENATED&lt;br /&gt;&amp;diams; HYDROGENATED FISH OIL</t>
  </si>
  <si>
    <t xml:space="preserve"> 977050-73-9</t>
  </si>
  <si>
    <t xml:space="preserve"> FISH PROTEIN CONCENTRATE, WHOLE</t>
  </si>
  <si>
    <t xml:space="preserve"> &amp;diams; FISH PROTEIN CONCENTRATE&lt;br /&gt;&amp;diams; FISH, WHOLE PROTEIN CONCENTRATE&lt;br /&gt;&amp;diams; WHOLE FISH PROTEIN CONCENTRATE</t>
  </si>
  <si>
    <t xml:space="preserve"> 977080-38-8</t>
  </si>
  <si>
    <t xml:space="preserve"> FISH PROTEIN ISOLATE</t>
  </si>
  <si>
    <t xml:space="preserve"> &amp;diams; FISH PROTEIN ISOLATE</t>
  </si>
  <si>
    <t xml:space="preserve"> 59-30-3</t>
  </si>
  <si>
    <t xml:space="preserve"> FOLIC ACID</t>
  </si>
  <si>
    <t xml:space="preserve"> &amp;diams; FOLIC ACID&lt;br /&gt;&amp;diams; PTEROYLGLUTAMIC ACID&lt;br /&gt;&amp;diams; FOLACIN&lt;br /&gt;&amp;diams; L-GLUTAMIC ACID, N-(4-((2-AMINO-1,4-DIHYDRO-4-OXO-6-PTERIDINYL)METHYL)AMINO)BENZOYL)-&lt;br /&gt;&amp;diams; N-(4-((2-AMINO-1,4-DIHYDRO-4-OXO-6-PTERIDINYL)METHYL)AMINO)BENZOYL)-L-GLUTAMIC ACID</t>
  </si>
  <si>
    <t xml:space="preserve"> 101.79 ,  101.9 ,  107.100 ,  137.165 ,  137.185 ,  137.260 ,  137.305 ,  137.350 ,  139.115 ,  139.122 ,  139.155</t>
  </si>
  <si>
    <t xml:space="preserve"> 50-00-0</t>
  </si>
  <si>
    <t xml:space="preserve"> FORMALDEHYDE</t>
  </si>
  <si>
    <t xml:space="preserve"> &amp;diams; FORMALDEHYDE&lt;br /&gt;&amp;diams; OXYMETHYLENE&lt;br /&gt;&amp;diams; METHANAL</t>
  </si>
  <si>
    <t xml:space="preserve"> 64-18-6</t>
  </si>
  <si>
    <t xml:space="preserve"> FORMIC ACID</t>
  </si>
  <si>
    <t xml:space="preserve"> &amp;diams; FORMIC ACID&lt;br /&gt;&amp;diams; METHANOIC ACID&lt;br /&gt;&amp;diams; C1 ACID&lt;br /&gt;&amp;diams; HYDROGEN CARBOXYLIC ACID</t>
  </si>
  <si>
    <t xml:space="preserve"> 564-94-3</t>
  </si>
  <si>
    <t xml:space="preserve"> 2-FORMYL-6,6-DIMETHYLBICYCLO(3.1.1)HEPT-2-ENE</t>
  </si>
  <si>
    <t xml:space="preserve"> &amp;diams; MYRTENAL&lt;br /&gt;&amp;diams; 6,6-DIMETHYL-2-NORPINENE-2-CARBOXALDEHYDE&lt;br /&gt;&amp;diams; BENIHINAL&lt;br /&gt;&amp;diams; 2-FORMYL-6,6-DIMETHYLBICYCLO(3.1.1)HEPT-2-ENE&lt;br /&gt;&amp;diams; BICYCLO(3.1.1)HEPT-2-ENE-2-CARBOXALDEHYDE, 6,6-DIMETHYL-&lt;br /&gt;&amp;diams; 6,6-DIMETHYLBICYCLO(3.1.1)HEPT-2-ENE-2-CARBOXALDEHYDE&lt;br /&gt;&amp;diams; 2-NORPINENE-2-CARBOXALDEHYDE, 6,6-DIMETHYL-</t>
  </si>
  <si>
    <t xml:space="preserve"> 930587-76-1</t>
  </si>
  <si>
    <t xml:space="preserve"> 4-FORMYL-2-METHOXYPHENYL 2-HYDROXYPROPANOATE</t>
  </si>
  <si>
    <t xml:space="preserve"> &amp;diams; VANILLIN LACTATE&lt;br /&gt;&amp;diams; propanoic acid, 2-hydroxy-, 4-formyl-2-methoxyphenyl ester&lt;br /&gt;&amp;diams; 4-formyl-2-methoxyphenyl 2-hydroxypropanoate</t>
  </si>
  <si>
    <t xml:space="preserve"> 8031-18-3</t>
  </si>
  <si>
    <t xml:space="preserve"> FULLERS EARTH</t>
  </si>
  <si>
    <t xml:space="preserve"> &amp;diams; FULLER'S EARTH&lt;br /&gt;&amp;diams; FLORIDIN</t>
  </si>
  <si>
    <t xml:space="preserve"> 977147-94-6</t>
  </si>
  <si>
    <t xml:space="preserve"> FUNGAL HEMICELLULASE</t>
  </si>
  <si>
    <t xml:space="preserve"> &amp;diams; HEMICELLULASE, FUNGAL&lt;br /&gt;&amp;diams; FUNGAL HEMICELLULASE</t>
  </si>
  <si>
    <t xml:space="preserve"> 977033-80-9</t>
  </si>
  <si>
    <t xml:space="preserve"> FUNGAL PECTINASE</t>
  </si>
  <si>
    <t xml:space="preserve"> &amp;diams; POLYGALACTURONASE, FUNGAL&lt;br /&gt;&amp;diams; FUNGAL PECTINASE&lt;br /&gt;&amp;diams; PECTINASE, FUNGAL</t>
  </si>
  <si>
    <t xml:space="preserve"> 59020-90-5</t>
  </si>
  <si>
    <t xml:space="preserve"> 2-FURANMETHANETHIOL FORMATE</t>
  </si>
  <si>
    <t xml:space="preserve"> &amp;diams; 2-FURANMETHANETHIOL FORMATE&lt;br /&gt;&amp;diams; FURFURYL MERCAPTAN FORMATE&lt;br /&gt;&amp;diams; FURFURYLTHIOL FORMATE&lt;br /&gt;&amp;diams; METHANETHIOIC ACID, 3-(2-FURANYLMETHYL) ESTER&lt;br /&gt;&amp;diams; S-(2-FURANYLMETHYL) METHANETHIOATE&lt;br /&gt;&amp;diams; 3-(2-FURANYLMETHYL) METHANETHIOATE</t>
  </si>
  <si>
    <t xml:space="preserve"> 180031-78-1</t>
  </si>
  <si>
    <t xml:space="preserve"> 4-((FURANMETHYL)THIO)-2-PENTANONE</t>
  </si>
  <si>
    <t xml:space="preserve"> &amp;diams; 4-FURFURYLTHIO-2-PENTANONE&lt;br /&gt;&amp;diams; 2-PENTANONE, 4-((2-FURANYLMETHYL)THIO)-&lt;br /&gt;&amp;diams; 4-((2-FURANYLMETHYL)THIO)-2-PENTANONE&lt;br /&gt;&amp;diams; 4-(FURAN-2-YLMETHYLSULFANYL)PENTANE-2-ONE</t>
  </si>
  <si>
    <t xml:space="preserve"> 9000-21-9</t>
  </si>
  <si>
    <t xml:space="preserve"> FURCELLERAN</t>
  </si>
  <si>
    <t xml:space="preserve"> &amp;diams; FURCELLARAN&lt;br /&gt;&amp;diams; FURCELLARIA GUM&lt;br /&gt;&amp;diams; FURCELLERAN</t>
  </si>
  <si>
    <t xml:space="preserve"> 977089-77-2</t>
  </si>
  <si>
    <t xml:space="preserve"> FURCELLERAN, AMMONIUM SALT OF</t>
  </si>
  <si>
    <t xml:space="preserve"> &amp;diams; AMMONIUM FURCELLERAN&lt;br /&gt;&amp;diams; FURCELLERAN, AMMONIUM SALT</t>
  </si>
  <si>
    <t xml:space="preserve"> 977043-65-4</t>
  </si>
  <si>
    <t xml:space="preserve"> FURCELLERAN AND SALTS OF FURCELLERAN</t>
  </si>
  <si>
    <t xml:space="preserve"> &amp;diams; FURCELLERAN/FURCELLERAN SALT</t>
  </si>
  <si>
    <t xml:space="preserve"> 88845-49-2</t>
  </si>
  <si>
    <t xml:space="preserve"> FURCELLERAN, CALCIUM SALT OF</t>
  </si>
  <si>
    <t xml:space="preserve"> &amp;diams; CALCIUM FURCELLERAN&lt;br /&gt;&amp;diams; FURCELLERAN, CALCIUM SALT&lt;br /&gt;&amp;diams; furcellaran, calcium salt</t>
  </si>
  <si>
    <t xml:space="preserve"> 92880-86-9</t>
  </si>
  <si>
    <t xml:space="preserve"> FURCELLERAN, POTASSIUM SALT OF</t>
  </si>
  <si>
    <t xml:space="preserve"> &amp;diams; POTASSIUM FURCELLERAN&lt;br /&gt;&amp;diams; FURCELLERAN, POTASSIUM SALT&lt;br /&gt;&amp;diams; furcellaran, potassium salt</t>
  </si>
  <si>
    <t xml:space="preserve"> 92880-87-0</t>
  </si>
  <si>
    <t xml:space="preserve"> FURCELLERAN, SODIUM SALT OF</t>
  </si>
  <si>
    <t xml:space="preserve"> &amp;diams; SODIUM FURCELLERAN&lt;br /&gt;&amp;diams; FURCELLERAN, SODIUM SALT&lt;br /&gt;&amp;diams; furcellaran, sodium salt</t>
  </si>
  <si>
    <t xml:space="preserve"> 98-01-1</t>
  </si>
  <si>
    <t xml:space="preserve"> FURFURAL</t>
  </si>
  <si>
    <t xml:space="preserve"> &amp;diams; FURFURAL&lt;br /&gt;&amp;diams; 2-FURALDEHYDE&lt;br /&gt;&amp;diams; 2-FURFURAL&lt;br /&gt;&amp;diams; FURFUROL&lt;br /&gt;&amp;diams; 2-FURANCARBOXALDEHYDE&lt;br /&gt;&amp;diams; FURFURALDEHYDE&lt;br /&gt;&amp;diams; FURAL&lt;br /&gt;&amp;diams; PYROMUCIC ALDEHYDE&lt;br /&gt;&amp;diams; 2-FORMYLFURAN&lt;br /&gt;&amp;diams; FURFURALDEHYDE, ALPHA-&lt;br /&gt;&amp;diams; 2-FURANCARBONAL&lt;br /&gt;&amp;diams; 2-FURYLCARBOXALDEHYDE</t>
  </si>
  <si>
    <t xml:space="preserve"> 4359-54-0</t>
  </si>
  <si>
    <t xml:space="preserve"> FURFURAL PROPYLENEGLYCOL ACETAL</t>
  </si>
  <si>
    <t xml:space="preserve"> &amp;diams; FURFURAL PROPYLENE GLYCOL ACETAL&lt;br /&gt;&amp;diams; 1,3-dioxolane, 2-(2-furanyl)-4-methyl-&lt;br /&gt;&amp;diams; 2-(2-furanyl)-4-methyl-1,3-dioxolane&lt;br /&gt;&amp;diams; 1,3-dioxolane, 2-(2-furyl)-4-methyl-&lt;br /&gt;&amp;diams; 2-(2-furyl)-4-methyl-1,3-dioxolane&lt;br /&gt;&amp;diams; InChI=1S/C8H10O3/c1-6-5-10-8(11-6)7-3-2-4-9-7/h2-4,6,8H,5H2,1H3&lt;br /&gt;&amp;diams; InChIKey: YYYNPYRBPLTQJC-UHFFFAOYSA-N</t>
  </si>
  <si>
    <t xml:space="preserve"> 623-17-6</t>
  </si>
  <si>
    <t xml:space="preserve"> FURFURYL ACETATE</t>
  </si>
  <si>
    <t xml:space="preserve"> &amp;diams; FURFURYL ACETATE&lt;br /&gt;&amp;diams; 2-ACETOXYMETHYLFURAN&lt;br /&gt;&amp;diams; 2-FURFURYL ACETATE&lt;br /&gt;&amp;diams; 2-FURYLCARBINYL ACETATE&lt;br /&gt;&amp;diams; 2-FURANMETHANOL, ACETATE&lt;br /&gt;&amp;diams; 2-FURANMETHYL ACETATE&lt;br /&gt;&amp;diams; FURFURYL ALCOHOL, ACETATE</t>
  </si>
  <si>
    <t xml:space="preserve"> 98-00-0</t>
  </si>
  <si>
    <t xml:space="preserve"> FURFURYL ALCOHOL</t>
  </si>
  <si>
    <t xml:space="preserve"> &amp;diams; FURFURYL ALCOHOL&lt;br /&gt;&amp;diams; 2-FURANMETHANOL&lt;br /&gt;&amp;diams; 2-FURANCARBINOL&lt;br /&gt;&amp;diams; FURFURYLCARB&lt;br /&gt;&amp;diams; FURFURALCOHOL&lt;br /&gt;&amp;diams; ALPHA-FURYLCARBINOL&lt;br /&gt;&amp;diams; 2-HYDROXYMETHYLFURAN&lt;br /&gt;&amp;diams; 2-FURYLCARBINOL&lt;br /&gt;&amp;diams; FURFURANOL</t>
  </si>
  <si>
    <t xml:space="preserve"> 623-21-2</t>
  </si>
  <si>
    <t xml:space="preserve"> FURFURYL BUTYRATE</t>
  </si>
  <si>
    <t xml:space="preserve"> &amp;diams; FURFURYL BUTYRATE&lt;br /&gt;&amp;diams; FURFURYL BUTANOATE&lt;br /&gt;&amp;diams; 2-FURYLMETHYL BUTANOATE&lt;br /&gt;&amp;diams; BUTANOIC ACID, 2-FURANYLMETHYL ESTER&lt;br /&gt;&amp;diams; BUTYRIC ACID, FURFURYL ESTER</t>
  </si>
  <si>
    <t xml:space="preserve"> 39252-05-6</t>
  </si>
  <si>
    <t xml:space="preserve"> FURFURYL DECANOATE</t>
  </si>
  <si>
    <t xml:space="preserve"> &amp;diams; FURFURYL DECANOATE&lt;br /&gt;&amp;diams; decanoic acid, 2-furanylmethyl ester&lt;br /&gt;&amp;diams; 2-furanylmethyl decanoate</t>
  </si>
  <si>
    <t xml:space="preserve"> 13493-97-5</t>
  </si>
  <si>
    <t xml:space="preserve"> FURFURYL FORMATE</t>
  </si>
  <si>
    <t xml:space="preserve"> &amp;diams; FURFURYL FORMATE&lt;br /&gt;&amp;diams; 2-furanmethanol, 2-formate&lt;br /&gt;&amp;diams; 2-furanmethanol, formate&lt;br /&gt;&amp;diams; furfuryl alcohol, formate&lt;br /&gt;&amp;diams; 2-furanmethyl formate&lt;br /&gt;&amp;diams; 2-furfuryl formate&lt;br /&gt;&amp;diams; 2-furanmethyl 2-formate&lt;br /&gt;&amp;diams; InChI=1S/C6H6O3/c7-5-8-4-6-2-1-3-9-6/h1-3,5H,4H2&lt;br /&gt;&amp;diams; InChIKey: FPRQARNPKWVCNI-UHFFFAOYSA-N</t>
  </si>
  <si>
    <t xml:space="preserve"> 770-27-4</t>
  </si>
  <si>
    <t xml:space="preserve"> 2-FURFURYLIDENEBUTYRALDEHYDE</t>
  </si>
  <si>
    <t xml:space="preserve"> &amp;diams; ALPHA-ETHYL-2-FURANACROLEIN&lt;br /&gt;&amp;diams; ALPHA-ETHYLFURYLACROLEIN&lt;br /&gt;&amp;diams; BUTANAL, 2-(2-FURANYLMETHYLENE)-&lt;br /&gt;&amp;diams; 2-(2-FURANYLMETHYLENE)BUTANAL&lt;br /&gt;&amp;diams; 2-ETHYL-3-FURYL-2-PROPENAL&lt;br /&gt;&amp;diams; 2-ETHYL-3-FURYLACROLEIN&lt;br /&gt;&amp;diams; 2-FURFURYLIDINEBUTYRALDEHYDE&lt;br /&gt;&amp;diams; 3-FURYL-2-ETHYL-2-PROPENAL&lt;br /&gt;&amp;diams; 3-FURYL-2-ETHYLACROLEIN&lt;br /&gt;&amp;diams; 2-FURANACROLEIN, ALPHA-ETHYL-</t>
  </si>
  <si>
    <t xml:space="preserve"> 1883-78-9</t>
  </si>
  <si>
    <t xml:space="preserve"> FURFURYL ISOPROPYL SULFIDE</t>
  </si>
  <si>
    <t xml:space="preserve"> &amp;diams; FURFURYL ISOPROPYL SULFIDE&lt;br /&gt;&amp;diams; FURAN, 2-(((1-METHYLETHYL)THIO)METHYL)-&lt;br /&gt;&amp;diams; FURAN, 2-((ISOPROPYLTHIO)METHYL)-&lt;br /&gt;&amp;diams; ISOPROPYL FURFURYL SULFIDE&lt;br /&gt;&amp;diams; 2-(((1-METHYLETHYL)THIO)METHYL)FURAN&lt;br /&gt;&amp;diams; 2-((ISOPROPYLTHIO)METHYL)FURAN</t>
  </si>
  <si>
    <t xml:space="preserve"> 98-02-2</t>
  </si>
  <si>
    <t xml:space="preserve"> FURFURYL MERCAPTAN</t>
  </si>
  <si>
    <t xml:space="preserve"> &amp;diams; 2-FURANMETHANETHIOL&lt;br /&gt;&amp;diams; FURFURYL MERCAPTAN&lt;br /&gt;&amp;diams; 2-FURYLMETHYL MERCAPTAN&lt;br /&gt;&amp;diams; ALPHA-FURFURYL MERCAPTAN&lt;br /&gt;&amp;diams; 2-FURYLMETHANETHIOL&lt;br /&gt;&amp;diams; 2-(MERCAPTOMETHYL)FURAN</t>
  </si>
  <si>
    <t xml:space="preserve"> 13678-60-9</t>
  </si>
  <si>
    <t xml:space="preserve"> FURFURYL 3-METHYLBUTANOATE</t>
  </si>
  <si>
    <t xml:space="preserve"> &amp;diams; FURFURYL ISOVALERATE&lt;br /&gt;&amp;diams; FURFURYL 3-METHYLBUTANOATE&lt;br /&gt;&amp;diams; 2-FURANYLMETHYL 3-METHYLBUTANOATE&lt;br /&gt;&amp;diams; BUTANOIC ACID, 3-METHYL-, 2-FURANMETHYL ESTER&lt;br /&gt;&amp;diams; ISOVALERIC ACID, FURFURYL ESTER</t>
  </si>
  <si>
    <t xml:space="preserve"> 13679-46-4</t>
  </si>
  <si>
    <t xml:space="preserve"> FURFURYL METHYL ETHER</t>
  </si>
  <si>
    <t xml:space="preserve"> &amp;diams; FURFURYL METHYL ETHER&lt;br /&gt;&amp;diams; FURAN, 2-(METHOXYMETHYL)-&lt;br /&gt;&amp;diams; METHYL FURFURYL ETHER&lt;br /&gt;&amp;diams; 2-(METHOXYMETHYL)FURAN&lt;br /&gt;&amp;diams; 2-FURFURYL METHYL ETHER</t>
  </si>
  <si>
    <t xml:space="preserve"> 109537-55-5</t>
  </si>
  <si>
    <t xml:space="preserve"> FURFURYL 2-METHYL-3-FURYL DISULFIDE</t>
  </si>
  <si>
    <t xml:space="preserve"> &amp;diams; FURFURYL (2-METHYL-3-FURYL) DISULFIDE&lt;br /&gt;&amp;diams; (2-methyl-3-furyl) furfuryl disulfide&lt;br /&gt;&amp;diams; furfuryl 2-methyl-3-furyl disulfide&lt;br /&gt;&amp;diams; furan, 3-((2-furanylmethyl)dithio)-2-methyl-&lt;br /&gt;&amp;diams; 3-((2furanylmethyl)dithio)-2-methylfuran</t>
  </si>
  <si>
    <t xml:space="preserve"> 1438-91-1</t>
  </si>
  <si>
    <t xml:space="preserve"> FURFURYL METHYL SULFIDE</t>
  </si>
  <si>
    <t xml:space="preserve"> &amp;diams; FURFURYL METHYL SULFIDE&lt;br /&gt;&amp;diams; FURAN, 2-((METHYLTHIO)METHYL)-&lt;br /&gt;&amp;diams; METHYL FURFURYL SULFIDE&lt;br /&gt;&amp;diams; 2-FURFURYL METHYL SULFIDE&lt;br /&gt;&amp;diams; 2-((METHYLTHIO)METHYL)FURAN</t>
  </si>
  <si>
    <t xml:space="preserve"> 39252-03-4</t>
  </si>
  <si>
    <t xml:space="preserve"> ALPHA-FURFURYL OCTANOATE</t>
  </si>
  <si>
    <t xml:space="preserve"> &amp;diams; FURFURYL OCTANOATE&lt;br /&gt;&amp;diams; FURFURYL CAPRYLATE&lt;br /&gt;&amp;diams; 2-FURFURYL OCTANOATE&lt;br /&gt;&amp;diams; ALPHA-FURFURYL OCTANOATE&lt;br /&gt;&amp;diams; ALPHA-FURFURYL CAPRYLATE&lt;br /&gt;&amp;diams; OCTANOIC ACID, 2-FURANYLMETHYL ESTER&lt;br /&gt;&amp;diams; 2-FURANYLMETHYL OCTANOATE&lt;br /&gt;&amp;diams; OCTANOIC ACID, FURFURYL ESTER</t>
  </si>
  <si>
    <t xml:space="preserve"> 36701-01-6</t>
  </si>
  <si>
    <t xml:space="preserve"> ALPHA-FURFURYL PENTANOATE</t>
  </si>
  <si>
    <t xml:space="preserve"> &amp;diams; FURFURYL VALERATE&lt;br /&gt;&amp;diams; FURFURYL PENTANOATE&lt;br /&gt;&amp;diams; 2-FURFURYL PENTANOATE&lt;br /&gt;&amp;diams; ALPHA-FURFURYL PENTANOATE&lt;br /&gt;&amp;diams; ALPHA-FURFURYL VALERATE&lt;br /&gt;&amp;diams; PENTANOIC ACID, 2-FURANYLMETHYL ESTER&lt;br /&gt;&amp;diams; 2-FURANYLMETHYL PENTANOATE</t>
  </si>
  <si>
    <t xml:space="preserve"> 623-19-8</t>
  </si>
  <si>
    <t xml:space="preserve"> FURFURYL PROPIONATE</t>
  </si>
  <si>
    <t xml:space="preserve"> &amp;diams; FURFURYL PROPIONATE&lt;br /&gt;&amp;diams; FURFURYL PROPANOATE&lt;br /&gt;&amp;diams; 2-FURANMETHANOL, PROPANOATE&lt;br /&gt;&amp;diams; 2-FURANMETHYL PROPANOATE&lt;br /&gt;&amp;diams; FURFURYL ALCOHOL, PROPIONATE&lt;br /&gt;&amp;diams; 2-FURANMETHYL PROPIONATE</t>
  </si>
  <si>
    <t xml:space="preserve"> 252736-36-0</t>
  </si>
  <si>
    <t xml:space="preserve"> FURFURYL PROPYL DISULFIDE</t>
  </si>
  <si>
    <t xml:space="preserve"> &amp;diams; FURFURYL PROPYL DISULFIDE&lt;br /&gt;&amp;diams; FURAN, 2-((PROPYLDITHIO)METHYL)-&lt;br /&gt;&amp;diams; 2-((PROPYLDITHIO)METHYL)FURAN</t>
  </si>
  <si>
    <t xml:space="preserve"> 1438-94-4</t>
  </si>
  <si>
    <t xml:space="preserve"> N-FURFURYLPYRROLE</t>
  </si>
  <si>
    <t xml:space="preserve"> &amp;diams; 1-FURFURYLPYRROLE&lt;br /&gt;&amp;diams; N-FURFURYLPYRROLE&lt;br /&gt;&amp;diams; 1-(2-FURFURYL)PYRROLE&lt;br /&gt;&amp;diams; 1H-PYRROLE, 1-(2-FURANYLMETHYL)-&lt;br /&gt;&amp;diams; 1-(2-FURANYLMETHYL)-1H-PYRROLE&lt;br /&gt;&amp;diams; PYRROLE, 1-FURFURYL-&lt;br /&gt;&amp;diams; N-(2-FURFURYL)PYRROLE</t>
  </si>
  <si>
    <t xml:space="preserve"> 13678-68-7</t>
  </si>
  <si>
    <t xml:space="preserve"> FURFURYL THIOACETATE</t>
  </si>
  <si>
    <t xml:space="preserve"> &amp;diams; FURFURYL THIOACETATE&lt;br /&gt;&amp;diams; FURFURYLTHIOL ACETATE&lt;br /&gt;&amp;diams; ETHANETHIOIC ACID, S-(2-FURANYLMETHYL) ESTER&lt;br /&gt;&amp;diams; S-(2-FURANYLMETHYL) ETHANETHIOATE&lt;br /&gt;&amp;diams; ACETIC ACID, THIO-, S-FURFURYL ESTER&lt;br /&gt;&amp;diams; S-FURFURYL THIOACETATE</t>
  </si>
  <si>
    <t xml:space="preserve"> 58066-86-7</t>
  </si>
  <si>
    <t xml:space="preserve"> 1-(2-FURFURYLTHIO)PROPANONE</t>
  </si>
  <si>
    <t xml:space="preserve"> &amp;diams; (FURFURYLTHIO)ACETONE&lt;br /&gt;&amp;diams; 2-propanone, 1-((2-furanylmethyl)thio)-&lt;br /&gt;&amp;diams; 1-((2-furanylmethyl)thio)-2-propanone&lt;br /&gt;&amp;diams; 1-(furfurylthio)propanone</t>
  </si>
  <si>
    <t xml:space="preserve"> 59020-85-8</t>
  </si>
  <si>
    <t xml:space="preserve"> FURFURYL THIOPROPIONATE</t>
  </si>
  <si>
    <t xml:space="preserve"> &amp;diams; FURFURYL THIOPROPIONATE&lt;br /&gt;&amp;diams; FURFURYLTHIOL PROPIONATE&lt;br /&gt;&amp;diams; PROPANETHIOIC ACID, S-(2-FURANYLMETHYL) ESTER&lt;br /&gt;&amp;diams; S-(2-FURANYLMETHYL) PROPANETHIOATE</t>
  </si>
  <si>
    <t xml:space="preserve"> 55764-31-3</t>
  </si>
  <si>
    <t xml:space="preserve"> 3-(2-FUROYLTHIO)-2,5-DIMETHYLFURAN</t>
  </si>
  <si>
    <t xml:space="preserve"> &amp;diams; 3-(2-FUROYLTHIO)-2,5-DIMETHYLFURAN&lt;br /&gt;&amp;diams; S-(2,5-DIMETHYL-3-FURYL) THIO-2-FUROATE&lt;br /&gt;&amp;diams; S-(2,5-DIMETHYL-3-FURANYL) 2-FURANCARBOTHIOATE&lt;br /&gt;&amp;diams; 2,5-DIMETHYL-3-THIOFUROYLFURAN&lt;br /&gt;&amp;diams; 2-FURANCARBOTHIOIC ACID, S-(2,5-DIMETHYL-3-FURANYL) ESTER</t>
  </si>
  <si>
    <t xml:space="preserve"> 623-30-3</t>
  </si>
  <si>
    <t xml:space="preserve"> 3-(2-FURYL)ACROLEIN</t>
  </si>
  <si>
    <t xml:space="preserve"> &amp;diams; 2-FURANACROLEIN&lt;br /&gt;&amp;diams; 3-(2-FURYL)ACROLEIN&lt;br /&gt;&amp;diams; 3-(2-FURYL)-2-PROPEN-1-AL&lt;br /&gt;&amp;diams; 2-PROPENAL, 3-(2-FURANYL)-&lt;br /&gt;&amp;diams; 3-(2-FURANYL)-2-PROPENAL&lt;br /&gt;&amp;diams; BETA-2-FURYLACROLEIN&lt;br /&gt;&amp;diams; 3-(ALPHA-FURYL)PROPENAL&lt;br /&gt;&amp;diams; FURYLACROLEIN</t>
  </si>
  <si>
    <t xml:space="preserve"> 25790-35-6</t>
  </si>
  <si>
    <t xml:space="preserve"> 1-(2-FURYL)-1,3-BUTANEDIONE</t>
  </si>
  <si>
    <t xml:space="preserve"> &amp;diams; 1-(2-FURYL)-1,3-BUTANEDIONE&lt;br /&gt;&amp;diams; FURFURYL-1,3-BUTANEDIONE&lt;br /&gt;&amp;diams; FUROYL ACETONE&lt;br /&gt;&amp;diams; 2-FUROYLACETONE&lt;br /&gt;&amp;diams; 1,3-BUTANEDIONE, 1-(2-FURANYL)-&lt;br /&gt;&amp;diams; 1-(2-FURANYL)-1,3-BUTANEDIONE&lt;br /&gt;&amp;diams; 1,3-BUTANEDIONE, 1-(2-FURYL)-</t>
  </si>
  <si>
    <t xml:space="preserve"> 699-17-2</t>
  </si>
  <si>
    <t xml:space="preserve"> 1-(2-FURYL)BUTAN-3-ONE</t>
  </si>
  <si>
    <t xml:space="preserve"> &amp;diams; 4-(2-FURYL)-2-BUTANONE&lt;br /&gt;&amp;diams; 2-butanone, 4-(2-furanyl)-&lt;br /&gt;&amp;diams; 2-butanone, 4-(2-furyl)-&lt;br /&gt;&amp;diams; furfurylacetone&lt;br /&gt;&amp;diams; 4-(2-furanyl)-2-butanone</t>
  </si>
  <si>
    <t xml:space="preserve"> 623-15-4</t>
  </si>
  <si>
    <t xml:space="preserve"> 4-(2-FURYL)-3-BUTEN-2-ONE</t>
  </si>
  <si>
    <t xml:space="preserve"> &amp;diams; FURFURYL ACETONE&lt;br /&gt;&amp;diams; FURFURYLIDENEACETONE&lt;br /&gt;&amp;diams; 4-(2-FURYL)-3-BUTEN-2-ONE&lt;br /&gt;&amp;diams; 3-BUTEN-2-ONE, 4-(2-FURANYL)-&lt;br /&gt;&amp;diams; 4-(2-FURANYL)-3-BUTEN-2-ONE&lt;br /&gt;&amp;diams; 3-BUTEN-2-ONE, 4-(2-FURYL)-&lt;br /&gt;&amp;diams; MONOFURFURYLIDENEACETONE&lt;br /&gt;&amp;diams; 2-FURFURYLIDENEACETONE</t>
  </si>
  <si>
    <t xml:space="preserve"> 1192-62-7</t>
  </si>
  <si>
    <t xml:space="preserve"> 2-FURYL METHYL KETONE</t>
  </si>
  <si>
    <t xml:space="preserve"> &amp;diams; 2-FURYL METHYL KETONE&lt;br /&gt;&amp;diams; ACETYLFURAN&lt;br /&gt;&amp;diams; ETHANONE, 1-(2-FURANYL)-&lt;br /&gt;&amp;diams; KETONE, 2-FURYL METHYL&lt;br /&gt;&amp;diams; 2-ACETYLFURAN&lt;br /&gt;&amp;diams; 1-(2-FURANYL)ETHANONE&lt;br /&gt;&amp;diams; 2-FURYLETHANONE&lt;br /&gt;&amp;diams; 1-(2-FURYL)ETHANONE</t>
  </si>
  <si>
    <t xml:space="preserve"> 6975-60-6</t>
  </si>
  <si>
    <t xml:space="preserve"> (2-FURYL)-2-PROPANONE</t>
  </si>
  <si>
    <t xml:space="preserve"> &amp;diams; FURFURYL METHYL KETONE&lt;br /&gt;&amp;diams; (2-FURYL)-2-PROPANONE&lt;br /&gt;&amp;diams; FURYL ACETONE&lt;br /&gt;&amp;diams; METHYL FURFURYL KETONE&lt;br /&gt;&amp;diams; 1-(2-FURYL)-2-PROPANONE&lt;br /&gt;&amp;diams; 1-FURYL-2-PROPANONE&lt;br /&gt;&amp;diams; 2-PROPANONE, 1-(2-FURANYL)-&lt;br /&gt;&amp;diams; 1-(2-FURANYL)-2-PROPANONE&lt;br /&gt;&amp;diams; 2-PROPANONE, 1-(2-FURYL)-</t>
  </si>
  <si>
    <t xml:space="preserve"> 8013-75-0</t>
  </si>
  <si>
    <t xml:space="preserve"> FUSEL OIL, REFINED</t>
  </si>
  <si>
    <t xml:space="preserve"> &amp;diams; FUSEL OIL&lt;br /&gt;&amp;diams; FUSEL OIL, REFINED&lt;br /&gt;&amp;diams; FUSEL OIL, REFINED (MIXED AMYL ALCOHOLS)&lt;br /&gt;&amp;diams; ISOAMYL FUSEL OIL&lt;br /&gt;&amp;diams; AMYL ALCOHOL, COMMERCIAL</t>
  </si>
  <si>
    <t xml:space="preserve"> 977080-39-9</t>
  </si>
  <si>
    <t xml:space="preserve"> ALPHA-GALACTOSIDASE FROM MORTEIRELLA VINACEAE RAFFINOSEUTILIZER</t>
  </si>
  <si>
    <t xml:space="preserve"> &amp;diams; GALACTOSIDASE, ALPHA-, MORTIERELLA VINACEAE VAR. RAFFINOSEUTILIZER</t>
  </si>
  <si>
    <t xml:space="preserve"> 977050-77-3</t>
  </si>
  <si>
    <t xml:space="preserve"> GALANGA, GREATER (ALPINIA GALANGA WILLD)</t>
  </si>
  <si>
    <t xml:space="preserve"> &amp;diams; GREATER GALANGAL&lt;br /&gt;&amp;diams; GALANGAL&lt;br /&gt;&amp;diams; GALANGA, GREATER&lt;br /&gt;&amp;diams; ALPINIA GALANGA&lt;br /&gt;&amp;diams; LARGE GALANGA&lt;br /&gt;&amp;diams; LAOS (SPICE)&lt;br /&gt;&amp;diams; THAI GINGER&lt;br /&gt;&amp;diams; JAVA ROOT&lt;br /&gt;&amp;diams; KHA (SPICE)&lt;br /&gt;&amp;diams; LANGUAS&lt;br /&gt;&amp;diams; GALANGALE&lt;br /&gt;&amp;diams; GALANGA&lt;br /&gt;&amp;diams; KA (SPICE)&lt;br /&gt;&amp;diams; KAEMPFERIA GALANGA&lt;br /&gt;&amp;diams; COLIC ROOT&lt;br /&gt;&amp;diams; EAST INDIA ROOT&lt;br /&gt;&amp;diams; SIAMESE GINGER&lt;br /&gt;&amp;diams; GINGER, SIAMESE</t>
  </si>
  <si>
    <t xml:space="preserve"> 977038-75-7</t>
  </si>
  <si>
    <t xml:space="preserve"> GALANGAL ROOT (ALPINIA SPP.)</t>
  </si>
  <si>
    <t xml:space="preserve"> &amp;diams; GALANGAL ROOT&lt;br /&gt;&amp;diams; GALANGA ROOT</t>
  </si>
  <si>
    <t xml:space="preserve"> 977038-76-8</t>
  </si>
  <si>
    <t xml:space="preserve"> GALANGAL ROOT, EXTRACT (ALPINIA SPP.)</t>
  </si>
  <si>
    <t xml:space="preserve"> &amp;diams; GALANGAL ROOT EXTRACT&lt;br /&gt;&amp;diams; GALANGA ROOT EXTRACT</t>
  </si>
  <si>
    <t xml:space="preserve"> 8024-40-6</t>
  </si>
  <si>
    <t xml:space="preserve"> GALANGAL ROOT, OIL (ALPINIA SPP.)</t>
  </si>
  <si>
    <t xml:space="preserve"> &amp;diams; GALANGAL ROOT OIL&lt;br /&gt;&amp;diams; GALANGAL OIL&lt;br /&gt;&amp;diams; OILS, GALANGAL&lt;br /&gt;&amp;diams; GALANGA ROOT OIL</t>
  </si>
  <si>
    <t xml:space="preserve"> 8023-91-4</t>
  </si>
  <si>
    <t xml:space="preserve"> GALBANUM, OIL (FERULA SPP.)</t>
  </si>
  <si>
    <t xml:space="preserve"> &amp;diams; GALBANUM OIL&lt;br /&gt;&amp;diams; OILS, GALBANUM&lt;br /&gt;&amp;diams; FERULA GALBANIFLUA OIL</t>
  </si>
  <si>
    <t xml:space="preserve"> 9000-24-2</t>
  </si>
  <si>
    <t xml:space="preserve"> GALBANUM, RESIN (FERULA SPP.)</t>
  </si>
  <si>
    <t xml:space="preserve"> &amp;diams; GALBANUM&lt;br /&gt;&amp;diams; GALBANUM RESIN&lt;br /&gt;&amp;diams; FERULA GALBANIFLUA RESIN&lt;br /&gt;&amp;diams; GALBANUM GUM&lt;br /&gt;&amp;diams; FERULA GUMMOSA RESIN</t>
  </si>
  <si>
    <t xml:space="preserve"> 8001-48-7</t>
  </si>
  <si>
    <t xml:space="preserve"> GAMBIR (UNCARIA GAMBIR ROXB.)</t>
  </si>
  <si>
    <t xml:space="preserve"> &amp;diams; GAMBIR&lt;br /&gt;&amp;diams; CATECHU, PALE&lt;br /&gt;&amp;diams; CATECHU&lt;br /&gt;&amp;diams; GAMBIR CATECHU&lt;br /&gt;&amp;diams; GAMBIR GUM&lt;br /&gt;&amp;diams; GAMBIER&lt;br /&gt;&amp;diams; UNCARIA GAMBIR EXTRACT&lt;br /&gt;&amp;diams; UNCARIA GAMBIR&lt;br /&gt;&amp;diams; TERRA JAPONICA</t>
  </si>
  <si>
    <t xml:space="preserve"> 853947-47-4</t>
  </si>
  <si>
    <t xml:space="preserve"> GARDENIA GUMMIFERA DISTILLATE</t>
  </si>
  <si>
    <t xml:space="preserve"> &amp;diams; GARDENIA GUMMIFERA EXTRACT&lt;br /&gt;&amp;diams; gardenia gummifera distillate&lt;br /&gt;&amp;diams; Gardenia gummifera, ext.</t>
  </si>
  <si>
    <t xml:space="preserve"> 977001-81-2</t>
  </si>
  <si>
    <t xml:space="preserve"> GARLIC</t>
  </si>
  <si>
    <t xml:space="preserve"> &amp;diams; GARLIC&lt;br /&gt;&amp;diams; ALLIUM SATIVUM&lt;br /&gt;&amp;diams; AIL (ALLIUM SATIVUM)</t>
  </si>
  <si>
    <t xml:space="preserve"> 101.22 ,  139.110 ,  139.150 ,  155.194 ,  155.200</t>
  </si>
  <si>
    <t xml:space="preserve"> 8008-99-9</t>
  </si>
  <si>
    <t xml:space="preserve"> GARLIC EXTRACT</t>
  </si>
  <si>
    <t xml:space="preserve"> &amp;diams; GARLIC EXTRACT&lt;br /&gt;&amp;diams; GARLIC, EXT.&lt;br /&gt;&amp;diams; ALLIUM SATIVUM EXTRACT</t>
  </si>
  <si>
    <t xml:space="preserve"> 8000-78-0</t>
  </si>
  <si>
    <t xml:space="preserve"> GARLIC, OIL (ALLIUM SATIVUM L.)</t>
  </si>
  <si>
    <t xml:space="preserve"> &amp;diams; GARLIC OIL&lt;br /&gt;&amp;diams; OILS, GARLIC&lt;br /&gt;&amp;diams; ALLIUM SATIVUM OIL</t>
  </si>
  <si>
    <t xml:space="preserve"> 9000-70-8</t>
  </si>
  <si>
    <t xml:space="preserve"> GELATIN</t>
  </si>
  <si>
    <t xml:space="preserve"> &amp;diams; GELATIN&lt;br /&gt;&amp;diams; GELATINE&lt;br /&gt;&amp;diams; GELATINS</t>
  </si>
  <si>
    <t xml:space="preserve"> ANTICAKING AGENT OR FREE-FLOW AGENT,&lt;br /&gt; DRYING AGENT,&lt;br /&gt; FLAVORING AGENT OR ADJUVANT,&lt;br /&gt; FORMULATION AID,&lt;br /&gt; HUMECTANT,&lt;br /&gt; PROCESSING AID,&lt;br /&gt; SOLVENT OR VEHICLE,&lt;br /&gt; STABILIZER OR THICKENER,&lt;br /&gt; SURFACE-FINISHING AGENT,&lt;br /&gt; TEXTURIZER</t>
  </si>
  <si>
    <t xml:space="preserve"> 133.178 ,  133.179</t>
  </si>
  <si>
    <t xml:space="preserve"> 71010-52-1</t>
  </si>
  <si>
    <t xml:space="preserve"> GELLAN GUM</t>
  </si>
  <si>
    <t xml:space="preserve"> &amp;diams; GELLAN GUM</t>
  </si>
  <si>
    <t xml:space="preserve"> 977161-78-6</t>
  </si>
  <si>
    <t xml:space="preserve"> GENET, ABSOLUTE (SPARTIUM JUNCEUM L.)</t>
  </si>
  <si>
    <t xml:space="preserve"> &amp;diams; SPARTIUM ABSOLUTE&lt;br /&gt;&amp;diams; GENET ABSOLUTE&lt;br /&gt;&amp;diams; SPARTIUM JUNCEUM ABSOLUTE&lt;br /&gt;&amp;diams; SPANISH BROOM ABSOLUTE</t>
  </si>
  <si>
    <t xml:space="preserve"> 90131-21-8</t>
  </si>
  <si>
    <t xml:space="preserve"> GENET, EXTRACT (SPARTIUM JUNCEUM L.)</t>
  </si>
  <si>
    <t xml:space="preserve"> &amp;diams; SPARTIUM EXTRACT&lt;br /&gt;&amp;diams; GENET EXTRACT&lt;br /&gt;&amp;diams; SPANISH BROOM EXTRACT&lt;br /&gt;&amp;diams; SPARTIUM JUNCEUM, EXT.</t>
  </si>
  <si>
    <t xml:space="preserve"> 72968-42-4</t>
  </si>
  <si>
    <t xml:space="preserve"> GENTIAN ROOT, EXTRACT (GENTIANA LUTEA L.)</t>
  </si>
  <si>
    <t xml:space="preserve"> &amp;diams; GENTIAN EXTRACT&lt;br /&gt;&amp;diams; GENTIAN ROOT EXTRACT&lt;br /&gt;&amp;diams; GENTIAN RHIZOME AND ROOTS EXTRACT&lt;br /&gt;&amp;diams; GENTIANA LUTEA ROOT EXTRACT&lt;br /&gt;&amp;diams; GENTIAN, GENTIANA LUTEA, EXT.</t>
  </si>
  <si>
    <t xml:space="preserve"> 977088-41-7</t>
  </si>
  <si>
    <t xml:space="preserve"> GENTIAN, STEMLESS (GENTIANA ACAULIS L.)</t>
  </si>
  <si>
    <t xml:space="preserve"> &amp;diams; GENTIAN, STEMLESS</t>
  </si>
  <si>
    <t xml:space="preserve"> 459-80-3</t>
  </si>
  <si>
    <t xml:space="preserve"> GERANIC ACID</t>
  </si>
  <si>
    <t xml:space="preserve"> &amp;diams; GERANIC ACID&lt;br /&gt;&amp;diams; 2,6-OCTADIENOIC ACID, 3,7-DIMETHYL-&lt;br /&gt;&amp;diams; 3,7-DIMETHYL-2,6-OCTADIENOIC ACID&lt;br /&gt;&amp;diams; GERANOIC ACID&lt;br /&gt;&amp;diams; InChI=1S/C10H16O2/c1-8(2)5-4-6-9(3)7-10(11)12/h5,7H,4,6H2,1-3H3,(H,11,12)&lt;br /&gt;&amp;diams; InChIKey: ZHYZQXUYZJNEHD-UHFFFAOYSA-N</t>
  </si>
  <si>
    <t xml:space="preserve"> 106-24-1</t>
  </si>
  <si>
    <t xml:space="preserve"> GERANIOL</t>
  </si>
  <si>
    <t xml:space="preserve"> &amp;diams; GERANIOL&lt;br /&gt;&amp;diams; 3,7-DIMETHYL-2,6-OCTADIEN-1-OL, TRANS-&lt;br /&gt;&amp;diams; 2,6-OCTADIEN-1-OL, 3,7-DIMETHYL-, (E)-&lt;br /&gt;&amp;diams; GERANYL ALCOHOL&lt;br /&gt;&amp;diams; 3,7-DIMETHYL-2,6-OCTADIEN-1-OL, (E)-</t>
  </si>
  <si>
    <t xml:space="preserve"> 977001-35-6</t>
  </si>
  <si>
    <t xml:space="preserve"> GERANIUM (PELARGONIUM SPP.)</t>
  </si>
  <si>
    <t xml:space="preserve"> &amp;diams; GERANIUM&lt;br /&gt;&amp;diams; PELARGONIUM&lt;br /&gt;&amp;diams; STORKSBILL</t>
  </si>
  <si>
    <t xml:space="preserve"> 977091-47-6</t>
  </si>
  <si>
    <t xml:space="preserve"> GERANIUM, EAST INDIAN, EXTRACT (CYMBOPOGON MARTINI STAPF.)</t>
  </si>
  <si>
    <t xml:space="preserve"> &amp;diams; PALMAROSA EXTRACT&lt;br /&gt;&amp;diams; GERANIUM EXTRACT, EAST INDIAN&lt;br /&gt;&amp;diams; CYMBOPOGON MARTINI EXTRACT</t>
  </si>
  <si>
    <t xml:space="preserve"> 8014-19-5</t>
  </si>
  <si>
    <t xml:space="preserve"> GERANIUM, EAST INDIAN, OIL (CYMBOPOGON MARTINI STAPF.)</t>
  </si>
  <si>
    <t xml:space="preserve"> &amp;diams; PALMAROSA OIL&lt;br /&gt;&amp;diams; GERANIUM OIL, EAST INDIAN&lt;br /&gt;&amp;diams; CYMBOPOGON MARTINI OIL&lt;br /&gt;&amp;diams; GERANIUM OIL, TURKISH TYPE&lt;br /&gt;&amp;diams; OILS, PALMAROSA</t>
  </si>
  <si>
    <t xml:space="preserve"> 977091-46-5</t>
  </si>
  <si>
    <t xml:space="preserve"> GERANIUM EXTRACT (PELARGONIUM SPP.)</t>
  </si>
  <si>
    <t xml:space="preserve"> &amp;diams; GERANIUM EXTRACT&lt;br /&gt;&amp;diams; PELARGONIUM EXTRACT</t>
  </si>
  <si>
    <t xml:space="preserve"> 8000-46-2</t>
  </si>
  <si>
    <t xml:space="preserve"> GERANIUM, OIL (PELARGONIUM SPP.)</t>
  </si>
  <si>
    <t xml:space="preserve"> &amp;diams; GERANIUM OIL&lt;br /&gt;&amp;diams; PELARGONIUM OIL&lt;br /&gt;&amp;diams; OILS, GERANIUM</t>
  </si>
  <si>
    <t xml:space="preserve"> 977143-78-4</t>
  </si>
  <si>
    <t xml:space="preserve"> GERANIUM, ROSE, OIL (PELARGONIUM GRAVEOLENS L'HER.)</t>
  </si>
  <si>
    <t xml:space="preserve"> &amp;diams; ROSE GERANIUM OIL&lt;br /&gt;&amp;diams; GERANIUM OIL, ROSE&lt;br /&gt;&amp;diams; GERANIUM OIL, ALGERIAN TYPE&lt;br /&gt;&amp;diams; PELARGONIUM GRAVEOLENS OIL&lt;br /&gt;&amp;diams; GERANIUM, ROSE, OIL</t>
  </si>
  <si>
    <t xml:space="preserve"> 105-87-3</t>
  </si>
  <si>
    <t xml:space="preserve"> GERANYL ACETATE</t>
  </si>
  <si>
    <t xml:space="preserve"> &amp;diams; GERANYL ACETATE&lt;br /&gt;&amp;diams; 2,6-OCTADIEN-1-OL, 3,7-DIMETHYL-, ACETATE, (E)-&lt;br /&gt;&amp;diams; 3,7-DIMETHYL-2,6-OCTADIEN-1-YL ETHANOATE, TRANS-&lt;br /&gt;&amp;diams; 3,7-DIMETHYL-2,6-OCTADIEN-1-YL ACETATE, TRANS-</t>
  </si>
  <si>
    <t xml:space="preserve"> 10032-00-5</t>
  </si>
  <si>
    <t xml:space="preserve"> GERANYL ACETOACETATE</t>
  </si>
  <si>
    <t xml:space="preserve"> &amp;diams; GERANYL ACETOACETATE&lt;br /&gt;&amp;diams; 3,7-DIMETHYL-2,6-OCTADIEN-1-YL ACETOACETATE, TRANS-&lt;br /&gt;&amp;diams; 3,7-DIMETHYL-2,6-OCTADIEN-1-YL 3-OXOBUTANOATE, TRANS-&lt;br /&gt;&amp;diams; GERANYL 3-OXOBUTANOATE&lt;br /&gt;&amp;diams; GERANYL BETA-KETOBUTYRATE&lt;br /&gt;&amp;diams; BUTANOIC ACID, 3-OXO-, 3,7-DIMETHYL-2,6-OCTADIENYL ESTER, (E)-&lt;br /&gt;&amp;diams; 3,7-DIMETHYL-2,6-OCTADIENYL 3-OXOBUTANOATE, (E)-&lt;br /&gt;&amp;diams; ACETOACETIC ACID, 3,7-DIMETHYL-2,6-OCTADIENYL ESTER, (E)-&lt;br /&gt;&amp;diams; 3,7-DIMETHYL-2,6-OCTADIENYL ACETOACETATE, (E)-</t>
  </si>
  <si>
    <t xml:space="preserve"> 3796-70-1</t>
  </si>
  <si>
    <t xml:space="preserve"> GERANYL ACETONE</t>
  </si>
  <si>
    <t xml:space="preserve"> &amp;diams; GERANYLACETONE&lt;br /&gt;&amp;diams; GERANYL ACETONE&lt;br /&gt;&amp;diams; GERANYLACETONE, TRANS-&lt;br /&gt;&amp;diams; 6,10-DIMETHYL-5,9-UNDECADIEN-2-ONE, TRANS-&lt;br /&gt;&amp;diams; 2,6-DIMETHYL-2,6-UNDECADIEN-2-ONE, TRANS-&lt;br /&gt;&amp;diams; 5,9-UNDECADIEN-2-ONE, 6,10-DIMETHYL-, (E)-&lt;br /&gt;&amp;diams; 6,10-DIMETHYL-5,9-UNDECADIEN-2-ONE, (E)-</t>
  </si>
  <si>
    <t xml:space="preserve"> 94-48-4</t>
  </si>
  <si>
    <t xml:space="preserve"> GERANYL BENZOATE</t>
  </si>
  <si>
    <t xml:space="preserve"> &amp;diams; GERANYL BENZOATE&lt;br /&gt;&amp;diams; 3,7-DIMETHYL-2,6-OCTADIEN-1-YL BENZOATE, TRANS-&lt;br /&gt;&amp;diams; 2,6-OCTADIEN-1-OL, 3,7-DIMETHYL-, BENZOATE, (E)-</t>
  </si>
  <si>
    <t xml:space="preserve"> 106-29-6</t>
  </si>
  <si>
    <t xml:space="preserve"> GERANYL BUTYRATE</t>
  </si>
  <si>
    <t xml:space="preserve"> &amp;diams; GERANYL BUTYRATE&lt;br /&gt;&amp;diams; 3,7-DIMETHYL-2,6-OCTADIEN-1-YL BUTANOATE, TRANS-&lt;br /&gt;&amp;diams; GERANYL BUTANOATE&lt;br /&gt;&amp;diams; BUTANOIC ACID, 3,7-DIMETHYL-2,6-OCTADIENYL ESTER, (E)-&lt;br /&gt;&amp;diams; 3,7-DIMETHYL-2,6-OCTADIENYL BUTANOATE, (E)-&lt;br /&gt;&amp;diams; BUTYRIC ACID, 3,7-DIMETHYL-2,6-OCTADIENYL ESTER, (E)-&lt;br /&gt;&amp;diams; 3,7-DIMETHYL-2,6-OCTADIENYL BUTYRATE, (E)-&lt;br /&gt;&amp;diams; 2,6-OCTADIEN-1-OL, 3,7-DIMETHYL-, BUTYRATE, (E)-</t>
  </si>
  <si>
    <t xml:space="preserve"> 105-86-2</t>
  </si>
  <si>
    <t xml:space="preserve"> GERANYL FORMATE</t>
  </si>
  <si>
    <t xml:space="preserve"> &amp;diams; GERANYL FORMATE&lt;br /&gt;&amp;diams; 3,7-DIMETHYL-2,6-OCTADIEN-1-YL FORMATE, TRANS-&lt;br /&gt;&amp;diams; 3,7-DIMETHYL-2,6-OCTADIEN-1-YL METHANOATE, TRANS-&lt;br /&gt;&amp;diams; GERANYL METHANOATE&lt;br /&gt;&amp;diams; 2,6-OCTADIEN-1-OL, 3,7-DIMETHYL-, FORMATE, (E)-&lt;br /&gt;&amp;diams; 3,7-DIMETHYL-2,6-OCTADIENYL FORMATE, (E)-</t>
  </si>
  <si>
    <t xml:space="preserve"> 10032-02-7</t>
  </si>
  <si>
    <t xml:space="preserve"> GERANYL HEXANOATE</t>
  </si>
  <si>
    <t xml:space="preserve"> &amp;diams; GERANYL HEXANOATE&lt;br /&gt;&amp;diams; 3,7-DIMETHYL-2,6-OCTADIEN-1-YL HEXANOATE, TRANS-&lt;br /&gt;&amp;diams; HEXANOIC ACID, 3,7-DIMETHYL-2,6-OCTADIENYL ESTER, (E)-&lt;br /&gt;&amp;diams; 3,7-DIMETHYL-2,6-OCTADIENYL HEXANOATE, (E)-&lt;br /&gt;&amp;diams; GERANYL CAPROATE</t>
  </si>
  <si>
    <t xml:space="preserve"> 2345-26-8</t>
  </si>
  <si>
    <t xml:space="preserve"> GERANYL ISOBUTYRATE</t>
  </si>
  <si>
    <t xml:space="preserve"> &amp;diams; GERANYL ISOBUTYRATE&lt;br /&gt;&amp;diams; 3,7-DIMETHYL-2,6-OCTADIEN-1-YL ISOBUTYRATE, TRANS-&lt;br /&gt;&amp;diams; 3,7-DIMETHYL-2,6-OCTADIEN-1-YL 2-METHYLPROPANOATE, TRANS-&lt;br /&gt;&amp;diams; GERANYL 2-METHYLPROPANOATE&lt;br /&gt;&amp;diams; PROPANOIC ACID, 2-METHYL-, 3,7-DIMETHYL-2,6-OCTADIENYL ESTER, (E)-&lt;br /&gt;&amp;diams; 3,7-DIMETHYL-2,6-OCTADIENYL 2-METHYLPROPANOATE, (E)-&lt;br /&gt;&amp;diams; ISOBUTYRIC ACID, 3,7-DIMETHYL-2,6-OCTADIENYL ESTER, (E)-&lt;br /&gt;&amp;diams; 3,7-DIMETHYL-2,6-OCTADIENYL ISOBUTYRATE, (E)-</t>
  </si>
  <si>
    <t xml:space="preserve"> 109-20-6</t>
  </si>
  <si>
    <t xml:space="preserve"> GERANYL ISOVALERATE</t>
  </si>
  <si>
    <t xml:space="preserve"> &amp;diams; GERANYL ISOVALERATE&lt;br /&gt;&amp;diams; 3,7-DIMETHYL-2,6-OCTADIEN-1-YL ISOPENTANOATE, TRANS-&lt;br /&gt;&amp;diams; 3,7-DIMETHYL-2,6-OCTADIEN-1-YL ISOVALERATE, TRANS-&lt;br /&gt;&amp;diams; 3,7-DIMETHYL-2,6-OCTADIEN-1-YL 3-METHYLBUTANOATE, TRANS-&lt;br /&gt;&amp;diams; GERANYL ISOVALERIANATE&lt;br /&gt;&amp;diams; GERANYL 3-METHYLBUTANOATE&lt;br /&gt;&amp;diams; GERANYL ISOPENTANOATE&lt;br /&gt;&amp;diams; BUTANOIC ACID, 3-METHYL-, 3,7-DIMETHYL-2,6-OCTADIENYL ESTER, (E)-&lt;br /&gt;&amp;diams; 3,7-DIMETHYL-2,6-OCTADIENYL 3-METHYLBUTANOATE, (E)-&lt;br /&gt;&amp;diams; ISOVALERIC ACID, 3,7-DIMETHYL-2,6-OCTADIENYL ESTER, (E)-&lt;br /&gt;&amp;diams; 3,7-DIMETHYL-2,6-OCTADIENYL ISOVALERATE, (E)-</t>
  </si>
  <si>
    <t xml:space="preserve"> 68705-63-5</t>
  </si>
  <si>
    <t xml:space="preserve"> GERANYL 2-METHYLBUTYRATE</t>
  </si>
  <si>
    <t xml:space="preserve"> &amp;diams; GERANYL 2-METHYLBUTYRATE&lt;br /&gt;&amp;diams; BUTANOIC ACID, 2-METHYL-, 3,7-DIMETHYL-2,6-OCTADIENYL ESTER, (E)-&lt;br /&gt;&amp;diams; 3,7-DIMETHYL-2,6-OCTADIENYL 2-METHYLBUTANOATE, (E)-</t>
  </si>
  <si>
    <t xml:space="preserve"> 102-22-7</t>
  </si>
  <si>
    <t xml:space="preserve"> GERANYL PHENYLACETATE</t>
  </si>
  <si>
    <t xml:space="preserve"> &amp;diams; GERANYL PHENYLACETATE&lt;br /&gt;&amp;diams; BENZENEACETIC ACID, 3,7-DIMETHYL-2,6-OCTADIENYL ESTER, (E)-&lt;br /&gt;&amp;diams; ACETIC ACID, PHENYL-, 3,7-DIMETHYL-2,6-OCTADIENYL ESTER, (E)-&lt;br /&gt;&amp;diams; GERANYL ALPHA-TOLUATE&lt;br /&gt;&amp;diams; 3,7-DIMETHYL-2,6-OCTADIEN-1-YL PHENYLACETATE, TRANS-&lt;br /&gt;&amp;diams; 3,7-DIMETHYL-2,6-OCTADIENYL BENZENEACETATE, (E)-&lt;br /&gt;&amp;diams; 3,7-DIMETHYL-2,6-OCTADIENYL PHENYLACETATE, (E)-</t>
  </si>
  <si>
    <t xml:space="preserve"> 105-90-8</t>
  </si>
  <si>
    <t xml:space="preserve"> GERANYL PROPIONATE</t>
  </si>
  <si>
    <t xml:space="preserve"> &amp;diams; GERANYL PROPIONATE&lt;br /&gt;&amp;diams; 3,7-DIMETHYL-2,6-OCTADIEN-1-YL PROPANOATE, TRANS-&lt;br /&gt;&amp;diams; 3,7-DIMETHYL-2,6-OCTADIEN-1-YL PROPIONATE, TRANS-&lt;br /&gt;&amp;diams; GERANYL PROPANOATE&lt;br /&gt;&amp;diams; 2,6-OCTADIEN-1-OL, 3,7-DIMETHYL-, PROPANOATE, (E)-&lt;br /&gt;&amp;diams; 3,7-DIMETHYL-2,6-OCTADIENYL PROPANOATE, (E)-&lt;br /&gt;&amp;diams; 2,6-OCTADIEN-1-OL, 3,7-DIMETHYL-, PROPIONATE, (E)-&lt;br /&gt;&amp;diams; 3,7-DIMETHYL-2,6-OCTADIENYL PROPIONATE, (E)-</t>
  </si>
  <si>
    <t xml:space="preserve"> 7785-33-3</t>
  </si>
  <si>
    <t xml:space="preserve"> GERANYL TIGLATE</t>
  </si>
  <si>
    <t xml:space="preserve"> &amp;diams; GERANYL TIGLATE&lt;br /&gt;&amp;diams; 2-butenoic acid, 2-methyl-, (2E)-3,7-dimethyl-2,6-octadienyl ester, (2E)-&lt;br /&gt;&amp;diams; 3,7-dimethyl-2,6-octadienyl 2-methyl-2-butenoate, trans,trans-&lt;br /&gt;&amp;diams; tiglic acid, trans-3,7-dimethyl-2,6-octadienyl ester&lt;br /&gt;&amp;diams; tiglic acid, geranyl ester</t>
  </si>
  <si>
    <t xml:space="preserve"> 10402-47-8</t>
  </si>
  <si>
    <t xml:space="preserve"> GERANYL VALERATE</t>
  </si>
  <si>
    <t xml:space="preserve"> &amp;diams; GERANYL VALERATE&lt;br /&gt;&amp;diams; GERANYL PENTANOATE&lt;br /&gt;&amp;diams; PENTANOIC ACID, 3,7-DIMETHYL-2,6-OCTADIENYL ESTER, (E)-&lt;br /&gt;&amp;diams; 3,7-DIMETHYL-2,6-OCTADIENYL PENTANOATE, (E)-&lt;br /&gt;&amp;diams; VALERIC ACID, 3,7-DIMETHYL-2,6-OCTADIENYL ESTER, (E)-&lt;br /&gt;&amp;diams; 3,7-DIMETHYL-2,6-OCTADIENYL VALERATE, (E)-</t>
  </si>
  <si>
    <t xml:space="preserve"> 977081-08-5</t>
  </si>
  <si>
    <t xml:space="preserve"> GERMANDER, CHAMAEDRYS (TEUCRIUM CHAMAEDRYS L.)</t>
  </si>
  <si>
    <t xml:space="preserve"> &amp;diams; GERMANDER&lt;br /&gt;&amp;diams; TEUCRIUM CHAMAEDRYS&lt;br /&gt;&amp;diams; CHAMAEDRYS&lt;br /&gt;&amp;diams; WALL GERMANDER&lt;br /&gt;&amp;diams; GERMANDER, WALL&lt;br /&gt;&amp;diams; GERMANDER, CHAMAEDRYS&lt;br /&gt;&amp;diams; GERMANDER, COMMON&lt;br /&gt;&amp;diams; COMMON GERMANDER</t>
  </si>
  <si>
    <t xml:space="preserve"> 977091-51-2</t>
  </si>
  <si>
    <t xml:space="preserve"> GERMANDER, CHAMAEDRYS, EXTRACT (TEUCRIUM CHAMAEDRYS L.)</t>
  </si>
  <si>
    <t xml:space="preserve"> &amp;diams; GERMANDER EXTRACT&lt;br /&gt;&amp;diams; CHAMAEDRYS EXTRACT&lt;br /&gt;&amp;diams; TEUCRIUM CHAMAEDRYS EXTRACT&lt;br /&gt;&amp;diams; GERMANDER EXTRACT, CHAMAEDRYS</t>
  </si>
  <si>
    <t xml:space="preserve"> 977091-52-3</t>
  </si>
  <si>
    <t xml:space="preserve"> GERMANDER, CHAMAEDRYS, EXTRACT SOLID (TEUCRIUM CHAMAEDRYS L.)</t>
  </si>
  <si>
    <t xml:space="preserve"> &amp;diams; GERMANDER EXTRACT, SOLID&lt;br /&gt;&amp;diams; CHAMAEDRYS SOLID EXTRACT&lt;br /&gt;&amp;diams; GERMANDER EXTRACT, SOLID, CHAMAEDRYS&lt;br /&gt;&amp;diams; TEUCRIUM CHAMAEDRYS SOLID EXTRACT</t>
  </si>
  <si>
    <t xml:space="preserve"> 977088-44-0</t>
  </si>
  <si>
    <t xml:space="preserve"> GERMANDER, GOLDEN (TEUCRIUM POLIUM L.)</t>
  </si>
  <si>
    <t xml:space="preserve"> &amp;diams; GERMANDER, GOLDEN&lt;br /&gt;&amp;diams; TEUCRIUM POLIUM&lt;br /&gt;&amp;diams; GOLDEN GERMANDER&lt;br /&gt;&amp;diams; POLEY</t>
  </si>
  <si>
    <t xml:space="preserve"> 9000-28-6</t>
  </si>
  <si>
    <t xml:space="preserve"> GHATTI, GUM (ANOGEISSUS LATIFOLIA WALL.)</t>
  </si>
  <si>
    <t xml:space="preserve"> &amp;diams; GHATTI GUM&lt;br /&gt;&amp;diams; INDIAN GUM&lt;br /&gt;&amp;diams; GUM GHATTI&lt;br /&gt;&amp;diams; ANOGEISSUS LATIFOLIA GUM</t>
  </si>
  <si>
    <t xml:space="preserve"> EMULSIFIER OR EMULSIFIER SALT,&lt;br /&gt; FLAVOR ENHANCER,&lt;br /&gt; SOLVENT OR VEHICLE,&lt;br /&gt; STABILIZER OR THICKENER</t>
  </si>
  <si>
    <t xml:space="preserve"> 977136-81-4</t>
  </si>
  <si>
    <t xml:space="preserve"> GIBBERELLIC ACID &amp; POTASSIUM GIBBERELLATE</t>
  </si>
  <si>
    <t xml:space="preserve"> &amp;diams; GIBBERELLIC ACID/POTASSIUM GIBBERELLATE</t>
  </si>
  <si>
    <t xml:space="preserve"> MALTING OR FERMENTING AID</t>
  </si>
  <si>
    <t xml:space="preserve"> 977001-38-9</t>
  </si>
  <si>
    <t xml:space="preserve"> GINGER (ZINGIBER OFFICINALE ROSC.)</t>
  </si>
  <si>
    <t xml:space="preserve"> &amp;diams; GINGER&lt;br /&gt;&amp;diams; ZINGIBER OFFICINALE&lt;br /&gt;&amp;diams; GINGEMBRE (ZINGEBER OFFICINALE)&lt;br /&gt;&amp;diams; TRUE GINGER&lt;br /&gt;&amp;diams; CANTON GINGER</t>
  </si>
  <si>
    <t xml:space="preserve"> 84696-15-1</t>
  </si>
  <si>
    <t xml:space="preserve"> GINGER, EXTRACT (ZINGIBER OFFICINALE ROSC.)</t>
  </si>
  <si>
    <t xml:space="preserve"> &amp;diams; GINGER EXTRACT&lt;br /&gt;&amp;diams; ZINGIBER OFFICINALE EXTRACT&lt;br /&gt;&amp;diams; GINGER, EXT.</t>
  </si>
  <si>
    <t xml:space="preserve"> 8007-08-7</t>
  </si>
  <si>
    <t xml:space="preserve"> GINGER, OIL (ZINGIBER OFFICINALE ROSC.)</t>
  </si>
  <si>
    <t xml:space="preserve"> &amp;diams; GINGER OIL&lt;br /&gt;&amp;diams; OILS, GINGER&lt;br /&gt;&amp;diams; ZINGIBER OFFICINALE OIL</t>
  </si>
  <si>
    <t xml:space="preserve"> 8002-60-6</t>
  </si>
  <si>
    <t xml:space="preserve"> GINGER, OLEORESIN (ZINGIBER OFFICINALE ROSC.)</t>
  </si>
  <si>
    <t xml:space="preserve"> &amp;diams; GINGER OLEORESIN&lt;br /&gt;&amp;diams; RESINS, OLEO-, GINGER</t>
  </si>
  <si>
    <t xml:space="preserve"> 526-95-4</t>
  </si>
  <si>
    <t xml:space="preserve"> D-GLUCONIC ACID</t>
  </si>
  <si>
    <t xml:space="preserve"> &amp;diams; GLUCONIC ACID, D-&lt;br /&gt;&amp;diams; DEXTRONIC ACID&lt;br /&gt;&amp;diams; MALTONIC ACID&lt;br /&gt;&amp;diams; GLYCONIC ACID&lt;br /&gt;&amp;diams; GLYCOGENIC ACID&lt;br /&gt;&amp;diams; PENTAHYDROXYCAPROIC ACID&lt;br /&gt;&amp;diams; D-GLUCONIC ACID</t>
  </si>
  <si>
    <t xml:space="preserve"> 90-80-2</t>
  </si>
  <si>
    <t xml:space="preserve"> GLUCONO-DELTA LACTONE</t>
  </si>
  <si>
    <t xml:space="preserve"> &amp;diams; DELTA-D-GLUCONOLACTONE&lt;br /&gt;&amp;diams; D-GLUCONIC ACID, DELTA-LACTONE&lt;br /&gt;&amp;diams; GLUCONOLACTONE, DELTA-D-&lt;br /&gt;&amp;diams; GLUCONO-DELTA-LACTONE&lt;br /&gt;&amp;diams; GLUCONIC ACID, DELTA-LACTONE, D-&lt;br /&gt;&amp;diams; GLUCONO-DELTA-LACTONE, D-&lt;br /&gt;&amp;diams; GLUCONO-1,5-LACTONE, D-</t>
  </si>
  <si>
    <t xml:space="preserve"> CURING OR PICKLING AGENT,&lt;br /&gt; FLAVOR ENHANCER,&lt;br /&gt; FLAVORING AGENT OR ADJUVANT,&lt;br /&gt; FORMULATION AID,&lt;br /&gt; LEAVENING AGENT,&lt;br /&gt; PH CONTROL AGENT,&lt;br /&gt; SEQUESTRANT</t>
  </si>
  <si>
    <t xml:space="preserve"> 133.129 ,  155.120</t>
  </si>
  <si>
    <t xml:space="preserve"> 5438-31-3</t>
  </si>
  <si>
    <t xml:space="preserve"> N-GLUCONYL ETHANOLAMINE</t>
  </si>
  <si>
    <t xml:space="preserve"> &amp;diams; GLUCONYL MONOETHANOLAMIDE&lt;br /&gt;&amp;diams; D-gluconamide, N-(2-hydroxyethyl)-&lt;br /&gt;&amp;diams; N-(2-hydroxyethyl)-D-gluconamide&lt;br /&gt;&amp;diams; gluconamide, N-(2-hydroxyethyl)-, D-&lt;br /&gt;&amp;diams; N-(2-hydroxyethyl)gluconamide, D-&lt;br /&gt;&amp;diams; N-gluconyl ethanolamine&lt;br /&gt;&amp;diams; gluconic acid monoethanolamide&lt;br /&gt;&amp;diams; InChI=1S/C8H17NO7/c10-2-1-9-8(16)7(15)6(14)5(13)4(12)3-11/h4-7,10-15H,1-3H2,(H,9,16)/t4-,5-,6+,7-/m1/s1&lt;br /&gt;&amp;diams; InChIKey: DTMUKVUZNZJFNO-MVIOUDGNSA-N</t>
  </si>
  <si>
    <t xml:space="preserve"> 874113-45-8</t>
  </si>
  <si>
    <t xml:space="preserve"> N-GLUCONYL ETHANOLAMINE PHOSPHATE</t>
  </si>
  <si>
    <t xml:space="preserve"> &amp;diams; GLUCONYL MONOETHANOLAMINE PHOSPHATE&lt;br /&gt;&amp;diams; D-gluconamide, N-(2-(phosphonooxy)ethyl)-&lt;br /&gt;&amp;diams; N-(2-(phosphonooxy)ethyl)-D-gluconamide&lt;br /&gt;&amp;diams; N-gluconyl ethanolamine phosphate&lt;br /&gt;&amp;diams; gluconic acid monoethanolamide phosphate&lt;br /&gt;&amp;diams; InChI=1S/C8H18NO10P/c10-3-4(11)5(12)6(13)7(14)8(15)9-1-2-19-20(16,17)18/h4-7,10-14H,1-3H2,(H,9,15)(H2,16,17,18)/t4-,5-,6+,7-/m1/s1&lt;br /&gt;&amp;diams; InChIKey=JNXDTQSHHDGYGF-MVIOUDGNSA-N</t>
  </si>
  <si>
    <t xml:space="preserve"> 977042-63-9</t>
  </si>
  <si>
    <t xml:space="preserve"> GLUCOSE ISOMERASE FROM BACILLUS COAGULANS</t>
  </si>
  <si>
    <t xml:space="preserve"> &amp;diams; GLUCOSE ISOMERASE, BACILLUS COAGULANS</t>
  </si>
  <si>
    <t xml:space="preserve"> 977090-08-6</t>
  </si>
  <si>
    <t xml:space="preserve"> GLUCOSE ISOMERASE FROM IMMOBILIZED ARTHROBACTER GLOBIFORMIS</t>
  </si>
  <si>
    <t xml:space="preserve"> &amp;diams; GLUCOSE ISOMERASE, ARTHROBACTER GLOBIFORMIS, IMMOBILIZED</t>
  </si>
  <si>
    <t xml:space="preserve"> 977078-16-2</t>
  </si>
  <si>
    <t xml:space="preserve"> GLUCOSE ISOMERASE FROM STREPTOMYCES OLIVACEUS</t>
  </si>
  <si>
    <t xml:space="preserve"> &amp;diams; GLUCOSE ISOMERASE, STREPTOMYCES OLIVACEUS</t>
  </si>
  <si>
    <t xml:space="preserve"> 977090-07-5</t>
  </si>
  <si>
    <t xml:space="preserve"> GLUCOSE ISOMERASE FROM STREPTOMYCES OLIVOCHROMOGENES</t>
  </si>
  <si>
    <t xml:space="preserve"> &amp;diams; GLUCOSE ISOMERASE, STREPTOMYCES OLIVOCHROMOGENES</t>
  </si>
  <si>
    <t xml:space="preserve"> 977090-06-4</t>
  </si>
  <si>
    <t xml:space="preserve"> GLUCOSE ISOMERASE FROM STREPTOMYCES RUBIGINOSUS</t>
  </si>
  <si>
    <t xml:space="preserve"> &amp;diams; GLUCOSE ISOMERASE, STREPTOMYCES RUBIGINOSUS</t>
  </si>
  <si>
    <t xml:space="preserve"> 9001-35-8</t>
  </si>
  <si>
    <t xml:space="preserve"> GLUCOSE OXIDASE CATALASE PREPARATION</t>
  </si>
  <si>
    <t xml:space="preserve"> &amp;diams; GLUCOSE OXIDASE/CATALASE&lt;br /&gt;&amp;diams; GLUCATASE&lt;br /&gt;&amp;diams; OXIDASE, GLUCOSE, MIXT. WITH CATALASE</t>
  </si>
  <si>
    <t xml:space="preserve"> 160.105 ,  160.145 ,  160.185</t>
  </si>
  <si>
    <t xml:space="preserve"> 977031-82-5</t>
  </si>
  <si>
    <t xml:space="preserve"> GLUCOSE OXIDASE FROM ASPERGILLUS NIGER</t>
  </si>
  <si>
    <t xml:space="preserve"> &amp;diams; GLUCOSE OXIDASE, ASPERGILLUS NIGER</t>
  </si>
  <si>
    <t xml:space="preserve"> 977090-09-7</t>
  </si>
  <si>
    <t xml:space="preserve"> GLUCOSE OXIDASE FROM PENICILLIUM NOTATUM</t>
  </si>
  <si>
    <t xml:space="preserve"> &amp;diams; GLUCOSE OXIDASE, PENICILLIUM NOTATUM</t>
  </si>
  <si>
    <t xml:space="preserve"> 83-87-4</t>
  </si>
  <si>
    <t xml:space="preserve"> GLUCOSE PENTAACETATE</t>
  </si>
  <si>
    <t xml:space="preserve"> &amp;diams; GLUCOSE PENTAACETATE&lt;br /&gt;&amp;diams; GLUCOPYRANOSE PENTAACETATE, D-&lt;br /&gt;&amp;diams; PENTAACETYL-DEXTRO-GLUCOSE&lt;br /&gt;&amp;diams; PENTAACETYLGLUCOSE&lt;br /&gt;&amp;diams; 1,2,3,4,6-PENTAACETYL-D-GLUCOSE&lt;br /&gt;&amp;diams; D-GLUCOPYRANOSE, PENTAACETATE&lt;br /&gt;&amp;diams; GLUCOPYRANOSE, PENTAACETATE, D-&lt;br /&gt;&amp;diams; 1,2,3,4,6-PENTA-O-ACETYL-D-GLUCOPYRANOSE&lt;br /&gt;&amp;diams; PENTAACETYL-D-GLUCOSE&lt;br /&gt;&amp;diams; PERACETYLGLUCOSE&lt;br /&gt;&amp;diams; PENTA-O-ACETYL-D-GLUCOPYRANOSE&lt;br /&gt;&amp;diams; GLUCOSE 1,2,3,4,6-PENTAACETATE, D-</t>
  </si>
  <si>
    <t xml:space="preserve"> 977091-48-7</t>
  </si>
  <si>
    <t xml:space="preserve"> GLUCOSIDASE FROM ASPERGILLUS FLAVUS</t>
  </si>
  <si>
    <t xml:space="preserve"> &amp;diams; GLUCOSIDASE, ASPERGILLUS FLAVUS</t>
  </si>
  <si>
    <t xml:space="preserve"> 977091-49-8</t>
  </si>
  <si>
    <t xml:space="preserve"> GLUCOSIDASE FROM ASPERGILLUS NIGER</t>
  </si>
  <si>
    <t xml:space="preserve"> &amp;diams; GLUCOSIDASE, ASPERGILLUS NIGER</t>
  </si>
  <si>
    <t xml:space="preserve"> 977091-50-1</t>
  </si>
  <si>
    <t xml:space="preserve"> GLUCOSIDASE FROM ASPERGILLUS ORYZAE</t>
  </si>
  <si>
    <t xml:space="preserve"> &amp;diams; GLUCOSIDASE, ASPERGILLUS ORYZAE</t>
  </si>
  <si>
    <t xml:space="preserve"> 56-86-0</t>
  </si>
  <si>
    <t xml:space="preserve"> L-GLUTAMIC ACID</t>
  </si>
  <si>
    <t xml:space="preserve"> &amp;diams; GLUTAMIC ACID, L-&lt;br /&gt;&amp;diams; AMINOGLUTARIC ACID&lt;br /&gt;&amp;diams; L-GLUTAMIC ACID&lt;br /&gt;&amp;diams; GLUTAMIC ACID, (S)-&lt;br /&gt;&amp;diams; 2-AMINOPENTANEDIOIC ACID, (S)-&lt;br /&gt;&amp;diams; GLUTAMIC ACID, L-(+)-&lt;br /&gt;&amp;diams; AMINOGLUTARIC ACID, ALPHA-&lt;br /&gt;&amp;diams; 1-AMINOPROPANE-1,3-DICARBOXYLIC ACID&lt;br /&gt;&amp;diams; GLUTAMIC ACID, (S)-(+)-</t>
  </si>
  <si>
    <t xml:space="preserve"> FLAVORING AGENT OR ADJUVANT,&lt;br /&gt; NUTRIENT SUPPLEMENT,&lt;br /&gt; PH CONTROL AGENT</t>
  </si>
  <si>
    <t xml:space="preserve"> 138-15-8</t>
  </si>
  <si>
    <t xml:space="preserve"> GLUTAMIC ACID HYDROCHLORIDE</t>
  </si>
  <si>
    <t xml:space="preserve"> &amp;diams; GLUTAMIC ACID HYDROCHLORIDE&lt;br /&gt;&amp;diams; ALPHA-AMINOPENTANEDIOIC ACID, HYDROCHLORIDE, L-&lt;br /&gt;&amp;diams; GLUTAMIC ACID, L-, HYDROCHLORIDE&lt;br /&gt;&amp;diams; GLUTAMIC ACID, HYDROCHLORIDE, L-&lt;br /&gt;&amp;diams; L-GLUTAMIC ACID, HYDROCHLORIDE</t>
  </si>
  <si>
    <t xml:space="preserve"> 56-85-9</t>
  </si>
  <si>
    <t xml:space="preserve"> L-GLUTAMINE</t>
  </si>
  <si>
    <t xml:space="preserve"> &amp;diams; GLUTAMINE, L-&lt;br /&gt;&amp;diams; GLUTAMIC ACID 5-AMIDE&lt;br /&gt;&amp;diams; 2-AMINOGLUTARAMIC ACID&lt;br /&gt;&amp;diams; L-GLUTAMINE&lt;br /&gt;&amp;diams; 2,5-DIAMINO-5-OXOPENTANOIC ACID, (S)-&lt;br /&gt;&amp;diams; GLUTAMIC ACID GAMMA-AMIDE, L-&lt;br /&gt;&amp;diams; GLUTAMINE, L-(+)-&lt;br /&gt;&amp;diams; GLUTAMINE, GAMMA-&lt;br /&gt;&amp;diams; 2-AMINOGLUTARAMIC ACID, L-</t>
  </si>
  <si>
    <t xml:space="preserve"> 38837-70-6</t>
  </si>
  <si>
    <t xml:space="preserve"> GAMMA-GLUTAMYL-VALYL-GLYCINE</t>
  </si>
  <si>
    <t xml:space="preserve"> &amp;diams; GAMMA-GLUTAMYL-VALYL-GLYCINE&lt;br /&gt;&amp;diams; L-gamma-glutamyl-L-valylglycine&lt;br /&gt;&amp;diams; glycine, L-gamma-glutamyl-L-valyl-&lt;br /&gt;&amp;diams; gamma-Glu-Val-Gly&lt;br /&gt;&amp;diams; N-(N-L-gamma-glutamyl-L-valyl)glycine</t>
  </si>
  <si>
    <t xml:space="preserve"> 111-30-8</t>
  </si>
  <si>
    <t xml:space="preserve"> GLUTARALDEHYDE</t>
  </si>
  <si>
    <t xml:space="preserve"> &amp;diams; GLUTARAL&lt;br /&gt;&amp;diams; GLUTARALDEHYDE&lt;br /&gt;&amp;diams; PENTANEDIAL&lt;br /&gt;&amp;diams; 1,5-PENTANEDIONE&lt;br /&gt;&amp;diams; GLUTARIC ACID DIALDEHYDE&lt;br /&gt;&amp;diams; 1,5-PENTANEDIAL&lt;br /&gt;&amp;diams; GLUTARIC DIALDEHYDE</t>
  </si>
  <si>
    <t xml:space="preserve"> OXIDIZING OR REDUCING AGENT</t>
  </si>
  <si>
    <t xml:space="preserve"> 977091-56-7</t>
  </si>
  <si>
    <t xml:space="preserve"> GLUTEN, GUM</t>
  </si>
  <si>
    <t xml:space="preserve"> &amp;diams; GUM GLUTEN&lt;br /&gt;&amp;diams; GLUTEN, GUM</t>
  </si>
  <si>
    <t xml:space="preserve"> 139.110 ,  139.120 ,  139.125 ,  139.140 ,  139.150</t>
  </si>
  <si>
    <t xml:space="preserve"> 56-81-5</t>
  </si>
  <si>
    <t xml:space="preserve"> GLYCERIN</t>
  </si>
  <si>
    <t xml:space="preserve"> &amp;diams; GLYCERIN&lt;br /&gt;&amp;diams; GLYCERINE&lt;br /&gt;&amp;diams; GLYCEROL&lt;br /&gt;&amp;diams; 1,2,3-PROPANETRIOL&lt;br /&gt;&amp;diams; GLYCYL ALCOHOL&lt;br /&gt;&amp;diams; 1,2,3-TRIHYDROXYPROPANE&lt;br /&gt;&amp;diams; PROPANETRIOL</t>
  </si>
  <si>
    <t xml:space="preserve"> ANTICAKING AGENT OR FREE-FLOW AGENT,&lt;br /&gt; DRYING AGENT,&lt;br /&gt; EMULSIFIER OR EMULSIFIER SALT,&lt;br /&gt; HUMECTANT,&lt;br /&gt; MASTICATORY SUBSTANCE,&lt;br /&gt; NUTRITIVE SWEETENER,&lt;br /&gt; SOLVENT OR VEHICLE,&lt;br /&gt; STABILIZER OR THICKENER,&lt;br /&gt; TEXTURIZER</t>
  </si>
  <si>
    <t xml:space="preserve"> 977091-53-4</t>
  </si>
  <si>
    <t xml:space="preserve"> GLYCERIN, SYNTHETIC</t>
  </si>
  <si>
    <t xml:space="preserve"> &amp;diams; SYNTHETIC GLYCERIN&lt;br /&gt;&amp;diams; GLYCERIN, SYNTHETIC</t>
  </si>
  <si>
    <t xml:space="preserve"> 60-01-5</t>
  </si>
  <si>
    <t xml:space="preserve"> GLYCEROL TRIBUTYRATE</t>
  </si>
  <si>
    <t xml:space="preserve"> &amp;diams; TRIBUTYRIN&lt;br /&gt;&amp;diams; GLYCERYL TRIBUTYRATE&lt;br /&gt;&amp;diams; BUTYRIN&lt;br /&gt;&amp;diams; BUTANOIC ACID, 1,2,3-PROPANETRIYL ESTER&lt;br /&gt;&amp;diams; 1,2,3-PROPANETRIYL TRIBUTANOATE&lt;br /&gt;&amp;diams; BUTYRIN, TRI-</t>
  </si>
  <si>
    <t xml:space="preserve"> 77538-19-3</t>
  </si>
  <si>
    <t xml:space="preserve"> GLYCERYL BEHENATE</t>
  </si>
  <si>
    <t xml:space="preserve"> &amp;diams; BEHENIN&lt;br /&gt;&amp;diams; GLYCERYL BEHENATE&lt;br /&gt;&amp;diams; DOCOSANOIC ACID, ESTER WITH 1,2,3-PROPANETRIOL&lt;br /&gt;&amp;diams; 1,2,3-PROPANETRIOL DOCOSANOATE</t>
  </si>
  <si>
    <t xml:space="preserve"> FORMULATION AID</t>
  </si>
  <si>
    <t xml:space="preserve"> 26446-31-1</t>
  </si>
  <si>
    <t xml:space="preserve"> GLYCERYL 5-HYDROXYDECANOATE</t>
  </si>
  <si>
    <t xml:space="preserve"> &amp;diams; GLYCEROL 5-HYDROXYDECANOATE&lt;br /&gt;&amp;diams; DECANOIC ACID, 5-HYDROXY-, MONOESTER WITH GLYCEROL&lt;br /&gt;&amp;diams; DECANOIC ACID, 5-HYDROXY-, MONOESTER WITH 1,2,3-PROPANETRIOL&lt;br /&gt;&amp;diams; GLYCEROL, MONO(5-HYDROXYDECANOATE)&lt;br /&gt;&amp;diams; GLYCERYL MONO(5-HYDROXYDECANOATE)&lt;br /&gt;&amp;diams; 1,2,3-PROPANETRIOL MONO(5-HYDROXYDECANOATE)</t>
  </si>
  <si>
    <t xml:space="preserve"> 26446-32-2</t>
  </si>
  <si>
    <t xml:space="preserve"> GLYCERYL 5-HYDROXYDODECANOATE</t>
  </si>
  <si>
    <t xml:space="preserve"> &amp;diams; GLYCEROL 5-HYDROXYDODECANOATE&lt;br /&gt;&amp;diams; DODECANOIC ACID, 5-HYDROXY-, MONOESTER WITH GLYCEROL&lt;br /&gt;&amp;diams; DODECANOIC ACID, 5-HYDROXY-, MONOESTER WITH 1,2,3-PROPANETRIOL&lt;br /&gt;&amp;diams; GLYCEROL, MONO(5-HYDROXYDODECANOATE)&lt;br /&gt;&amp;diams; GLYCERYL MONO(5-HYDROXYDODECANOATE)&lt;br /&gt;&amp;diams; 1,2,3-PROPANETRIOL MONO(5-HYDROXYDODECANOATE)</t>
  </si>
  <si>
    <t xml:space="preserve"> 977051-31-2</t>
  </si>
  <si>
    <t xml:space="preserve"> GLYCERYL-LACTO ESTERS OF FATTY ACIDS</t>
  </si>
  <si>
    <t xml:space="preserve"> &amp;diams; MONO- AND DIGLYCERIDES, LACTATED&lt;br /&gt;&amp;diams; GLYCERYL-LACTO ESTERS OF FATTY ACIDS&lt;br /&gt;&amp;diams; GLYCEROL, LACTIC AND FATTY ACID ESTERS&lt;br /&gt;&amp;diams; GLYCEROL, LACTIC ACID ESTERS&lt;br /&gt;&amp;diams; LACTATED MONO- AND DIGLYCERIDES&lt;br /&gt;&amp;diams; LACTIC ACID ESTERS OF MONO- AND DIGLYCERIDES&lt;br /&gt;&amp;diams; MONO- AND DIGLYCERIDES OF FATTY ACIDS, LACTIC ACID ESTERS&lt;br /&gt;&amp;diams; LACTYLATED MONO- AND DIGLYCERIDES</t>
  </si>
  <si>
    <t xml:space="preserve"> 30283-16-0</t>
  </si>
  <si>
    <t xml:space="preserve"> GLYCERYL LACTOOLEATE</t>
  </si>
  <si>
    <t xml:space="preserve"> &amp;diams; GLYCEROL LACTOOLEATE&lt;br /&gt;&amp;diams; GLYCERYL LACTOOLEATE&lt;br /&gt;&amp;diams; OLEIC ACID, ESTER WITH LACTIC ACID, MONOESTER WITH GLYCEROL&lt;br /&gt;&amp;diams; GLYCEROL LACTATE MONO- AND DIOLEATE</t>
  </si>
  <si>
    <t xml:space="preserve"> EMULSIFIER OR EMULSIFIER SALT,&lt;br /&gt; FORMULATION AID</t>
  </si>
  <si>
    <t xml:space="preserve"> 1338-09-6</t>
  </si>
  <si>
    <t xml:space="preserve"> GLYCERYL LACTOPALMITATE</t>
  </si>
  <si>
    <t xml:space="preserve"> &amp;diams; GLYCEROL LACTOPALMITATE&lt;br /&gt;&amp;diams; GLYCEROL, LACTOPALMITATE&lt;br /&gt;&amp;diams; HEXADECANOIC ACID, ESTER WITH 1,2,3-PROPANETRIOL 2-HYDROXYPROPANOATE&lt;br /&gt;&amp;diams; GLYCERYL LACTOPALMITATE&lt;br /&gt;&amp;diams; GLYCEROL LACTATE MONO- AND DIPALMITATE&lt;br /&gt;&amp;diams; LACTOPALMITIN&lt;br /&gt;&amp;diams; 1,2,3-PROPANETRIYL 2-HYDROXYPROPANOATE HEXADECANOATE</t>
  </si>
  <si>
    <t xml:space="preserve"> 25496-72-4</t>
  </si>
  <si>
    <t xml:space="preserve"> GLYCERYL MONOOLEATE</t>
  </si>
  <si>
    <t xml:space="preserve"> &amp;diams; MONOOLEIN&lt;br /&gt;&amp;diams; GLYCEROL MONOOLEATE&lt;br /&gt;&amp;diams; GLYCERYL MONOOLEATE&lt;br /&gt;&amp;diams; 9-OCTADECENOIC ACID (Z)-, MONOESTER WITH 1,2,3-PROPANETRIOL&lt;br /&gt;&amp;diams; 1,2,3-PROPANETRIOL MONO((Z)-9-OCTADECENOATE)&lt;br /&gt;&amp;diams; OLEIN, MONO-</t>
  </si>
  <si>
    <t xml:space="preserve"> ANTICAKING AGENT OR FREE-FLOW AGENT,&lt;br /&gt; DRYING AGENT,&lt;br /&gt; EMULSIFIER OR EMULSIFIER SALT,&lt;br /&gt; FLAVORING AGENT OR ADJUVANT,&lt;br /&gt; HUMECTANT</t>
  </si>
  <si>
    <t xml:space="preserve"> 31566-31-1</t>
  </si>
  <si>
    <t xml:space="preserve"> GLYCERYL MONOSTEARATE</t>
  </si>
  <si>
    <t xml:space="preserve"> &amp;diams; MONOSTEARIN&lt;br /&gt;&amp;diams; GLYCEROL MONOSTEARATE&lt;br /&gt;&amp;diams; GLYCERYL STEARATE&lt;br /&gt;&amp;diams; MONOGLYCERYL STEARATE&lt;br /&gt;&amp;diams; STEARIC ACID MONOGLYCERIDE&lt;br /&gt;&amp;diams; 1,2,3-PROPANETRIOL MONOOCTADECANOATE&lt;br /&gt;&amp;diams; OCTADECANOIC ACID, MONOESTER WITH 1,2,3-PROPANETRIOL&lt;br /&gt;&amp;diams; GLYCERYL MONOOCTADECANOATE&lt;br /&gt;&amp;diams; MONOSTEARATE (GLYCERIDE)&lt;br /&gt;&amp;diams; STEAROYLGLYCEROL</t>
  </si>
  <si>
    <t xml:space="preserve"> EMULSIFIER OR EMULSIFIER SALT,&lt;br /&gt; FIRMING AGENT,&lt;br /&gt; FLAVOR ENHANCER,&lt;br /&gt; LUBRICANT OR RELEASE AGENT,&lt;br /&gt; MASTICATORY SUBSTANCE,&lt;br /&gt; TEXTURIZER</t>
  </si>
  <si>
    <t xml:space="preserve"> 139.110 ,  139.150</t>
  </si>
  <si>
    <t xml:space="preserve"> 8067-32-1</t>
  </si>
  <si>
    <t xml:space="preserve"> GLYCERYL PALMITOSTEARATE</t>
  </si>
  <si>
    <t xml:space="preserve"> &amp;diams; GLYCERYL PALMITOSTEARATE&lt;br /&gt;&amp;diams; OCTADECANOIC ACID, ESTER WITH 1,2,3-PROPANETRIOL HEXADECANOATE&lt;br /&gt;&amp;diams; 1,2,3-PROPANETRIYL HEXADECANOATE OCTADECANOATE</t>
  </si>
  <si>
    <t xml:space="preserve"> 614-33-5</t>
  </si>
  <si>
    <t xml:space="preserve"> GLYCERYL TRIBENZOATE</t>
  </si>
  <si>
    <t xml:space="preserve"> &amp;diams; TRIBENZOIN&lt;br /&gt;&amp;diams; GLYCERYL TRIBENZOATE&lt;br /&gt;&amp;diams; 1,2,3-PROPANETRIOL, TRIBENZOATE&lt;br /&gt;&amp;diams; GLYCEROL, TRIBENZOATE</t>
  </si>
  <si>
    <t xml:space="preserve"> 139-45-7</t>
  </si>
  <si>
    <t xml:space="preserve"> GLYCERYL TRIPROPANOATE</t>
  </si>
  <si>
    <t xml:space="preserve"> &amp;diams; TRIPROPIONIN&lt;br /&gt;&amp;diams; GLYCERYL TRIPROPANOATE&lt;br /&gt;&amp;diams; GLYCEROL TRIPROPIONATE&lt;br /&gt;&amp;diams; PROPIONIC ACID TRIGLYCERIDE&lt;br /&gt;&amp;diams; 1,2,3-PROPANETRIOL, TRIPROPANOATE&lt;br /&gt;&amp;diams; PROPIONIN, TRI-&lt;br /&gt;&amp;diams; TRIPROPIONYLGLYCEROL</t>
  </si>
  <si>
    <t xml:space="preserve"> 555-43-1</t>
  </si>
  <si>
    <t xml:space="preserve"> GLYCERYL TRISTEARATE</t>
  </si>
  <si>
    <t xml:space="preserve"> &amp;diams; TRISTEARIN&lt;br /&gt;&amp;diams; GLYCERYL TRISTEARATE&lt;br /&gt;&amp;diams; TRIOCTADECANOIN&lt;br /&gt;&amp;diams; STEARIN, TRI-&lt;br /&gt;&amp;diams; 1,2,3-PROPANETRIYL TRIOCTADECANOATE&lt;br /&gt;&amp;diams; OCTADECANOIC ACID, 1,2,3-PROPANETRIYL ESTER&lt;br /&gt;&amp;diams; STEARIC ACID TRIGLYCERIDE</t>
  </si>
  <si>
    <t xml:space="preserve"> FORMULATION AID,&lt;br /&gt; LUBRICANT OR RELEASE AGENT,&lt;br /&gt; SURFACE-FINISHING AGENT</t>
  </si>
  <si>
    <t xml:space="preserve"> 56-40-6</t>
  </si>
  <si>
    <t xml:space="preserve"> GLYCINE</t>
  </si>
  <si>
    <t xml:space="preserve"> &amp;diams; GLYCINE&lt;br /&gt;&amp;diams; AMINOACETIC ACID&lt;br /&gt;&amp;diams; GLYCOCOLL&lt;br /&gt;&amp;diams; AMINOETHANOIC ACID</t>
  </si>
  <si>
    <t xml:space="preserve"> 475-31-0</t>
  </si>
  <si>
    <t xml:space="preserve"> GLYCOCHOLIC ACID</t>
  </si>
  <si>
    <t xml:space="preserve"> &amp;diams; GLYCOCHOLIC ACID&lt;br /&gt;&amp;diams; N-CHOLOYLGLYCINE&lt;br /&gt;&amp;diams; GLYCINE, N-((3ALPHA,5BETA,7ALPHA,12ALPHA)-3,7,12-TRIHYDROXY-24-OXOCHOLAN-24-YL)-&lt;br /&gt;&amp;diams; N-((3ALPHA,5BETA,7ALPHA,12ALPHA)-3,7,12-TRIHYDROXY-24-OXOCHOLAN-24-YL)GLYCINE&lt;br /&gt;&amp;diams; GLYCINE, N-CHOLOYL-&lt;br /&gt;&amp;diams; N-(CARBOXYMETHYL)-3ALPHA,7ALPHA,12ALPHA-TRIHYDROXYGLYCINE CHOLATE</t>
  </si>
  <si>
    <t xml:space="preserve"> 53956-04-0</t>
  </si>
  <si>
    <t xml:space="preserve"> GLYCYRRHIZIN, AMMONIATED (GLYCYRRHIZA SPP.)</t>
  </si>
  <si>
    <t xml:space="preserve"> &amp;diams; GLYCYRRHIZIN, AMMONIATED&lt;br /&gt;&amp;diams; AMMONIUM GLYCYRRHIZINATE&lt;br /&gt;&amp;diams; AMMONIATED GLYCYRRHIZIN&lt;br /&gt;&amp;diams; ALPHA-D-GLUCOPYRANOSIDURONIC ACID, (3BETA,20BETA)-20-CARBOXY-11-OXO-30-NOROLEAN-12-EN-3-YL 2-O-BETA-D-GLUCOPYRANURONOSYL-, MONOAMMONIUM SALT&lt;br /&gt;&amp;diams; MONOAMMONIUM GLYCYRRHIZINATE&lt;br /&gt;&amp;diams; MONOAMMONIUM (3BETA,20BETA)-20-CARBOXY-11-OXO-30-NOROLEAN-12-EN-3-YL 2-O-BETA-D-GLUCOPYRANURONOSYL-ALPHA-D-GLUCOPYRANOSIDURONOATE</t>
  </si>
  <si>
    <t xml:space="preserve"> 977050-87-5</t>
  </si>
  <si>
    <t xml:space="preserve"> GRAINS OF PARADISE (AFRAMOMUM MELEGUETA (ROSC.) K. SCHUM.)</t>
  </si>
  <si>
    <t xml:space="preserve"> &amp;diams; GRAINS OF PARADISE&lt;br /&gt;&amp;diams; AMOMUM GRANUM-PARADISII&lt;br /&gt;&amp;diams; AMOMUM MELEGUETA&lt;br /&gt;&amp;diams; AFRAMOMUM MELEGUETA SEED&lt;br /&gt;&amp;diams; GUINEA GRAINS&lt;br /&gt;&amp;diams; MELEGUETA PEPPER&lt;br /&gt;&amp;diams; MALAGUETTE&lt;br /&gt;&amp;diams; POIVRE DE GUINEE&lt;br /&gt;&amp;diams; MALAGETTAPFEFFER&lt;br /&gt;&amp;diams; PARADIESKORNER&lt;br /&gt;&amp;diams; GRANI DI MELEGUETTA&lt;br /&gt;&amp;diams; GRANI PARADISI&lt;br /&gt;&amp;diams; MANI GUETTA&lt;br /&gt;&amp;diams; AFRAMOMUM MELEGUETA</t>
  </si>
  <si>
    <t xml:space="preserve"> 977091-57-8</t>
  </si>
  <si>
    <t xml:space="preserve"> GRAPE COLOR EXTRACT</t>
  </si>
  <si>
    <t xml:space="preserve"> &amp;diams; GRAPE COLOR EXTRACT</t>
  </si>
  <si>
    <t xml:space="preserve"> 977091-54-5</t>
  </si>
  <si>
    <t xml:space="preserve"> GRAPE ESSENCE, NATURAL</t>
  </si>
  <si>
    <t xml:space="preserve"> &amp;diams; GRAPE ESSENCE, NATURAL</t>
  </si>
  <si>
    <t xml:space="preserve"> 977091-55-6</t>
  </si>
  <si>
    <t xml:space="preserve"> GRAPEFRUIT ESSENCE, NATURAL</t>
  </si>
  <si>
    <t xml:space="preserve"> &amp;diams; GRAPEFRUIT ESSENCE, NATURAL</t>
  </si>
  <si>
    <t xml:space="preserve"> 90045-43-5</t>
  </si>
  <si>
    <t xml:space="preserve"> GRAPEFRUIT, EXTRACT</t>
  </si>
  <si>
    <t xml:space="preserve"> &amp;diams; GRAPEFRUIT EXTRACT&lt;br /&gt;&amp;diams; GRAPEFRUIT, EXT.&lt;br /&gt;&amp;diams; CITRUS PARADISI EXTRACT</t>
  </si>
  <si>
    <t xml:space="preserve"> 977038-26-8</t>
  </si>
  <si>
    <t xml:space="preserve"> GRAPEFRUIT, JUICE</t>
  </si>
  <si>
    <t xml:space="preserve"> &amp;diams; GRAPEFRUIT JUICE</t>
  </si>
  <si>
    <t xml:space="preserve"> 8016-20-4</t>
  </si>
  <si>
    <t xml:space="preserve"> GRAPEFRUIT, OIL (CITRUS PARADISI MACF.)</t>
  </si>
  <si>
    <t xml:space="preserve"> &amp;diams; GRAPEFRUIT OIL, COLDPRESSED&lt;br /&gt;&amp;diams; CITRUS PARADISI OIL&lt;br /&gt;&amp;diams; GRAPEFRUIT OIL&lt;br /&gt;&amp;diams; OILS, GRAPEFRUIT</t>
  </si>
  <si>
    <t xml:space="preserve"> 977083-05-8</t>
  </si>
  <si>
    <t xml:space="preserve"> GRAPEFRUIT OIL, CONC.</t>
  </si>
  <si>
    <t xml:space="preserve"> &amp;diams; GRAPEFRUIT OIL CONCENTRATE</t>
  </si>
  <si>
    <t xml:space="preserve"> 68916-46-1</t>
  </si>
  <si>
    <t xml:space="preserve"> GRAPEFRUIT, OIL, TERPENELESS (CITRUS PARADISI)</t>
  </si>
  <si>
    <t xml:space="preserve"> &amp;diams; GRAPEFRUIT OIL, TERPENELESS</t>
  </si>
  <si>
    <t xml:space="preserve"> 85594-37-2</t>
  </si>
  <si>
    <t xml:space="preserve"> GRAPE SEED EXTRACT</t>
  </si>
  <si>
    <t xml:space="preserve"> &amp;diams; GRAPE SEED EXTRACT&lt;br /&gt;&amp;diams; GRAPE, EXT.&lt;br /&gt;&amp;diams; VITIS VINIFERA SEED EXTRACT</t>
  </si>
  <si>
    <t xml:space="preserve"> 11029-12-2</t>
  </si>
  <si>
    <t xml:space="preserve"> GRAPE SKIN EXTRACT</t>
  </si>
  <si>
    <t xml:space="preserve"> &amp;diams; GRAPE SKIN EXTRACT&lt;br /&gt;&amp;diams; ENOCIANINA&lt;br /&gt;&amp;diams; ANTHOCYANINS, GRAPE&lt;br /&gt;&amp;diams; OENIN&lt;br /&gt;&amp;diams; OENOCYANIN</t>
  </si>
  <si>
    <t xml:space="preserve"> 977032-78-2</t>
  </si>
  <si>
    <t xml:space="preserve"> GROUND LIMESTONE</t>
  </si>
  <si>
    <t xml:space="preserve"> &amp;diams; LIMESTONE, GROUND&lt;br /&gt;&amp;diams; LIMESTONE FLOUR&lt;br /&gt;&amp;diams; GROUND LIMESTONE</t>
  </si>
  <si>
    <t xml:space="preserve"> 9000-29-7</t>
  </si>
  <si>
    <t xml:space="preserve"> GUAIAC GUM (GUAIACUM SPP.)</t>
  </si>
  <si>
    <t xml:space="preserve"> &amp;diams; GUAIAC&lt;br /&gt;&amp;diams; GUM GUAIAC&lt;br /&gt;&amp;diams; GUAIACUM&lt;br /&gt;&amp;diams; GUAIAC GUM&lt;br /&gt;&amp;diams; GUAIAC RESIN&lt;br /&gt;&amp;diams; GUAIACUM RESIN&lt;br /&gt;&amp;diams; GUAIACUM (RESIN)&lt;br /&gt;&amp;diams; GUM GUAIACUM&lt;br /&gt;&amp;diams; RESIN GUAIAC</t>
  </si>
  <si>
    <t xml:space="preserve"> ANTIOXIDANT,&lt;br /&gt; FLAVORING AGENT OR ADJUVANT</t>
  </si>
  <si>
    <t xml:space="preserve"> 84650-13-5</t>
  </si>
  <si>
    <t xml:space="preserve"> GUAIAC GUM, EXTRACT (GUAIACUM SPP.)</t>
  </si>
  <si>
    <t xml:space="preserve"> &amp;diams; GUAIAC EXTRACT&lt;br /&gt;&amp;diams; GUAIAC GUM EXTRACT&lt;br /&gt;&amp;diams; GUAIACUM OFFICINALIS EXTRACT&lt;br /&gt;&amp;diams; GUAIACUM OFFICINALE, EXT.</t>
  </si>
  <si>
    <t xml:space="preserve"> 90-05-1</t>
  </si>
  <si>
    <t xml:space="preserve"> GUAIACOL</t>
  </si>
  <si>
    <t xml:space="preserve"> &amp;diams; GUAIACOL&lt;br /&gt;&amp;diams; METHOXYPHENOL, O-&lt;br /&gt;&amp;diams; HYDROXYANISOLE, O-&lt;br /&gt;&amp;diams; 2-HYDROXYANISOLE&lt;br /&gt;&amp;diams; 2-METHOXYPHENOL&lt;br /&gt;&amp;diams; 1-HYDROXY-2-METHOXYBENZENE&lt;br /&gt;&amp;diams; PYROGUAIAC ACID&lt;br /&gt;&amp;diams; PYROCATECHOL MONOMETHYL ETHER&lt;br /&gt;&amp;diams; PHENOL, 2-METHOXY-&lt;br /&gt;&amp;diams; PHENOL, O-METHOXY-&lt;br /&gt;&amp;diams; NSC-3815&lt;br /&gt;&amp;diams; METHYLCATECHOL</t>
  </si>
  <si>
    <t xml:space="preserve"> 4112-92-9</t>
  </si>
  <si>
    <t xml:space="preserve"> GUAIACOL BUTYRATE</t>
  </si>
  <si>
    <t xml:space="preserve"> &amp;diams; GUAIACYL BUTYRATE&lt;br /&gt;&amp;diams; butanoic acid, 2-methoxyphenyl ester&lt;br /&gt;&amp;diams; 2-methoxyphenyl butanoate&lt;br /&gt;&amp;diams; butyric acid, o-methoxyphenyl ester&lt;br /&gt;&amp;diams; phenol, o-methoxy, butyrate&lt;br /&gt;&amp;diams; methoxyphenyl butyrate, o-&lt;br /&gt;&amp;diams; 2-methoxyphenyl butyrate</t>
  </si>
  <si>
    <t xml:space="preserve"> 7598-60-9</t>
  </si>
  <si>
    <t xml:space="preserve"> GUAIACOL PROPIONATE</t>
  </si>
  <si>
    <t xml:space="preserve"> &amp;diams; GUAIACYL PROPIONATE&lt;br /&gt;&amp;diams; phenol, 2-methoxy-, 1-propanoate&lt;br /&gt;&amp;diams; 2-methoxyphenyl 1-propanoate&lt;br /&gt;&amp;diams; phenol, 2-methoxy-, propanoate&lt;br /&gt;&amp;diams; 2-methoxyphenyl propanoate&lt;br /&gt;&amp;diams; phenol, o-methoxy-, propionate&lt;br /&gt;&amp;diams; methoxyphenyl propionate, o-&lt;br /&gt;&amp;diams; propionic acid, o-methoxyphenyl ester&lt;br /&gt;&amp;diams; guaiacol propionate&lt;br /&gt;&amp;diams; InChI=1S/C10H12O3/c1-3-10(11)13-9-7-5-4-6-8(9)12-2/h4-7H,3H2,1-2H3&lt;br /&gt;&amp;diams; InChIKey: UYXMBPVOGLUKIV-UHFFFAOYSA-N</t>
  </si>
  <si>
    <t xml:space="preserve"> 977083-52-5</t>
  </si>
  <si>
    <t xml:space="preserve"> GUAIAC WOOD, EXTRACT (GUAIACUM SPP.)</t>
  </si>
  <si>
    <t xml:space="preserve"> &amp;diams; GUAIAC WOOD EXTRACT</t>
  </si>
  <si>
    <t xml:space="preserve"> 8016-23-7</t>
  </si>
  <si>
    <t xml:space="preserve"> GUAIAC WOOD, OIL (GUAIACUM SPP.)</t>
  </si>
  <si>
    <t xml:space="preserve"> &amp;diams; GUAIAC WOOD OIL&lt;br /&gt;&amp;diams; OILS, ESSENTIAL, GUAIAC WOOD</t>
  </si>
  <si>
    <t xml:space="preserve"> 613-70-7</t>
  </si>
  <si>
    <t xml:space="preserve"> GUAIACYL ACETATE</t>
  </si>
  <si>
    <t xml:space="preserve"> &amp;diams; GUAIACYL ACETATE&lt;br /&gt;&amp;diams; 2-METHOXYPHENYL ACETATE&lt;br /&gt;&amp;diams; METHOXYPHENYL ACETATE, O-&lt;br /&gt;&amp;diams; 1-ACETOXY-2-METHOXYBENZENE&lt;br /&gt;&amp;diams; ACETYL GUAIACOL&lt;br /&gt;&amp;diams; PHENOL, 2-METHOXY-, ACETATE&lt;br /&gt;&amp;diams; PHENOL, O-METHOXY-, ACETATE</t>
  </si>
  <si>
    <t xml:space="preserve"> 723759-62-4</t>
  </si>
  <si>
    <t xml:space="preserve"> GUAIACYL ISOBUTYRATE</t>
  </si>
  <si>
    <t xml:space="preserve"> &amp;diams; GUAIACYL ISOBUTYRATE&lt;br /&gt;&amp;diams; propanoic acid, 2-methyl-, 2-methoxyphenyl ester&lt;br /&gt;&amp;diams; 2-methoxyphenyl 2-methylpropanoate</t>
  </si>
  <si>
    <t xml:space="preserve"> 4112-89-4</t>
  </si>
  <si>
    <t xml:space="preserve"> GUAIACYL PHENYLACETATE</t>
  </si>
  <si>
    <t xml:space="preserve"> &amp;diams; GUAIACYL PHENYLACETATE&lt;br /&gt;&amp;diams; BENZENEACETIC ACID, 2-METHOXYPHENYL ESTER&lt;br /&gt;&amp;diams; ACETIC ACID, PHENYL-, O-METHOXYPHENYL ESTER&lt;br /&gt;&amp;diams; GUAIACOL PHENYLACETATE&lt;br /&gt;&amp;diams; METHOXYPHENYL PHENYLACETATE, O-&lt;br /&gt;&amp;diams; METHYLCATECHOL ACETATE, O-&lt;br /&gt;&amp;diams; 2-METHOXYPHENYL PHENYLACETATE</t>
  </si>
  <si>
    <t xml:space="preserve"> 88-84-6</t>
  </si>
  <si>
    <t xml:space="preserve"> GUAIENE</t>
  </si>
  <si>
    <t xml:space="preserve"> &amp;diams; GUAIENE, BETA-&lt;br /&gt;&amp;diams; BETA-GUAIENE&lt;br /&gt;&amp;diams; AZULENE, 1,2,3,4,5,6,7,8-OCTAHYDRO-1,4-DIMETHYL-7-(1-METHYLETHYLIDENE)-, (1S-CIS)-&lt;br /&gt;&amp;diams; 1,2,3,4,5,6,7,8-OCTAHYDRO-1,4-DIMETHYL-7-(1-METHYLETHYLIDENE)AZULENE, (1S-CIS)-&lt;br /&gt;&amp;diams; GUAIA-1(5),7(11)-DIENE</t>
  </si>
  <si>
    <t xml:space="preserve"> 134-28-1</t>
  </si>
  <si>
    <t xml:space="preserve"> GUAIOL ACETATE</t>
  </si>
  <si>
    <t xml:space="preserve"> &amp;diams; GUAIYL ACETATE&lt;br /&gt;&amp;diams; GUAIOL ACETATE&lt;br /&gt;&amp;diams; GUAI-1(5)-EN-11-OL ACETATE&lt;br /&gt;&amp;diams; GUAI-1-EN-11-OL ACETATE&lt;br /&gt;&amp;diams; GUAIAC ACETATE&lt;br /&gt;&amp;diams; 1,4-DIMETHYL-7-(ALPHA-HYDROXYISOPROPYL)-DELTA9,10-OCTAHYDROAZULE&lt;br /&gt;&amp;diams; GUAIAC WOOD ACETATE&lt;br /&gt;&amp;diams; OCTAHYDROAZULENE ACETATE&lt;br /&gt;&amp;diams; 5-AZULENEMETHANOL, 1,2,3,4,5,6,7,8-OCTAHYDRO-ALPHA,ALPHA-3,8-TETRAMETHYL-, ACETATE, (3S(3ALPHA,5ALPHA,8ALPHA))-&lt;br /&gt;&amp;diams; 5-AZULENEMETHANOL, 1,2,3,4,5ALPHA,6,7,8-OCTAHYDRO-ALPHA,ALPHA,3BETA,8BETA-TETRAMETHYL-, ACETATE&lt;br /&gt;&amp;diams; 1,2,3,4,5,6,7,8-OCTAHYDRO-ALPHA,ALPHA-3,8-TETRAMETHYL-5-AZULENEMETHANOL ACETATE, (3S(3ALPHA,5ALPHA,8ALPHA))-&lt;br /&gt;&amp;diams; 1,2,3,4,5,6,7,8-OCTAHYDRO-ALPHA,ALPHA,3BETA,8BETA-TETRAMETHYL-5-AZULENEMETHANOL ACETATE</t>
  </si>
  <si>
    <t xml:space="preserve"> 84929-28-2</t>
  </si>
  <si>
    <t xml:space="preserve"> GUARANA, GUM (PAULLINIA CUPANA HBK)</t>
  </si>
  <si>
    <t xml:space="preserve"> &amp;diams; GUARANA&lt;br /&gt;&amp;diams; PAULLINIA CUPANA PASTE&lt;br /&gt;&amp;diams; BRAZILIAN COCOA&lt;br /&gt;&amp;diams; UABANO&lt;br /&gt;&amp;diams; PAULLINIA CUPANA&lt;br /&gt;&amp;diams; GUARANA, EXT.&lt;br /&gt;&amp;diams; GUARANA GUM</t>
  </si>
  <si>
    <t xml:space="preserve"> 977145-75-7</t>
  </si>
  <si>
    <t xml:space="preserve"> GUARANA SEED, EXTRACT</t>
  </si>
  <si>
    <t xml:space="preserve"> &amp;diams; GUARANA SEED EXTRACT&lt;br /&gt;&amp;diams; PAULLINIA CUPANA SEED EXTRACT</t>
  </si>
  <si>
    <t xml:space="preserve"> 977050-90-0</t>
  </si>
  <si>
    <t xml:space="preserve"> GUAVA (PSIDIUM SPP.)</t>
  </si>
  <si>
    <t xml:space="preserve"> &amp;diams; GUAVA&lt;br /&gt;&amp;diams; GOYAVE (PSIDIUM GUAJAVA OU GOYAVA)&lt;br /&gt;&amp;diams; GUAYABA&lt;br /&gt;&amp;diams; COMMON GUAVA&lt;br /&gt;&amp;diams; YELLOW GUAVA&lt;br /&gt;&amp;diams; APPLE GUAVA&lt;br /&gt;&amp;diams; PSIDIUM SPP.&lt;br /&gt;&amp;diams; PSIDIUM GUAJAVA</t>
  </si>
  <si>
    <t xml:space="preserve"> 90045-46-8</t>
  </si>
  <si>
    <t xml:space="preserve"> GUAVA EXTRACT</t>
  </si>
  <si>
    <t xml:space="preserve"> &amp;diams; GUAVA EXTRACT&lt;br /&gt;&amp;diams; GUAVA, PSIDIUM GUAJAVA PYRIFERA, EXT.&lt;br /&gt;&amp;diams; PSIDIUM GUAJAVA EXTRACT</t>
  </si>
  <si>
    <t xml:space="preserve"> 455885-22-0</t>
  </si>
  <si>
    <t xml:space="preserve"> GUM ARABIC, HYDROGEN OCTENYLBUTANE DIOATE</t>
  </si>
  <si>
    <t xml:space="preserve"> &amp;diams; GUM ARABIC, HYDROGEN OCTENYLBUTANEDIOATE</t>
  </si>
  <si>
    <t xml:space="preserve"> 9007-97-0</t>
  </si>
  <si>
    <t xml:space="preserve"> GUTTA HANG KANG (PALAQUIUM LEIOCARPUM BOERL. AND P. OBLONGIFOLIUM BURCK.)</t>
  </si>
  <si>
    <t xml:space="preserve"> &amp;diams; GUTTA HANG KANG&lt;br /&gt;&amp;diams; RESINS, GUTTA HANG KANG</t>
  </si>
  <si>
    <t xml:space="preserve"> 977176-72-9</t>
  </si>
  <si>
    <t xml:space="preserve"> HAEMATOCOCCUS ALGAE MEAL</t>
  </si>
  <si>
    <t xml:space="preserve"> &amp;diams; HAEMATOCOCCUS ALGAE MEAL&lt;br /&gt;&amp;diams; ALGAE MEAL, HAEMATOCOCCUS PLUVIALIS</t>
  </si>
  <si>
    <t xml:space="preserve"> 84929-54-4</t>
  </si>
  <si>
    <t xml:space="preserve"> HAW BARK, BLACK, EXTRACT (VIBURNUM PRUNIFOLIUM L.)</t>
  </si>
  <si>
    <t xml:space="preserve"> &amp;diams; BLACK HAW BARK EXTRACT&lt;br /&gt;&amp;diams; HAW BARK EXTRACT, BLACK&lt;br /&gt;&amp;diams; VIBURNUM PRUNIFOLIUM BARK EXTRACT&lt;br /&gt;&amp;diams; VIBURNUM PRUNIFOLIUM, EXT.</t>
  </si>
  <si>
    <t xml:space="preserve"> 792933-14-3</t>
  </si>
  <si>
    <t xml:space="preserve"> HELIOPSIS LONGIPES EXTRACT</t>
  </si>
  <si>
    <t xml:space="preserve"> &amp;diams; HELIOPSIS LONGIPES EXTRACT&lt;br /&gt;&amp;diams; Heliopsis longipes, ext.&lt;br /&gt;&amp;diams; gold root extract (Heliopsis longipes)&lt;br /&gt;&amp;diams; Heliopsis longipes (S.F. Blake) extract</t>
  </si>
  <si>
    <t xml:space="preserve"> 7440-59-7</t>
  </si>
  <si>
    <t xml:space="preserve"> HELIUM</t>
  </si>
  <si>
    <t xml:space="preserve"> &amp;diams; HELIUM</t>
  </si>
  <si>
    <t xml:space="preserve"> 977074-62-6</t>
  </si>
  <si>
    <t xml:space="preserve"> HEMLOCK (TSUGA SPP.)</t>
  </si>
  <si>
    <t xml:space="preserve"> &amp;diams; HEMLOCK NEEDLES AND TWIGS&lt;br /&gt;&amp;diams; TSUGA CANADENSIS NEEDLES AND TWIGS</t>
  </si>
  <si>
    <t xml:space="preserve"> 8008-10-4</t>
  </si>
  <si>
    <t xml:space="preserve"> HEMLOCK NEEDLES AND TWIGS, OIL (TSUGA SPP.)</t>
  </si>
  <si>
    <t xml:space="preserve"> &amp;diams; HEMLOCK OIL&lt;br /&gt;&amp;diams; OILS, HEMLOCK&lt;br /&gt;&amp;diams; HEMLOCK NEEDLE AND TWIG OIL</t>
  </si>
  <si>
    <t xml:space="preserve"> 4313-03-5</t>
  </si>
  <si>
    <t xml:space="preserve"> 2,4-HEPTADIENAL</t>
  </si>
  <si>
    <t xml:space="preserve"> &amp;diams; 2,4-HEPTADIENAL, (E,E)-&lt;br /&gt;&amp;diams; 2,4-HEPTADIENAL, TRANS,TRANS-</t>
  </si>
  <si>
    <t xml:space="preserve"> 33467-79-7</t>
  </si>
  <si>
    <t xml:space="preserve"> TRANS-2-TRANS-4-HEPTADIEN-1-OL</t>
  </si>
  <si>
    <t xml:space="preserve"> &amp;diams; 2,4-HEPTADIEN-1-OL, TRANS,TRANS-&lt;br /&gt;&amp;diams; 2,4-heptadien-1-ol, (E,E)-&lt;br /&gt;&amp;diams; 2,4-heptadien-1-ol, (2E,4E)-&lt;br /&gt;&amp;diams; InChI=1S/C7H12O/c1-2-3-4-5-6-7-8/h3-6,8H,2,7H2,1H3/b4-3+,6-5+&lt;br /&gt;&amp;diams; InChIKey: MDRZSADXFOPYOC-VNKDHWASSA-N</t>
  </si>
  <si>
    <t xml:space="preserve"> 105-21-5</t>
  </si>
  <si>
    <t xml:space="preserve"> GAMMA-HEPTALACTONE</t>
  </si>
  <si>
    <t xml:space="preserve"> &amp;diams; GAMMA-HEPTALACTONE&lt;br /&gt;&amp;diams; 4-HYDROXYHEPTANOIC ACID LACTONE&lt;br /&gt;&amp;diams; GAMMA-PROPYL-GAMMA-BUTYROLACTONE&lt;br /&gt;&amp;diams; 4-PROPYL-4-HYDROXYBUTANOIC ACID LACTONE&lt;br /&gt;&amp;diams; 1,4-HEPTANOLIDE&lt;br /&gt;&amp;diams; 4-HYDROXYHEPTANOIC ACID GAMMA-LACTONE&lt;br /&gt;&amp;diams; 2(3H)-FURANONE, DIHYDRO-5-PROPYL-&lt;br /&gt;&amp;diams; HEPTALACTONE, GAMMA-&lt;br /&gt;&amp;diams; DIHYDRO-5-PROPYL-2(3H)-FURANONE&lt;br /&gt;&amp;diams; GAMMA-HEPTANOLACTONE</t>
  </si>
  <si>
    <t xml:space="preserve"> 111-71-7</t>
  </si>
  <si>
    <t xml:space="preserve"> HEPTANAL</t>
  </si>
  <si>
    <t xml:space="preserve"> &amp;diams; HEPTANAL&lt;br /&gt;&amp;diams; ALDEHYDE C-7&lt;br /&gt;&amp;diams; HEPTALDEHYDE&lt;br /&gt;&amp;diams; ENANTHAL&lt;br /&gt;&amp;diams; ENANTHALDEHYDE&lt;br /&gt;&amp;diams; HEPTYL ALDEHYDE&lt;br /&gt;&amp;diams; OENANTHAL</t>
  </si>
  <si>
    <t xml:space="preserve"> 10032-05-0</t>
  </si>
  <si>
    <t xml:space="preserve"> HEPTANAL DIMETHYL ACETAL</t>
  </si>
  <si>
    <t xml:space="preserve"> &amp;diams; HEPTANAL DIMETHYL ACETAL&lt;br /&gt;&amp;diams; ALDEHYDE C-7 DIMETHYL ACETAL&lt;br /&gt;&amp;diams; ENANTHAL DIMETHYL ACETAL&lt;br /&gt;&amp;diams; HEPTALDEHYDE DIMETHYL ACETAL&lt;br /&gt;&amp;diams; HEPTANE, 1,1-DIMETHOXY-&lt;br /&gt;&amp;diams; HEPTANAL, DIMETHYL ACETAL&lt;br /&gt;&amp;diams; OENANTHAL DIMETHYL ACETAL&lt;br /&gt;&amp;diams; 1,1-DIMETHOXYHEPTANE</t>
  </si>
  <si>
    <t xml:space="preserve"> 977043-66-5</t>
  </si>
  <si>
    <t xml:space="preserve"> HEPTANAL GLYCERYL ACETAL (MIXED 1,2 AND 1,3 ACETALS)</t>
  </si>
  <si>
    <t xml:space="preserve"> &amp;diams; HEPTANAL GLYCERYL ACETAL</t>
  </si>
  <si>
    <t xml:space="preserve"> 4351-10-4</t>
  </si>
  <si>
    <t xml:space="preserve"> HEPTANAL PROPYLENEGLYCOL ACETAL</t>
  </si>
  <si>
    <t xml:space="preserve"> &amp;diams; HEPTANAL PROPYLENE GLYCOL ACETAL&lt;br /&gt;&amp;diams; 1,3-dioxolane, 2-hexyl-4-methyl-&lt;br /&gt;&amp;diams; 2-hexyl-4-methyl-1,3-dioxolane&lt;br /&gt;&amp;diams; InChI=1S/C10H20O2/c1-3-4-5-6-7-10-11-8-9(2)12-10/h9-10H,3-8H2,1-2H3&lt;br /&gt;&amp;diams; InChIKey: GFNFPBSXMBRHRU-UHFFFAOYSA-N</t>
  </si>
  <si>
    <t xml:space="preserve"> 96-04-8</t>
  </si>
  <si>
    <t xml:space="preserve"> 2,3-HEPTANEDIONE</t>
  </si>
  <si>
    <t xml:space="preserve"> &amp;diams; 2,3-HEPTANEDIONE&lt;br /&gt;&amp;diams; ACETYL VALERYL&lt;br /&gt;&amp;diams; ACETYL PENTANOYL&lt;br /&gt;&amp;diams; VALERYLACETYL</t>
  </si>
  <si>
    <t xml:space="preserve"> 1639-09-4</t>
  </si>
  <si>
    <t xml:space="preserve"> HEPTANE-1-THIOL</t>
  </si>
  <si>
    <t xml:space="preserve"> &amp;diams; HEPTYL MERCAPTAN&lt;br /&gt;&amp;diams; 1-HEPTANETHIOL&lt;br /&gt;&amp;diams; heptane-1-thiol&lt;br /&gt;&amp;diams; 1-heptylthiol&lt;br /&gt;&amp;diams; 1-mercaptoheptane&lt;br /&gt;&amp;diams; InChI=1S/C7H16S/c1-2-3-4-5-6-7-8/h8H,2-7H2,1H3&lt;br /&gt;&amp;diams; InChIKey: VPIAKHNXCOTPAY-UHFFFAOYSA-N</t>
  </si>
  <si>
    <t xml:space="preserve"> 628-00-2</t>
  </si>
  <si>
    <t xml:space="preserve"> 2-HEPTANETHIOL</t>
  </si>
  <si>
    <t xml:space="preserve"> &amp;diams; 2-HEPTANETHIOL</t>
  </si>
  <si>
    <t xml:space="preserve"> 111-14-8</t>
  </si>
  <si>
    <t xml:space="preserve"> HEPTANOIC ACID</t>
  </si>
  <si>
    <t xml:space="preserve"> &amp;diams; HEPTANOIC ACID&lt;br /&gt;&amp;diams; HEPTOIC ACID&lt;br /&gt;&amp;diams; OENANTHIC ACID&lt;br /&gt;&amp;diams; OENANTHYLIC ACID&lt;br /&gt;&amp;diams; ENANTHIC ACID&lt;br /&gt;&amp;diams; HEPTYLIC ACID</t>
  </si>
  <si>
    <t xml:space="preserve"> 543-49-7</t>
  </si>
  <si>
    <t xml:space="preserve"> 2-HEPTANOL</t>
  </si>
  <si>
    <t xml:space="preserve"> &amp;diams; 2-HEPTANOL&lt;br /&gt;&amp;diams; METHYL AMYL CARBINOL&lt;br /&gt;&amp;diams; HEPTYL ALCOHOL, SEC-&lt;br /&gt;&amp;diams; 2-HYDROXYHEPTANE&lt;br /&gt;&amp;diams; AMYL METHYL CARBINOL</t>
  </si>
  <si>
    <t xml:space="preserve"> 589-82-2</t>
  </si>
  <si>
    <t xml:space="preserve"> 3-HEPTANOL</t>
  </si>
  <si>
    <t xml:space="preserve"> &amp;diams; 3-HEPTANOL&lt;br /&gt;&amp;diams; BUTYL ETHYL CARBINOL&lt;br /&gt;&amp;diams; ETHYL BUTYL CARBINOL</t>
  </si>
  <si>
    <t xml:space="preserve"> 110-43-0</t>
  </si>
  <si>
    <t xml:space="preserve"> 2-HEPTANONE</t>
  </si>
  <si>
    <t xml:space="preserve"> &amp;diams; 2-HEPTANONE&lt;br /&gt;&amp;diams; METHYL AMYL KETONE&lt;br /&gt;&amp;diams; AMYL METHYL KETONE&lt;br /&gt;&amp;diams; KETONE C7</t>
  </si>
  <si>
    <t xml:space="preserve"> 106-35-4</t>
  </si>
  <si>
    <t xml:space="preserve"> 3-HEPTANONE</t>
  </si>
  <si>
    <t xml:space="preserve"> &amp;diams; 3-HEPTANONE&lt;br /&gt;&amp;diams; ETHYL BUTYL KETONE&lt;br /&gt;&amp;diams; BUTYL ETHYL KETONE</t>
  </si>
  <si>
    <t xml:space="preserve"> 123-19-3</t>
  </si>
  <si>
    <t xml:space="preserve"> 4-HEPTANONE</t>
  </si>
  <si>
    <t xml:space="preserve"> &amp;diams; 4-HEPTANONE&lt;br /&gt;&amp;diams; BUTYRONE&lt;br /&gt;&amp;diams; DIPROPYL KETONE</t>
  </si>
  <si>
    <t xml:space="preserve"> 745047-51-2</t>
  </si>
  <si>
    <t xml:space="preserve"> N-(HEPTAN-4-YL)BENZO[D][1,3]DIOXOLE-5-CARBOXAMIDE</t>
  </si>
  <si>
    <t xml:space="preserve"> 2463-63-0</t>
  </si>
  <si>
    <t xml:space="preserve"> 2-HEPTENAL</t>
  </si>
  <si>
    <t xml:space="preserve"> &amp;diams; 2-HEPTENAL&lt;br /&gt;&amp;diams; BUTYLACROLEIN&lt;br /&gt;&amp;diams; 3-BUTYLACROLEIN&lt;br /&gt;&amp;diams; BETA-BUTYLACROLEIN</t>
  </si>
  <si>
    <t xml:space="preserve"> 977044-50-0</t>
  </si>
  <si>
    <t xml:space="preserve"> 4-HEPTENAL DIETHYL ACETAL</t>
  </si>
  <si>
    <t xml:space="preserve"> &amp;diams; 4-HEPTENAL DIETHYL ACETAL&lt;br /&gt;&amp;diams; 1,1-DIETHOXY-4-HEPTENE&lt;br /&gt;&amp;diams; 7,7-DIETHOXY-3-HEPTENE</t>
  </si>
  <si>
    <t xml:space="preserve"> 18999-28-5</t>
  </si>
  <si>
    <t xml:space="preserve"> (E)-2-HEPTENOIC ACID</t>
  </si>
  <si>
    <t xml:space="preserve"> &amp;diams; 2-HEPTENOIC ACID</t>
  </si>
  <si>
    <t xml:space="preserve"> 4938-52-7</t>
  </si>
  <si>
    <t xml:space="preserve"> (+/-)-1-HEPTEN-3-OL</t>
  </si>
  <si>
    <t xml:space="preserve"> &amp;diams; 1-HEPTEN-3-OL&lt;br /&gt;&amp;diams; InChI=1S/C7H14O/c1-3-5-6-7(8)4-2/h4,7-8H,2-3,5-6H2,1H3&lt;br /&gt;&amp;diams; InChIKey: PZKFYTOLVRCMOA-UHFFFAOYSA-N</t>
  </si>
  <si>
    <t xml:space="preserve"> 6191-71-5</t>
  </si>
  <si>
    <t xml:space="preserve"> (Z)-4-HEPTEN-1-OL</t>
  </si>
  <si>
    <t xml:space="preserve"> &amp;diams; 4-HEPTEN-1-OL, CIS-&lt;br /&gt;&amp;diams; 4-HEPTEN-1-OL, (Z)-</t>
  </si>
  <si>
    <t xml:space="preserve"> 4643-25-8</t>
  </si>
  <si>
    <t xml:space="preserve"> 2-HEPTEN-4-ONE</t>
  </si>
  <si>
    <t xml:space="preserve"> &amp;diams; 2-HEPTEN-4-ONE</t>
  </si>
  <si>
    <t xml:space="preserve"> 1119-44-4</t>
  </si>
  <si>
    <t xml:space="preserve"> 3-HEPTEN-2-ONE</t>
  </si>
  <si>
    <t xml:space="preserve"> &amp;diams; 3-HEPTEN-2-ONE&lt;br /&gt;&amp;diams; BUTYLIDENEACETONE&lt;br /&gt;&amp;diams; METHYL PENTENYL KETONE</t>
  </si>
  <si>
    <t xml:space="preserve"> 16939-73-4</t>
  </si>
  <si>
    <t xml:space="preserve"> HEPT-TRANS-2-EN-1-YL ACETATE</t>
  </si>
  <si>
    <t xml:space="preserve"> &amp;diams; 2-HEPTEN-1-YL ACETATE, TRANS&lt;br /&gt;&amp;diams; 2-heptenyl acetate, trans-&lt;br /&gt;&amp;diams; 2-hepten-1-ol, acetate, (E)-&lt;br /&gt;&amp;diams; 2-heptenyl acetate, (E)-</t>
  </si>
  <si>
    <t xml:space="preserve"> 253596-70-2</t>
  </si>
  <si>
    <t xml:space="preserve"> HEPT-2-EN-1-YL ISOVALERATE</t>
  </si>
  <si>
    <t xml:space="preserve"> &amp;diams; N-ISOBUTYL-2,6,8-DECATRIENAMIDE, (2E,6Z,8E)-&lt;br /&gt;&amp;diams; N-ISOBUTYL-2,6,8-DECATRIENAMIDE, (2E,6Z,8E)-&lt;br /&gt;&amp;diams; 2,6,8-decatrienamide, N-(2-methylpropyl)-, (2E,6Z,8E)-&lt;br /&gt;&amp;diams; spilanthol&lt;br /&gt;&amp;diams; 2,6,8-decatrienamide, N-isobutyl-, (E,E,Z)-&lt;br /&gt;&amp;diams; N-(2-methylpropyl)-2,6,8-decatrienamide, (2E,6Z,8E)-</t>
  </si>
  <si>
    <t xml:space="preserve"> 977045-63-8</t>
  </si>
  <si>
    <t xml:space="preserve"> TRANS-3-HEPTENYL 2-METHYLPROPANOATE</t>
  </si>
  <si>
    <t xml:space="preserve"> &amp;diams; 3-HEPTENYL ISOBUTYRATE, TRANS-&lt;br /&gt;&amp;diams; 3-HEPTENYL 2-METHYLPROPANOATE, TRANS-</t>
  </si>
  <si>
    <t xml:space="preserve"> 112-06-1</t>
  </si>
  <si>
    <t xml:space="preserve"> HEPTYL ACETATE</t>
  </si>
  <si>
    <t xml:space="preserve"> &amp;diams; HEPTYL ACETATE&lt;br /&gt;&amp;diams; HEPTYL ETHANOATE&lt;br /&gt;&amp;diams; ACETATE C-7&lt;br /&gt;&amp;diams; ACETIC ACID, HEPTYL ESTER</t>
  </si>
  <si>
    <t xml:space="preserve"> 5921-83-5</t>
  </si>
  <si>
    <t xml:space="preserve"> 3-HEPTYL ACETATE</t>
  </si>
  <si>
    <t xml:space="preserve"> &amp;diams; 3-HEPTYL ACETATE&lt;br /&gt;&amp;diams; 3-HEPTANOL, ACETATE&lt;br /&gt;&amp;diams; 1-ETHYLPENTYL ACETATE&lt;br /&gt;&amp;diams; HEPTAN-3-YL ACETATE, (+-)-</t>
  </si>
  <si>
    <t xml:space="preserve"> 111-70-6</t>
  </si>
  <si>
    <t xml:space="preserve"> HEPTYL ALCOHOL</t>
  </si>
  <si>
    <t xml:space="preserve"> &amp;diams; HEPTYL ALCOHOL&lt;br /&gt;&amp;diams; 1-HEPTANOL&lt;br /&gt;&amp;diams; ENANTHIC ALCOHOL&lt;br /&gt;&amp;diams; ENANTHYL ALCOHOL&lt;br /&gt;&amp;diams; ALCOHOL(C7)&lt;br /&gt;&amp;diams; HEPTYL ALCOHOL, PRIMARY&lt;br /&gt;&amp;diams; HEXYL CARBINOL&lt;br /&gt;&amp;diams; HYDROXYHEPTANE&lt;br /&gt;&amp;diams; C7 ALCOHOL&lt;br /&gt;&amp;diams; FATTY ALCOHOL(C7)&lt;br /&gt;&amp;diams; HEPTANOL-1</t>
  </si>
  <si>
    <t xml:space="preserve"> 5870-93-9</t>
  </si>
  <si>
    <t xml:space="preserve"> HEPTYL BUTYRATE</t>
  </si>
  <si>
    <t xml:space="preserve"> &amp;diams; HEPTYL BUTYRATE&lt;br /&gt;&amp;diams; HEPTYL BUTANOATE&lt;br /&gt;&amp;diams; BUTANOIC ACID, HEPTYL ESTER&lt;br /&gt;&amp;diams; BUTYRIC ACID, HEPTYL ESTER</t>
  </si>
  <si>
    <t xml:space="preserve"> 39026-94-3</t>
  </si>
  <si>
    <t xml:space="preserve"> 2-HEPTYL BUTYRATE</t>
  </si>
  <si>
    <t xml:space="preserve"> &amp;diams; 2-HEPTYL BUTYRATE&lt;br /&gt;&amp;diams; 2-HEPTYL BUTANOATE&lt;br /&gt;&amp;diams; BUTANOIC ACID, 1-METHYLHEXYL ESTER&lt;br /&gt;&amp;diams; 1-METHYLHEXYL BUTANOATE&lt;br /&gt;&amp;diams; HEPTAN-2-YL BUTYRATE, (+-)-</t>
  </si>
  <si>
    <t xml:space="preserve"> 10032-08-3</t>
  </si>
  <si>
    <t xml:space="preserve"> HEPTYL CINNAMATE</t>
  </si>
  <si>
    <t xml:space="preserve"> &amp;diams; HEPTYL CINNAMATE&lt;br /&gt;&amp;diams; HEPTYL BETA-PHENYLACRYLATE&lt;br /&gt;&amp;diams; HEPTYL 3-PHENYLPROPENOATE&lt;br /&gt;&amp;diams; 2-PROPENOIC ACID, 3-PHENYL-, HEPTYL ESTER&lt;br /&gt;&amp;diams; CINNAMIC ACID, HEPTYL ESTER&lt;br /&gt;&amp;diams; HEPTYL 3-PHENYL-2-PROPENOATE</t>
  </si>
  <si>
    <t xml:space="preserve"> 977187-65-7</t>
  </si>
  <si>
    <t xml:space="preserve"> CIS- AND TRANS-2-HEPTYLCYCLOPROPANECARBOXYLIC ACID</t>
  </si>
  <si>
    <t xml:space="preserve"> &amp;diams; 2-HEPTYLCYCLOPROPANECARBOXYLIC ACID</t>
  </si>
  <si>
    <t xml:space="preserve"> 40923-64-6</t>
  </si>
  <si>
    <t xml:space="preserve"> 3-HEPTYLDIHYDRO-5-METHYL-2(3H)-FURANONE</t>
  </si>
  <si>
    <t xml:space="preserve"> &amp;diams; 3-HEPTYLDIHYDRO-5-METHYL-2(3H)-FURANONE&lt;br /&gt;&amp;diams; ALPHA-HEPTYL-GAMMA-VALEROLACTONE&lt;br /&gt;&amp;diams; 2(3H)-FURANONE, 3-HEPTYLDIHYDRO-5-METHYL-</t>
  </si>
  <si>
    <t xml:space="preserve"> 112-23-2</t>
  </si>
  <si>
    <t xml:space="preserve"> HEPTYL FORMATE</t>
  </si>
  <si>
    <t xml:space="preserve"> &amp;diams; HEPTYL FORMATE&lt;br /&gt;&amp;diams; HEPTYL METHANOTE&lt;br /&gt;&amp;diams; FORMIC ACID, HEPTYL ESTER</t>
  </si>
  <si>
    <t xml:space="preserve"> 3777-71-7</t>
  </si>
  <si>
    <t xml:space="preserve"> 2-HEPTYLFURAN</t>
  </si>
  <si>
    <t xml:space="preserve"> &amp;diams; 2-HEPTYLFURAN&lt;br /&gt;&amp;diams; FURAN, 2-HEPTYL-</t>
  </si>
  <si>
    <t xml:space="preserve"> 624-09-9</t>
  </si>
  <si>
    <t xml:space="preserve"> HEPTYL HEPTANOATE</t>
  </si>
  <si>
    <t xml:space="preserve"> &amp;diams; HEPTYL HEPTANOATE&lt;br /&gt;&amp;diams; heptanoic acid, heptyl ester&lt;br /&gt;&amp;diams; InChI=1S/C14H28O2/c1-3-5-7-9-11-13-16-14(15)12-10-8-6-4-2/h3-13H2,1-2H3&lt;br /&gt;&amp;diams; InChIKey: QOIIBPAJVWFEPE-UHFFFAOYSA-N</t>
  </si>
  <si>
    <t xml:space="preserve"> 2349-13-5</t>
  </si>
  <si>
    <t xml:space="preserve"> HEPTYL ISOBUTYRATE</t>
  </si>
  <si>
    <t xml:space="preserve"> &amp;diams; HEPTYL ISOBUTYRATE&lt;br /&gt;&amp;diams; HEPTYL 2-METHYLPROPANOATE&lt;br /&gt;&amp;diams; PROPANOIC ACID, 2-METHYL-, HEPTYL ESTER&lt;br /&gt;&amp;diams; ISOBUTYRIC ACID, HEPTYL ESTER</t>
  </si>
  <si>
    <t xml:space="preserve"> 4265-97-8</t>
  </si>
  <si>
    <t xml:space="preserve"> HEPTYL OCTANOATE</t>
  </si>
  <si>
    <t xml:space="preserve"> &amp;diams; HEPTYL OCTANOATE&lt;br /&gt;&amp;diams; HEPTYL CAPRYLATE&lt;br /&gt;&amp;diams; HEPTYL OCTYLATE&lt;br /&gt;&amp;diams; OCTANOIC ACID, HEPTYL ESTER</t>
  </si>
  <si>
    <t xml:space="preserve"> 1085-12-7</t>
  </si>
  <si>
    <t xml:space="preserve"> HEPTYLPARABEN</t>
  </si>
  <si>
    <t xml:space="preserve"> &amp;diams; HEPTYLPARABEN&lt;br /&gt;&amp;diams; HEPTYL P-HYDROXYBENZOATE&lt;br /&gt;&amp;diams; BENZOIC ACID, 4-HYDROXY-, HEPTYL ESTER&lt;br /&gt;&amp;diams; BENZOIC ACID, P-HYDROXY-, HEPTYL ESTER&lt;br /&gt;&amp;diams; HEPTYL 4-HYDROXYBENZOATE</t>
  </si>
  <si>
    <t xml:space="preserve"> 520-26-3</t>
  </si>
  <si>
    <t xml:space="preserve"> HESPERIDIN</t>
  </si>
  <si>
    <t xml:space="preserve"> &amp;diams; HESPERIDIN&lt;br /&gt;&amp;diams; HESPERETIN 7-RHAMNOGLUCOSIDE&lt;br /&gt;&amp;diams; HESPERETIN 7-RUTINOSIDE&lt;br /&gt;&amp;diams; 4H-1-BENZOPYRAN-4-ONE, 7-((6-O-(6-DEOXY-ALPHA-L-MANNOPYRANOSYL)-BETA-D-GLUCOPYRANOSYL)OXY)-2,3-DIHYDO-5-HYDROXY-2-(3-HYDROXY-4-METHOXYPHENYL)-, (S)-&lt;br /&gt;&amp;diams; 7-((6-O-(6-DEOXY-ALPHA-L-MANNOPYRANOSYL)-BETA-D-GLUCOPYRANOSYL)OXY)-2,3-DIHYDRO-5-HYDROXY-2-(3-HYDROXY-4-METHOXYPHENYL)-4H-1-BENZOPYRAN-4-ONE, (S)-</t>
  </si>
  <si>
    <t xml:space="preserve"> 7370-44-7</t>
  </si>
  <si>
    <t xml:space="preserve"> DELTA-HEXADECALACTONE</t>
  </si>
  <si>
    <t xml:space="preserve"> &amp;diams; DELTA-HEXADECALACTONE&lt;br /&gt;&amp;diams; DELTA-PALMITOLACTONE&lt;br /&gt;&amp;diams; TETRAHYDRO-6-UNDECYL-2H-PYRAN-2-ONE&lt;br /&gt;&amp;diams; 5-HEXADECANOLIDE</t>
  </si>
  <si>
    <t xml:space="preserve"> 7779-50-2</t>
  </si>
  <si>
    <t xml:space="preserve"> OMEGA-6-HEXADECENLACTONE</t>
  </si>
  <si>
    <t xml:space="preserve"> &amp;diams; OMEGA-6-HEXADECENLACTONE&lt;br /&gt;&amp;diams; AMBRETTOLIDE, DELTA6-ISO-&lt;br /&gt;&amp;diams; CYCLOHEXADECEN-6-OLIDE&lt;br /&gt;&amp;diams; DELTA6-ISOAMBRETTOLIDE&lt;br /&gt;&amp;diams; OXACYCLOHEPTADEC-7-EN-2-ONE&lt;br /&gt;&amp;diams; 16-HYDROXY-6-HEXADECENOIC ACID OMEGA-LACTONE&lt;br /&gt;&amp;diams; 1-OXA-7-CYCLOHEPTADECEN-2-ONE&lt;br /&gt;&amp;diams; 6-HEXADECENOLIDE&lt;br /&gt;&amp;diams; 6-HEXADECENLACTONE, OMEGA-</t>
  </si>
  <si>
    <t xml:space="preserve"> 35274-05-6</t>
  </si>
  <si>
    <t xml:space="preserve"> HEXADECYL LACTATE</t>
  </si>
  <si>
    <t xml:space="preserve"> &amp;diams; CETYL LACTATE&lt;br /&gt;&amp;diams; HEXADECYL LACTATE&lt;br /&gt;&amp;diams; 1-HEXADECYL LACTATE&lt;br /&gt;&amp;diams; HEXADECYL 2-HYDROXYPROPANOATE&lt;br /&gt;&amp;diams; propanoic acid, 2-hydroxy-, hexadecyl ester&lt;br /&gt;&amp;diams; lactic acid, hexadecyl ester&lt;br /&gt;&amp;diams; InChI=1S/C19H38O3/c1-3-4-5-6-7-8-9-10-11-12-13-14-15-16-17-22-19(21)18(2)20/h18,20H,3-17H2,1-2H3&lt;br /&gt;&amp;diams; InChIKey: WUKXMJCZWYUIRZ-UHFFFAOYSA-N</t>
  </si>
  <si>
    <t xml:space="preserve"> 142-83-6</t>
  </si>
  <si>
    <t xml:space="preserve"> TRANS, TRANS-2,4-HEXADIENAL</t>
  </si>
  <si>
    <t xml:space="preserve"> &amp;diams; 2,4-HEXADIENAL, TRANS,TRANS-&lt;br /&gt;&amp;diams; SORBALDEHYDE&lt;br /&gt;&amp;diams; SORBIC ALDEHYDE&lt;br /&gt;&amp;diams; 2-PROPYLENEACROLEIN&lt;br /&gt;&amp;diams; 2,4-HEXADIENAL, (E,E)-</t>
  </si>
  <si>
    <t xml:space="preserve"> 111-28-4</t>
  </si>
  <si>
    <t xml:space="preserve"> 2,4-HEXADIEN-1-OL</t>
  </si>
  <si>
    <t xml:space="preserve"> &amp;diams; SORBIC ALCOHOL&lt;br /&gt;&amp;diams; 2,4-HEXADIEN-1-OL&lt;br /&gt;&amp;diams; 2,4-HEXADIENOL&lt;br /&gt;&amp;diams; SORBYL ALCOHOL&lt;br /&gt;&amp;diams; 1-HYDROXY-2,4-HEXADIENE</t>
  </si>
  <si>
    <t xml:space="preserve"> 1516-17-2</t>
  </si>
  <si>
    <t xml:space="preserve"> 2,4-HEXADIENYL ACETATE</t>
  </si>
  <si>
    <t xml:space="preserve"> &amp;diams; 2,4-HEXADIENYL ACETATE&lt;br /&gt;&amp;diams; 2,4-hexadien-1-ol, acetate&lt;br /&gt;&amp;diams; acetic acid, 2,4-hexadienyl ester&lt;br /&gt;&amp;diams; InChI=1S/C8H12O2/c1-3-4-5-6-7-10-8(2)9/h3-6H,7H2,1-2H3/b4-3+,6-5+&lt;br /&gt;&amp;diams; InChIKey: PXVKYPFROMBALG-VNKDHWASSA-N</t>
  </si>
  <si>
    <t xml:space="preserve"> 16930-93-1</t>
  </si>
  <si>
    <t xml:space="preserve"> 2,4-HEXADIENYL BUTYRATE</t>
  </si>
  <si>
    <t xml:space="preserve"> &amp;diams; 2,4-HEXADIENYL BUTYRATE&lt;br /&gt;&amp;diams; 2,4-hexadienyl butanoate&lt;br /&gt;&amp;diams; butanoic acid, 2,4-hexadienyl ester&lt;br /&gt;&amp;diams; butyric acid, 2,4-hexadienyl ester&lt;br /&gt;&amp;diams; InChI=1S/C10H16O2/c1-3-5-6-7-9-12-10(11)8-4-2/h3,5-7H,4,8-9H2,1-2H3&lt;br /&gt;&amp;diams; InChIKey: PTJGYWXDEDRLPB-UHFFFAOYSA-N</t>
  </si>
  <si>
    <t xml:space="preserve"> 16491-24-0</t>
  </si>
  <si>
    <t xml:space="preserve"> 2,4-HEXADIENYL ISOBUTYRATE</t>
  </si>
  <si>
    <t xml:space="preserve"> &amp;diams; 2,4-HEXADIENYL ISOBUTYRATE&lt;br /&gt;&amp;diams; 2,4-hexadienyl 2-methylpropanoate&lt;br /&gt;&amp;diams; isobutyric acid, 2,4-hexadienyl ester&lt;br /&gt;&amp;diams; propanoic acid, 2-methyl-, 2,4-hexadienyl ester&lt;br /&gt;&amp;diams; sorbyl isobutyrate&lt;br /&gt;&amp;diams; InChI=1S/C10H16O2/c1-4-5-6-7-8-12-10(11)9(2)3/h4-7,9H,8H2,1-3H3&lt;br /&gt;&amp;diams; InChIKey: CVYBRMSQMLJGOI-UHFFFAOYSA-N</t>
  </si>
  <si>
    <t xml:space="preserve"> 16491-25-1</t>
  </si>
  <si>
    <t xml:space="preserve"> 2,4-HEXADIENYL PROPIONATE</t>
  </si>
  <si>
    <t xml:space="preserve"> &amp;diams; 2,4-HEXADIENYL PROPIONATE&lt;br /&gt;&amp;diams; 2,4-hexadien-1-ol, propanoate&lt;br /&gt;&amp;diams; InChI=1S/C9H14O2/c1-3-5-6-7-8-11-9(10)4-2/h3,5-7H,4,8H2,1-2H3&lt;br /&gt;&amp;diams; InChIKey: ZVBREIRNEOXCKQ-UHFFFAOYSA-N</t>
  </si>
  <si>
    <t xml:space="preserve"> 823-22-3</t>
  </si>
  <si>
    <t xml:space="preserve"> DELTA-HEXALACTONE</t>
  </si>
  <si>
    <t xml:space="preserve"> &amp;diams; DELTA-HEXALACTONE&lt;br /&gt;&amp;diams; 5-HYDROXYHEXANOIC ACID LACTONE&lt;br /&gt;&amp;diams; DELTA-CAPROLACTONE&lt;br /&gt;&amp;diams; 5-HEXALACTONE&lt;br /&gt;&amp;diams; 5-METHYL-DELTA-VALEROLACTONE&lt;br /&gt;&amp;diams; 5-METHYL-5-HYDROXYPENTANOIC ACID LACTONE&lt;br /&gt;&amp;diams; 2H-PYRAN-2-ONE, TETRAHYDRO-6-METHYL-&lt;br /&gt;&amp;diams; HEXANOIC ACID, 5-HYDROXY-, LACTONE&lt;br /&gt;&amp;diams; DELTA-METHYL-DELTA-VALEROLACTONE&lt;br /&gt;&amp;diams; 6-METHYLVALEROLACTONE&lt;br /&gt;&amp;diams; TETRAHYDRO-6-METHYL-2H-PYRAN-2-ONE&lt;br /&gt;&amp;diams; HEXALACTONE, DELTA-</t>
  </si>
  <si>
    <t xml:space="preserve"> 695-06-7</t>
  </si>
  <si>
    <t xml:space="preserve"> GAMMA-HEXALACTONE</t>
  </si>
  <si>
    <t xml:space="preserve"> &amp;diams; GAMMA-HEXALACTONE&lt;br /&gt;&amp;diams; TONKALIDE&lt;br /&gt;&amp;diams; 4-HYDROXYHEXANOIC ACID GAMMA-LACTONE&lt;br /&gt;&amp;diams; GAMMA-CAPROLACTONE&lt;br /&gt;&amp;diams; GAMMA-HEXANOLACTONE&lt;br /&gt;&amp;diams; GAMMA-ETHYL-GAMMA-BUTYROLACTONE&lt;br /&gt;&amp;diams; 4-ETHYL-4-HYDROXYBUTANOIC ACID LACTONE&lt;br /&gt;&amp;diams; 2(3H)-FURANONE, 5-ETHYLDIHYDRO-&lt;br /&gt;&amp;diams; 5-ETHYLDIHYDRO-2(3H)-FURANONE&lt;br /&gt;&amp;diams; ETHYLBUTYROLACTONE, GAMMA-&lt;br /&gt;&amp;diams; GAMMA-ETHYLBUTYROLACTONE&lt;br /&gt;&amp;diams; 6-CAPROLACTONE&lt;br /&gt;&amp;diams; 4-ETHYL-4-BUTANOLIDE&lt;br /&gt;&amp;diams; 5-ETHYLTETRAHYDRO-2-FURANONE&lt;br /&gt;&amp;diams; 4-HEXANOLIDE&lt;br /&gt;&amp;diams; HEXALACTONE, GAMMA-</t>
  </si>
  <si>
    <t xml:space="preserve"> 66-25-1</t>
  </si>
  <si>
    <t xml:space="preserve"> HEXANAL</t>
  </si>
  <si>
    <t xml:space="preserve"> &amp;diams; HEXANAL&lt;br /&gt;&amp;diams; CAPROALDEHYDE&lt;br /&gt;&amp;diams; CAPROIC ALDEHYDE&lt;br /&gt;&amp;diams; HEXALDEHYDE&lt;br /&gt;&amp;diams; HEXOIC ALDEHYDE&lt;br /&gt;&amp;diams; HEXYLALDEHYDE&lt;br /&gt;&amp;diams; ALDEHYDE C-6&lt;br /&gt;&amp;diams; C6 ALDEHYDE_x000D_
</t>
  </si>
  <si>
    <t xml:space="preserve"> 155639-75-1</t>
  </si>
  <si>
    <t xml:space="preserve"> HEXANAL BUTANE-2,3-DIOL ACETAL</t>
  </si>
  <si>
    <t xml:space="preserve"> &amp;diams; HEXANAL 2,3-BUTYLENE GLYCOL ACETAL&lt;br /&gt;&amp;diams; 1,3-dioxolane, 4,5-dimethyl-2-pentyl-&lt;br /&gt;&amp;diams; 4,5-dimethyl-2-pentyl-1,3-dioxolane&lt;br /&gt;&amp;diams; hexanal butane-2,3-diol acetal&lt;br /&gt;&amp;diams; hexanal 2,3-butanediol acetal&lt;br /&gt;&amp;diams; InChI=1S/C10H20O2/c1-4-5-6-7-10-11-8(2)9(3)12-10/h8-10H,4-7H2,1-3H3&lt;br /&gt;&amp;diams; InChIKey: CMOJDAJROWMHLQ-UHFFFAOYSA-N</t>
  </si>
  <si>
    <t xml:space="preserve"> 33673-65-3</t>
  </si>
  <si>
    <t xml:space="preserve"> HEXANAL DIHEXYL ACETAL</t>
  </si>
  <si>
    <t xml:space="preserve"> &amp;diams; HEXANAL DIHEXYL ACETAL&lt;br /&gt;&amp;diams; hexane, 1,1-bis(hexyloxy)-&lt;br /&gt;&amp;diams; 1,1-bis(hexyloxy)hexane&lt;br /&gt;&amp;diams; hexanal, dihexyl acetal&lt;br /&gt;&amp;diams; InChI=1S/C18H38O2/c1-4-7-10-13-16-19-18(15-12-9-6-3)20-17-14-11-8-5-2/h18H,4-17H2,1-3H3&lt;br /&gt;&amp;diams; InChIKey: JAMIQGJXDPTFJL-UHFFFAOYSA-N</t>
  </si>
  <si>
    <t xml:space="preserve"> 896447-13-5</t>
  </si>
  <si>
    <t xml:space="preserve"> HEXANAL HEXYL ISOAMYL ACETAL</t>
  </si>
  <si>
    <t xml:space="preserve"> &amp;diams; HEXANAL HEXYL ISOAMYL ACETAL&lt;br /&gt;&amp;diams; hexane, 1-(hexyloxy)-1-(3-methylbutoxy)-&lt;br /&gt;&amp;diams; 1-(hexyloxy)-1-(3-methylbutoxy)hexane&lt;br /&gt;&amp;diams; InChI=1S/C17H36O2/c1-5-7-9-11-14-18-17(12-10-8-6-2)19-15-13-16(3)4/h16-17H,5-15H2,1-4H3&lt;br /&gt;&amp;diams; InChIKey: BFNIPPNBSJGEQI-UHFFFAOYSA-N</t>
  </si>
  <si>
    <t xml:space="preserve"> 202188-46-3</t>
  </si>
  <si>
    <t xml:space="preserve"> HEXANAL OCTANE-1,3-DIOL ACETAL</t>
  </si>
  <si>
    <t xml:space="preserve"> &amp;diams; HEXANAL 1,3-OCTANEDIOL ACETAL&lt;br /&gt;&amp;diams; InChI=1S/C14H28O2/c1-3-5-7-9-13-11-12-15-14(16-13)10-8-6-4-2/h13-14H,3-12H2,1-2H3&lt;br /&gt;&amp;diams; InChIKey: JTGGXBHDIVDFHP-UHFFFAOYSA-N&lt;br /&gt;&amp;diams; 1,3-dioxane, 2,4-dipentyl-&lt;br /&gt;&amp;diams; 2,4-dipentyl-1,3-dioxane</t>
  </si>
  <si>
    <t xml:space="preserve"> 110-54-3</t>
  </si>
  <si>
    <t xml:space="preserve"> HEXANE</t>
  </si>
  <si>
    <t xml:space="preserve"> &amp;diams; HEXANE</t>
  </si>
  <si>
    <t xml:space="preserve"> 3848-24-6</t>
  </si>
  <si>
    <t xml:space="preserve"> 2,3-HEXANEDIONE</t>
  </si>
  <si>
    <t xml:space="preserve"> &amp;diams; 2,3-HEXANEDIONE&lt;br /&gt;&amp;diams; ACETYL BUTYRYL&lt;br /&gt;&amp;diams; BUTYRYL ACETYL&lt;br /&gt;&amp;diams; METHYL PROPYL DIKETONE</t>
  </si>
  <si>
    <t xml:space="preserve"> 4437-51-8</t>
  </si>
  <si>
    <t xml:space="preserve"> 3,4-HEXANEDIONE</t>
  </si>
  <si>
    <t xml:space="preserve"> &amp;diams; 3,4-HEXANEDIONE&lt;br /&gt;&amp;diams; DIPROPIONYL&lt;br /&gt;&amp;diams; DIETHYL DIKETONE&lt;br /&gt;&amp;diams; BIPROPIONYL</t>
  </si>
  <si>
    <t xml:space="preserve"> 1191-43-1</t>
  </si>
  <si>
    <t xml:space="preserve"> 1,6-HEXANEDITHIOL</t>
  </si>
  <si>
    <t xml:space="preserve"> &amp;diams; 1,6-HEXANEDITHIOL&lt;br /&gt;&amp;diams; 1,6-DIMERCAPTOHEXANE&lt;br /&gt;&amp;diams; HEXAMETHYLENE DIMERCAPTAN&lt;br /&gt;&amp;diams; 1,6-HEXANEDIMERCAPTAN&lt;br /&gt;&amp;diams; 1,6-HEXAMETHYLENEDITHIOL</t>
  </si>
  <si>
    <t xml:space="preserve"> 111-31-9</t>
  </si>
  <si>
    <t xml:space="preserve"> 1-HEXANETHIOL</t>
  </si>
  <si>
    <t xml:space="preserve"> &amp;diams; 1-HEXANETHIOL&lt;br /&gt;&amp;diams; HEXANETHIOL&lt;br /&gt;&amp;diams; HEXYL MERCAPTAN&lt;br /&gt;&amp;diams; 1-MERCAPTOHEXANE&lt;br /&gt;&amp;diams; InChI=1S/C6H14S/c1-2-3-4-5-6-7/h7H,2-6H2,1H3&lt;br /&gt;&amp;diams; InChIKey: PMBXCGGQNSVESQ-UHFFFAOYSA-N</t>
  </si>
  <si>
    <t xml:space="preserve"> 142-62-1</t>
  </si>
  <si>
    <t xml:space="preserve"> HEXANOIC ACID</t>
  </si>
  <si>
    <t xml:space="preserve"> &amp;diams; HEXANOIC ACID&lt;br /&gt;&amp;diams; CAPRONIC ACID&lt;br /&gt;&amp;diams; HEXOIC ACID</t>
  </si>
  <si>
    <t xml:space="preserve"> 623-37-0</t>
  </si>
  <si>
    <t xml:space="preserve"> 3-HEXANOL</t>
  </si>
  <si>
    <t xml:space="preserve"> &amp;diams; 3-HEXANOL&lt;br /&gt;&amp;diams; ETHYL PROPYL CARBINOL&lt;br /&gt;&amp;diams; 3-HEXYL ALCOHOL</t>
  </si>
  <si>
    <t xml:space="preserve"> 589-38-8</t>
  </si>
  <si>
    <t xml:space="preserve"> 3-HEXANONE</t>
  </si>
  <si>
    <t xml:space="preserve"> &amp;diams; 3-HEXANONE&lt;br /&gt;&amp;diams; ETHYL PROPYL KETONE</t>
  </si>
  <si>
    <t xml:space="preserve"> 505-57-7</t>
  </si>
  <si>
    <t xml:space="preserve"> 2-HEXENAL</t>
  </si>
  <si>
    <t xml:space="preserve"> &amp;diams; 2-HEXENAL&lt;br /&gt;&amp;diams; BETA-PROPYLACROLEIN&lt;br /&gt;&amp;diams; ALPHA,BETA-HEXYLENALDEHYDE&lt;br /&gt;&amp;diams; HEXEN-2-AL</t>
  </si>
  <si>
    <t xml:space="preserve"> 4440-65-7</t>
  </si>
  <si>
    <t xml:space="preserve"> 3-HEXENAL</t>
  </si>
  <si>
    <t xml:space="preserve"> &amp;diams; 3-HEXENAL</t>
  </si>
  <si>
    <t xml:space="preserve"> 6789-80-6</t>
  </si>
  <si>
    <t xml:space="preserve"> CIS-3-HEXENAL</t>
  </si>
  <si>
    <t xml:space="preserve"> &amp;diams; 3-HEXENAL, CIS-&lt;br /&gt;&amp;diams; 3-HEXENAL, (Z)-&lt;br /&gt;&amp;diams; 3-HEXENAL, (3Z)-</t>
  </si>
  <si>
    <t xml:space="preserve"> 69112-21-6</t>
  </si>
  <si>
    <t xml:space="preserve"> TRANS-3-HEXENAL</t>
  </si>
  <si>
    <t xml:space="preserve"> &amp;diams; 3-HEXENAL, TRANS-&lt;br /&gt;&amp;diams; 3-HEXENAL, (E)-&lt;br /&gt;&amp;diams; 3-HEXENAL, (3E)-</t>
  </si>
  <si>
    <t xml:space="preserve"> 4634-89-3</t>
  </si>
  <si>
    <t xml:space="preserve"> CIS-4-HEXENAL</t>
  </si>
  <si>
    <t xml:space="preserve"> &amp;diams; 4-HEXENAL, CIS-&lt;br /&gt;&amp;diams; 4-HEXENAL, (Z)-&lt;br /&gt;&amp;diams; 4-hexenal, (4Z)-</t>
  </si>
  <si>
    <t xml:space="preserve"> 25166-87-4</t>
  </si>
  <si>
    <t xml:space="preserve"> TRANS-4-HEXENAL</t>
  </si>
  <si>
    <t xml:space="preserve"> &amp;diams; 4-HEXENAL, TRANS-&lt;br /&gt;&amp;diams; 4-HEXENAL, (E)-&lt;br /&gt;&amp;diams; 4-hexenal, (4E)-</t>
  </si>
  <si>
    <t xml:space="preserve"> 67746-30-9</t>
  </si>
  <si>
    <t xml:space="preserve"> (E)-2-HEXENAL DIETHYL ACETAL</t>
  </si>
  <si>
    <t xml:space="preserve"> &amp;diams; 2-HEXENAL DIETHYL ACETAL&lt;br /&gt;&amp;diams; 2-hexene, 1,1-diethoxy-, (2E)-&lt;br /&gt;&amp;diams; 2-hexene, 1,1-diethoxy-, (E)-&lt;br /&gt;&amp;diams; 1,1-diethoxy-2-hexene, (E)-&lt;br /&gt;&amp;diams; leaf aldehyde diethyl acetal</t>
  </si>
  <si>
    <t xml:space="preserve"> 977187-68-0</t>
  </si>
  <si>
    <t xml:space="preserve"> (+/-)-TRANS- AND CIS-2-HEXENAL GLYCERYL ACETAL</t>
  </si>
  <si>
    <t xml:space="preserve"> &amp;diams; 2-HEXENAL GLYCERYL ACETAL</t>
  </si>
  <si>
    <t xml:space="preserve"> 2497-21-4</t>
  </si>
  <si>
    <t xml:space="preserve"> 4-HEXENE-3-ONE</t>
  </si>
  <si>
    <t xml:space="preserve"> &amp;diams; 4-HEXEN-3-ONE&lt;br /&gt;&amp;diams; 2-HEXEN-4-ONE</t>
  </si>
  <si>
    <t xml:space="preserve"> 53398-87-1</t>
  </si>
  <si>
    <t xml:space="preserve"> (Z)-3-HEXENYL (E)-2-HEXENOATE</t>
  </si>
  <si>
    <t xml:space="preserve"> &amp;diams; 3-HEXENYL TRANS-2-HEXENOATE, CIS-&lt;br /&gt;&amp;diams; 2-HEXENOIC ACID, (3Z)-3-HEXENYL ESTER, (2E)-&lt;br /&gt;&amp;diams; 3-HEXENYL 2-HEXENOATE, (Z,E)-&lt;br /&gt;&amp;diams; 3-HEXENYL (E)-2-HEXENOATE, (Z)-</t>
  </si>
  <si>
    <t xml:space="preserve"> 13419-69-7</t>
  </si>
  <si>
    <t xml:space="preserve"> TRANS-2-HEXENOIC ACID</t>
  </si>
  <si>
    <t xml:space="preserve"> &amp;diams; 2-HEXENOIC ACID, TRANS-&lt;br /&gt;&amp;diams; PROPYLACRYLIC ACID, BETA-&lt;br /&gt;&amp;diams; 3-PROPYLACRYLIC ACID&lt;br /&gt;&amp;diams; 2-HEXENOIC ACID, (E)-</t>
  </si>
  <si>
    <t xml:space="preserve"> 4219-24-3</t>
  </si>
  <si>
    <t xml:space="preserve"> 3-HEXENOIC ACID</t>
  </si>
  <si>
    <t xml:space="preserve"> &amp;diams; 3-HEXENOIC ACID&lt;br /&gt;&amp;diams; HYDROSORBIC ACID</t>
  </si>
  <si>
    <t xml:space="preserve"> 4798-44-1</t>
  </si>
  <si>
    <t xml:space="preserve"> 1-HEXEN-3-OL</t>
  </si>
  <si>
    <t xml:space="preserve"> &amp;diams; 1-HEXEN-3-OL&lt;br /&gt;&amp;diams; 1-VINYLBUTAN-1-OL&lt;br /&gt;&amp;diams; VINYL PROPYL CARBINOL&lt;br /&gt;&amp;diams; PROPYL VINYL CARBINOL&lt;br /&gt;&amp;diams; 3-HYDROXY-1-HEXENE&lt;br /&gt;&amp;diams; 1-VINYLBUTANOL&lt;br /&gt;&amp;diams; InChI=1S/C6H12O/c1-3-5-6(7)4-2/h4,6-7H,2-3,5H2,1H3&lt;br /&gt;&amp;diams; InChIKey: BVOSSZSHBZQJOI-UHFFFAOYSA-N</t>
  </si>
  <si>
    <t xml:space="preserve"> 2305-21-7</t>
  </si>
  <si>
    <t xml:space="preserve"> 2-HEXEN-1-OL</t>
  </si>
  <si>
    <t xml:space="preserve"> &amp;diams; 2-HEXEN-1-OL&lt;br /&gt;&amp;diams; 3-PROPYLALLYL ALCOHOL</t>
  </si>
  <si>
    <t xml:space="preserve"> 928-94-9</t>
  </si>
  <si>
    <t xml:space="preserve"> (Z)-2-HEXEN-1-OL</t>
  </si>
  <si>
    <t xml:space="preserve"> &amp;diams; 2-HEXEN-1-OL, CIS-&lt;br /&gt;&amp;diams; 2-HEXENOL, CIS-&lt;br /&gt;&amp;diams; 2-HEXENOL, (Z)-&lt;br /&gt;&amp;diams; 2-HEXEN-1-OL, (2Z)-&lt;br /&gt;&amp;diams; 2-HEXEN-1-OL, (Z)-</t>
  </si>
  <si>
    <t xml:space="preserve"> 6126-50-7</t>
  </si>
  <si>
    <t xml:space="preserve"> 4-HEXEN-1-OL</t>
  </si>
  <si>
    <t xml:space="preserve"> &amp;diams; 4-HEXEN-1-OL</t>
  </si>
  <si>
    <t xml:space="preserve"> 821-41-0</t>
  </si>
  <si>
    <t xml:space="preserve"> 5-HEXENOL</t>
  </si>
  <si>
    <t xml:space="preserve"> &amp;diams; 5-HEXEN-1-OL&lt;br /&gt;&amp;diams; 1-HEXEN-6-OL&lt;br /&gt;&amp;diams; 6-HYDROXY-1-HEXENE&lt;br /&gt;&amp;diams; InChI=1S/C6H12O/c1-2-3-4-5-6-7/h2,7H,1,3-6H2&lt;br /&gt;&amp;diams; InChIKey: UIZVMOZAXAMASY-UHFFFAOYSA-N</t>
  </si>
  <si>
    <t xml:space="preserve"> 65405-76-7</t>
  </si>
  <si>
    <t xml:space="preserve"> (Z)-3-HEXENYL ANTHRANILATE</t>
  </si>
  <si>
    <t xml:space="preserve"> &amp;diams; 3-HEXENYL ANTHRANILATE, CIS-&lt;br /&gt;&amp;diams; HEX-3-ENYL ANTHRANILATE, (Z)-&lt;br /&gt;&amp;diams; 3-HEXEN-1-OL, 2-AMINOBENZOATE, (3Z)-&lt;br /&gt;&amp;diams; 3-HEXENYL 2-AMINOBENZOATE, (Z)-&lt;br /&gt;&amp;diams; 3-HEXENYL ANTHRANILATE, (Z)-</t>
  </si>
  <si>
    <t xml:space="preserve"> 25152-85-6</t>
  </si>
  <si>
    <t xml:space="preserve"> CIS-3-HEXENYL BENZOATE</t>
  </si>
  <si>
    <t xml:space="preserve"> &amp;diams; 3-HEXENYL BENZOATE, CIS-&lt;br /&gt;&amp;diams; 3-HEXENYL BENZOATE, (Z)-&lt;br /&gt;&amp;diams; 3-HEXEN-1-OL, BENZOATE, (3Z)-&lt;br /&gt;&amp;diams; 3-HEXEN-1-OL, BENZOATE, (Z)-</t>
  </si>
  <si>
    <t xml:space="preserve"> 53398-83-7</t>
  </si>
  <si>
    <t xml:space="preserve"> (E)-2-HEXENYL BUTYRATE</t>
  </si>
  <si>
    <t xml:space="preserve"> &amp;diams; 2-HEXENYL BUTYRATE, TRANS-&lt;br /&gt;&amp;diams; BUTANOIC ACID, (2E)-2-HEXENYL ESTER&lt;br /&gt;&amp;diams; 2-HEXENYL BUTANOATE, TRANS-&lt;br /&gt;&amp;diams; 2-HEXENYL BUTANOATE, (E)-&lt;br /&gt;&amp;diams; 2-HEXENYL BUTYRATE, (E)-</t>
  </si>
  <si>
    <t xml:space="preserve"> 65405-80-3</t>
  </si>
  <si>
    <t xml:space="preserve"> 3-HEXENYL CROTONATE, CIS-</t>
  </si>
  <si>
    <t xml:space="preserve"> &amp;diams; 3-HEXENYL CROTONATE, CIS-&lt;br /&gt;&amp;diams; 2-BUTENOIC ACID, (3Z)-3-HEXENYL ESTER, (2E)-&lt;br /&gt;&amp;diams; 3-HEXENYL TRANS-2-BUTENOATE, CIS-</t>
  </si>
  <si>
    <t xml:space="preserve"> 53398-78-0</t>
  </si>
  <si>
    <t xml:space="preserve"> (E)-2-HEXENYL FORMATE</t>
  </si>
  <si>
    <t xml:space="preserve"> &amp;diams; 2-HEXENYL FORMATE, TRANS-&lt;br /&gt;&amp;diams; HEX-2-ENYL FORMATE, (E)-&lt;br /&gt;&amp;diams; 2-HEXENYL FORMATE, (E)-&lt;br /&gt;&amp;diams; 2-HEXEN-1-OL, FORMATE, (2E)-</t>
  </si>
  <si>
    <t xml:space="preserve"> 53398-86-0</t>
  </si>
  <si>
    <t xml:space="preserve"> 2-HEXENYL HEXANOATE, TRANS-</t>
  </si>
  <si>
    <t xml:space="preserve"> &amp;diams; 2-HEXENYL HEXANOATE, TRANS-&lt;br /&gt;&amp;diams; HEXANOIC ACID, (2E)-2-HEXENYL ESTER&lt;br /&gt;&amp;diams; 2-HEXENYL HEXANOATE, (E)-&lt;br /&gt;&amp;diams; 2-HEXENYL CAPROATE, TRANS-</t>
  </si>
  <si>
    <t xml:space="preserve"> 41519-23-7</t>
  </si>
  <si>
    <t xml:space="preserve"> (Z)-3-HEXENYL ISOBUTYRATE</t>
  </si>
  <si>
    <t xml:space="preserve"> &amp;diams; 3-HEXENYL ISOBUTYRATE, CIS-&lt;br /&gt;&amp;diams; HEX-3-ENYL ISOBUTYRATE, (Z)-&lt;br /&gt;&amp;diams; PROPANOIC ACID, 2-METHYL-, (3Z)-3-HEXENYL ESTER&lt;br /&gt;&amp;diams; 3-HEXENYL 2-METHYLPROPANOATE, (Z)-&lt;br /&gt;&amp;diams; 3-HEXENYL ISOBUTYRATE, (Z)-&lt;br /&gt;&amp;diams; 3-HEXENYL 2-METHYLPROPIONATE, CIS-</t>
  </si>
  <si>
    <t xml:space="preserve"> 49776-81-0</t>
  </si>
  <si>
    <t xml:space="preserve"> 5-HEXENYL ISOTHIOCYANATE</t>
  </si>
  <si>
    <t xml:space="preserve"> &amp;diams; 5-HEXENYL ISOTHIOCYANATE&lt;br /&gt;&amp;diams; 1-hexene, 6-isothiocyanato-&lt;br /&gt;&amp;diams; 6-isothiocyanato-1-hexene&lt;br /&gt;&amp;diams; InChI=1S/C7H11NS/c1-2-3-4-5-6-8-7-9/h2H,1,3-6H2&lt;br /&gt;&amp;diams; InChIKey: WRFHVMFZOJHYGN-UHFFFAOYSA-N</t>
  </si>
  <si>
    <t xml:space="preserve"> 68698-59-9</t>
  </si>
  <si>
    <t xml:space="preserve"> (E)-2-HEXENYL ISOVALERATE</t>
  </si>
  <si>
    <t xml:space="preserve"> &amp;diams; 2-HEXENYL ISOVALERATE, TRANS-&lt;br /&gt;&amp;diams; BUTANOIC ACID, 3-METHYL-, (2E)-2-HEXENYL ESTER&lt;br /&gt;&amp;diams; HEX-2-ENYL ISOVALERATE, (E)-&lt;br /&gt;&amp;diams; 2-HEXENYL ISOVALERATE, (E)-&lt;br /&gt;&amp;diams; 2-HEXENYL 3-METHYLBUTANOATE, (E)-</t>
  </si>
  <si>
    <t xml:space="preserve"> 10032-11-8</t>
  </si>
  <si>
    <t xml:space="preserve"> 3-HEXENYL ISOVALERATE</t>
  </si>
  <si>
    <t xml:space="preserve"> &amp;diams; 3-HEXENYL ISOVALERATE&lt;br /&gt;&amp;diams; BUTANOIC ACID, 3-METHYL-, 3-HEXENYL ESTER&lt;br /&gt;&amp;diams; ISOVALERIC ACID, 3-HEXENYL ESTER&lt;br /&gt;&amp;diams; 3-HEXENYL 3-METHYLBUTANOATE&lt;br /&gt;&amp;diams; 3-HEXENYL ISOPENTANOATE&lt;br /&gt;&amp;diams; 3-HEXENYL ISOVALERIANATE</t>
  </si>
  <si>
    <t xml:space="preserve"> 61931-81-5</t>
  </si>
  <si>
    <t xml:space="preserve"> CIS-3-HEXENYL LACTATE</t>
  </si>
  <si>
    <t xml:space="preserve"> &amp;diams; 3-HEXENYL LACTATE, CIS-&lt;br /&gt;&amp;diams; 3-HEXENYL LACTATE, (Z)-&lt;br /&gt;&amp;diams; 3-HEXENYL 2-HYDROXYPROPANOATE, CIS-</t>
  </si>
  <si>
    <t xml:space="preserve"> 10094-41-4</t>
  </si>
  <si>
    <t xml:space="preserve"> 3-HEXENYL 2-METHYLBUTYRATE</t>
  </si>
  <si>
    <t xml:space="preserve"> &amp;diams; 3-HEXENYL 2-METHYLBUTYRATE&lt;br /&gt;&amp;diams; BUTANOIC ACID, 2-METHYL-, 3-HEXENYL ESTER&lt;br /&gt;&amp;diams; BUTYRIC ACID, 2-METHYL-, 3-HEXENYL ESTER&lt;br /&gt;&amp;diams; 3-HEXENYL 2-METHYLBUTANOATE</t>
  </si>
  <si>
    <t xml:space="preserve"> 85554-72-9</t>
  </si>
  <si>
    <t xml:space="preserve"> 2-HEXENYL OCTANOATE</t>
  </si>
  <si>
    <t xml:space="preserve"> &amp;diams; 2-HEXENYL OCTANOATE, TRANS-&lt;br /&gt;&amp;diams; 2-hexenyl octanoate, (E)-&lt;br /&gt;&amp;diams; octanoic acid, 2-hexenyl ester, (E)-</t>
  </si>
  <si>
    <t xml:space="preserve"> 42436-07-7</t>
  </si>
  <si>
    <t xml:space="preserve"> 3-HEXENYL PHENYLACETATE</t>
  </si>
  <si>
    <t xml:space="preserve"> &amp;diams; 3-HEXENYL PHENYLACETATE, CIS-&lt;br /&gt;&amp;diams; BENZENEACETIC ACID, 3-HEXENYL ESTER, (Z)-&lt;br /&gt;&amp;diams; HEXENYL ALPHA-TOLUATE, BETA,GAMMA-&lt;br /&gt;&amp;diams; 3-HEXENYL BENZENEACETATE, CIS-&lt;br /&gt;&amp;diams; 3-HEXENYL ALPHA-TOLUATE&lt;br /&gt;&amp;diams; 3-HEXENYL BENZENEACETATE, (Z)-&lt;br /&gt;&amp;diams; 3-HEXENYL PHENYLACETATE, (Z)-</t>
  </si>
  <si>
    <t xml:space="preserve"> 977161-97-9</t>
  </si>
  <si>
    <t xml:space="preserve"> CIS-3 &amp; TRANS-2-HEXENYL PROPIONATE</t>
  </si>
  <si>
    <t xml:space="preserve"> &amp;diams; 3-HEXENYL PROPIONATE, CIS- AND 2-HEXENYL PROPIONATE, TRANS-&lt;br /&gt;&amp;diams; GREEN NOTE PROPIONATE&lt;br /&gt;&amp;diams; 2-HEXENYL PROPIONATE, TRANS- AND 3-HEXENYL PROPIONATE, CIS-&lt;br /&gt;&amp;diams; 3-CIS- AND 2-TRANS-HEXENYL PROPIONATE</t>
  </si>
  <si>
    <t xml:space="preserve"> 53398-80-4</t>
  </si>
  <si>
    <t xml:space="preserve"> (E)-2-HEXENYL PROPIONATE</t>
  </si>
  <si>
    <t xml:space="preserve"> &amp;diams; 2-HEXENYL PROPIONATE, TRANS-&lt;br /&gt;&amp;diams; HEX-2-ENYL PROPIONATE, (E)-&lt;br /&gt;&amp;diams; 2-TRANS-HEXENYL PROPIONATE&lt;br /&gt;&amp;diams; 2-HEXEN-1-OL, PROPANOATE, (2E)-&lt;br /&gt;&amp;diams; 2-HEXENYL PROPANOATE, TRANS-&lt;br /&gt;&amp;diams; 2-HEXENYL PROPANOATE, (E)-&lt;br /&gt;&amp;diams; 2-HEXENYL PROPIONATE, (E)-</t>
  </si>
  <si>
    <t xml:space="preserve"> 33467-74-2</t>
  </si>
  <si>
    <t xml:space="preserve"> (Z)-3-HEXENYL PROPIONATE</t>
  </si>
  <si>
    <t xml:space="preserve"> &amp;diams; 3-HEXENYL PROPIONATE, CIS-&lt;br /&gt;&amp;diams; HEX-3-ENYL PROPIONATE, (Z)-&lt;br /&gt;&amp;diams; 3-HEXENYL PROPANOATE, CIS-&lt;br /&gt;&amp;diams; 3-HEXEN-1-OL, PROPANOATE, (3Z)-&lt;br /&gt;&amp;diams; 3-HEXEN-1-OL, PROPIONATE, (Z)-&lt;br /&gt;&amp;diams; 3-CIS-HEXENYL PROPIONATE&lt;br /&gt;&amp;diams; 3-HEXENYL PROPANOATE, (Z)-&lt;br /&gt;&amp;diams; 3-HEXENYL PROPIONATE, (Z)-</t>
  </si>
  <si>
    <t xml:space="preserve"> 68133-76-6</t>
  </si>
  <si>
    <t xml:space="preserve"> (Z)-3-HEXENYL PYRUVATE</t>
  </si>
  <si>
    <t xml:space="preserve"> &amp;diams; 3-HEXENYL PYRUVATE, CIS-&lt;br /&gt;&amp;diams; PROPANOIC ACID, 2-OXO-, (3Z)-3-HEXENYL ESTER&lt;br /&gt;&amp;diams; 3-HEXENYL PYRUVATE, (Z)-&lt;br /&gt;&amp;diams; 3-HEXENYL 2-OXOPROPANOATE, (Z)-</t>
  </si>
  <si>
    <t xml:space="preserve"> 56922-74-8</t>
  </si>
  <si>
    <t xml:space="preserve"> (E)-2-HEXENYL VALERATE</t>
  </si>
  <si>
    <t xml:space="preserve"> &amp;diams; 2-HEXENYL VALERATE, TRANS-&lt;br /&gt;&amp;diams; HEX-2-ENYL VALERATE, (E)-&lt;br /&gt;&amp;diams; PENTANOIC ACID, (2E)-2-HEXENYL ESTER&lt;br /&gt;&amp;diams; 2-HEXENYL PENTANOATE, TRANS-&lt;br /&gt;&amp;diams; 2-HEXENYL VALERATE, (E)-&lt;br /&gt;&amp;diams; 2-HEXENYL PENTANOATE, (E)-</t>
  </si>
  <si>
    <t xml:space="preserve"> 35852-46-1</t>
  </si>
  <si>
    <t xml:space="preserve"> (Z)-3-HEXENYL VALERATE</t>
  </si>
  <si>
    <t xml:space="preserve"> &amp;diams; 3-HEXENYL VALERATE, CIS-&lt;br /&gt;&amp;diams; HEX-3-ENYL VALERATE, (Z)-&lt;br /&gt;&amp;diams; PENTANOIC ACID, (3Z)-3-HEXENYL ESTER&lt;br /&gt;&amp;diams; 3-HEXENYL PENTANOATE, CIS-&lt;br /&gt;&amp;diams; 3-HEXENYL VALERATE, (Z)-</t>
  </si>
  <si>
    <t xml:space="preserve"> 142-92-7</t>
  </si>
  <si>
    <t xml:space="preserve"> HEXYL ACETATE</t>
  </si>
  <si>
    <t xml:space="preserve"> &amp;diams; HEXYL ACETATE&lt;br /&gt;&amp;diams; HEXYL ETHANOATE&lt;br /&gt;&amp;diams; ACETIC ACID, HEXYL ESTER</t>
  </si>
  <si>
    <t xml:space="preserve"> 10039-39-1</t>
  </si>
  <si>
    <t xml:space="preserve"> 2-HEXYL-4-ACETOXYTETRAHYDROFURAN</t>
  </si>
  <si>
    <t xml:space="preserve"> &amp;diams; 2-HEXYL-4-ACETOXYTETRAHYDROFURAN&lt;br /&gt;&amp;diams; 2-HEXYLTETRAHYDROFURAN-4-YL ACETATE&lt;br /&gt;&amp;diams; 3-FURANOL, 5-HEXYLTETRAHYDRO-, ACETATE&lt;br /&gt;&amp;diams; 5-HEXYLTETRAHYDRO-3-FURANYL ACETATE</t>
  </si>
  <si>
    <t xml:space="preserve"> 111-27-3</t>
  </si>
  <si>
    <t xml:space="preserve"> HEXYL ALCOHOL</t>
  </si>
  <si>
    <t xml:space="preserve"> &amp;diams; HEXYL ALCOHOL&lt;br /&gt;&amp;diams; ALCOHOL(C6)&lt;br /&gt;&amp;diams; 1-HEXANOL&lt;br /&gt;&amp;diams; HEXANOL-1&lt;br /&gt;&amp;diams; CAPROIC ALCOHOL&lt;br /&gt;&amp;diams; AMYLCARBINOL&lt;br /&gt;&amp;diams; CAPROYL ALCOHOL&lt;br /&gt;&amp;diams; 1-HYDROXYHEXANE&lt;br /&gt;&amp;diams; PENTYLCARBINOL&lt;br /&gt;&amp;diams; 1-HEXYL ALCOHOL&lt;br /&gt;&amp;diams; C6 ALCOHOL&lt;br /&gt;&amp;diams; FATTY ALCOHOL(C6)</t>
  </si>
  <si>
    <t xml:space="preserve"> 111-26-2</t>
  </si>
  <si>
    <t xml:space="preserve"> HEXYLAMINE</t>
  </si>
  <si>
    <t xml:space="preserve"> &amp;diams; 1-HEXANAMINE&lt;br /&gt;&amp;diams; N-HEXYLAMINE&lt;br /&gt;&amp;diams; HEXYLAMINE&lt;br /&gt;&amp;diams; InChIKey: BMVXCPBXGZKUPN-UHFFFAOYSA-N&lt;br /&gt;&amp;diams; InChI=1S/C6H15N/c1-2-3-4-5-6-7/h2-7H2,1H3</t>
  </si>
  <si>
    <t xml:space="preserve"> 6789-88-4</t>
  </si>
  <si>
    <t xml:space="preserve"> HEXYL BENZOATE</t>
  </si>
  <si>
    <t xml:space="preserve"> &amp;diams; HEXYL BENZOATE&lt;br /&gt;&amp;diams; BENZOIC ACID, HEXYL ESTER</t>
  </si>
  <si>
    <t xml:space="preserve"> 19089-92-0</t>
  </si>
  <si>
    <t xml:space="preserve"> N-HEXYL 2-BUTENOATE</t>
  </si>
  <si>
    <t xml:space="preserve"> &amp;diams; HEXYL 2-BUTENOATE&lt;br /&gt;&amp;diams; HEXYL CROTONATE&lt;br /&gt;&amp;diams; 2-BUTENOIC ACID, HEXYL ESTER&lt;br /&gt;&amp;diams; CROTONIC ACID, HEXYL ESTER</t>
  </si>
  <si>
    <t xml:space="preserve"> 2639-63-6</t>
  </si>
  <si>
    <t xml:space="preserve"> HEXYL BUTYRATE</t>
  </si>
  <si>
    <t xml:space="preserve"> &amp;diams; HEXYL BUTYRATE&lt;br /&gt;&amp;diams; HEXYL BUTANOATE&lt;br /&gt;&amp;diams; BUTANOIC ACID, HEXYL ESTER&lt;br /&gt;&amp;diams; BUTYRIC ACID, HEXYL ESTER</t>
  </si>
  <si>
    <t xml:space="preserve"> 101-86-0</t>
  </si>
  <si>
    <t xml:space="preserve"> ALPHA-HEXYLCINNAMALDEHYDE</t>
  </si>
  <si>
    <t xml:space="preserve"> &amp;diams; ALPHA-HEXYLCINNAMALDEHYDE&lt;br /&gt;&amp;diams; ALPHA-HEXYL-BETA-PHENYLACROLEIN&lt;br /&gt;&amp;diams; ALPHA-HEXYLCINNAMIC ALDEHYDE&lt;br /&gt;&amp;diams; ALPHA-HEXYLCINNAMYL ALDEHYDE&lt;br /&gt;&amp;diams; HEXYLCINNAMALDEHYDE&lt;br /&gt;&amp;diams; HEXYLCINNAMIC ALDEHYDE&lt;br /&gt;&amp;diams; HCA&lt;br /&gt;&amp;diams; OCTANAL, 2-(PHENYLMETHYLENE)-&lt;br /&gt;&amp;diams; 2-BENZYLIDENEOCTANAL&lt;br /&gt;&amp;diams; 2-(PHENYLMETHYLENE)OCTANAL&lt;br /&gt;&amp;diams; 2-HEXYL-3-PHENYL-2-PROPENAL&lt;br /&gt;&amp;diams; 2-HEXYLCINNAMALDEHYDE</t>
  </si>
  <si>
    <t xml:space="preserve"> 10448-26-7</t>
  </si>
  <si>
    <t xml:space="preserve"> HEXYL DECANOATE</t>
  </si>
  <si>
    <t xml:space="preserve"> &amp;diams; HEXYL DECANOATE&lt;br /&gt;&amp;diams; decanoic acid, hexyl ester&lt;br /&gt;&amp;diams; hexyl caprate&lt;br /&gt;&amp;diams; InChI=1S/C16H32O2/c1-3-5-7-9-10-11-12-14-16(17)18-15-13-8-6-4-2/h3-15H2,1-2H3&lt;br /&gt;&amp;diams; InChIKey: DGPNTCACXCHFDI-UHFFFAOYSA-N</t>
  </si>
  <si>
    <t xml:space="preserve"> 6454-22-4</t>
  </si>
  <si>
    <t xml:space="preserve"> 2-HEXYL-4,5-DIMETHYL-1,3-DIOXOLANE</t>
  </si>
  <si>
    <t xml:space="preserve"> &amp;diams; HEPTANAL 2,3-BUTYLENE GLYCOL ACETAL&lt;br /&gt;&amp;diams; HEPTALDEHYDE 2,3-BUTYLENE GLYCOL ACETAL&lt;br /&gt;&amp;diams; 2-HEXYL-4,5-DIMETHYL-1,3-DIOXOLANE&lt;br /&gt;&amp;diams; 1,3-dioxolane, 2-hexyl-4,5-dimethyl-&lt;br /&gt;&amp;diams; heptanal 2,3-butanediol acetal</t>
  </si>
  <si>
    <t xml:space="preserve"> 629-33-4</t>
  </si>
  <si>
    <t xml:space="preserve"> HEXYL FORMATE</t>
  </si>
  <si>
    <t xml:space="preserve"> &amp;diams; HEXYL FORMATE&lt;br /&gt;&amp;diams; HEXYL METHANOATE&lt;br /&gt;&amp;diams; FORMIC ACID, HEXYL ESTER</t>
  </si>
  <si>
    <t xml:space="preserve"> 39251-86-0</t>
  </si>
  <si>
    <t xml:space="preserve"> HEXYL 2-FUROATE</t>
  </si>
  <si>
    <t xml:space="preserve"> &amp;diams; HEXYL 2-FUROATE&lt;br /&gt;&amp;diams; HEXYL 2-FURANCARBOXYLATE&lt;br /&gt;&amp;diams; HEXYL FUROATE&lt;br /&gt;&amp;diams; 2-FURANCARBOXYLIC ACID, HEXYL ESTER</t>
  </si>
  <si>
    <t xml:space="preserve"> 1119-06-8</t>
  </si>
  <si>
    <t xml:space="preserve"> HEXYL HEPTANOATE</t>
  </si>
  <si>
    <t xml:space="preserve"> &amp;diams; HEXYL HEPTANOATE&lt;br /&gt;&amp;diams; heptanoic acid, hexyl ester&lt;br /&gt;&amp;diams; hexyl enanthate&lt;br /&gt;&amp;diams; InChI=1S/C13H26O2/c1-3-5-7-9-11-13(14)15-12-10-8-6-4-2/h3-12H2,1-2H3&lt;br /&gt;&amp;diams; InChIKey: IFOGOHVJHKKYCT-UHFFFAOYSA-N</t>
  </si>
  <si>
    <t xml:space="preserve"> 6378-65-0</t>
  </si>
  <si>
    <t xml:space="preserve"> HEXYL HEXANOATE</t>
  </si>
  <si>
    <t xml:space="preserve"> &amp;diams; HEXYL HEXANOATE&lt;br /&gt;&amp;diams; HEXYL CAPROATE&lt;br /&gt;&amp;diams; HEXANOIC ACID, HEXYL ESTER&lt;br /&gt;&amp;diams; HEXYL HEXOATE</t>
  </si>
  <si>
    <t xml:space="preserve"> 33855-57-1</t>
  </si>
  <si>
    <t xml:space="preserve"> HEXYL TRANS-2-HEXENOATE</t>
  </si>
  <si>
    <t xml:space="preserve"> &amp;diams; HEXYL TRANS-2-HEXENOATE&lt;br /&gt;&amp;diams; HEXYL (E)-2-HEXENOATE</t>
  </si>
  <si>
    <t xml:space="preserve"> 17373-89-6</t>
  </si>
  <si>
    <t xml:space="preserve"> 2-HEXYLIDENE CYCLOPENTANONE</t>
  </si>
  <si>
    <t xml:space="preserve"> &amp;diams; 2-HEXYLIDENECYCLOPENTANONE&lt;br /&gt;&amp;diams; ALPHA-HEXYLIDENECYCLOPENTANONE&lt;br /&gt;&amp;diams; CYCLOPENTANONE, 2-HEXYLIDENE-</t>
  </si>
  <si>
    <t xml:space="preserve"> 13019-16-4</t>
  </si>
  <si>
    <t xml:space="preserve"> 2-HEXYLIDENEHEXANAL</t>
  </si>
  <si>
    <t xml:space="preserve"> &amp;diams; 2-BUTYL-2-OCTENAL&lt;br /&gt;&amp;diams; 2-octenal, 2-butyl-&lt;br /&gt;&amp;diams; 2-butyl-2-octen-1-al&lt;br /&gt;&amp;diams; 2-hexylidenehexanal</t>
  </si>
  <si>
    <t xml:space="preserve"> 2349-07-7</t>
  </si>
  <si>
    <t xml:space="preserve"> HEXYL ISOBUTYRATE</t>
  </si>
  <si>
    <t xml:space="preserve"> &amp;diams; HEXYL ISOBUTYRATE&lt;br /&gt;&amp;diams; HEXYL 2-METHYLPROPANOATE&lt;br /&gt;&amp;diams; HEXYL ISOBUTANOATE&lt;br /&gt;&amp;diams; HEXYL 2-METHYLPROPIONATE&lt;br /&gt;&amp;diams; PROPANOIC ACID, 2-METHYL-, HEXYL ESTER&lt;br /&gt;&amp;diams; ISOBUTYRIC ACID, HEXYL ESTER</t>
  </si>
  <si>
    <t xml:space="preserve"> 6803-40-3</t>
  </si>
  <si>
    <t xml:space="preserve"> HEXYL ISOTHIOCYANATE</t>
  </si>
  <si>
    <t xml:space="preserve"> 10032-13-0</t>
  </si>
  <si>
    <t xml:space="preserve"> HEXYL ISOVALERATE</t>
  </si>
  <si>
    <t xml:space="preserve"> &amp;diams; HEXYL ISOVALERATE&lt;br /&gt;&amp;diams; HEXYL 3-METHYLBUTANOATE&lt;br /&gt;&amp;diams; HEXYL ISOVALERIATE&lt;br /&gt;&amp;diams; HEXYL ISOPENTANOATE&lt;br /&gt;&amp;diams; HEXYL ISOVALERIANATE&lt;br /&gt;&amp;diams; BUTANOIC ACID, 3-METHYL-, HEXYL ESTER&lt;br /&gt;&amp;diams; ISOVALERIC ACID, HEXYL ESTER</t>
  </si>
  <si>
    <t xml:space="preserve"> 977043-60-9</t>
  </si>
  <si>
    <t xml:space="preserve"> 2-HEXYL-5 OR 6-KETO-1,4-DIOXANE</t>
  </si>
  <si>
    <t xml:space="preserve"> &amp;diams; 5(OR 6)-HEXYL-P-DIOXAN-2-ONE&lt;br /&gt;&amp;diams; (1(OR 2)-HEXYL-2-HYDROXYETHOXY)ACETIC ACID GAMMA-LACTONE&lt;br /&gt;&amp;diams; 2-HEXYL-5(OR 6)-KETO-1,4-DIOXANE&lt;br /&gt;&amp;diams; 5(OR 6)-HEXYL-1,4-DIOXAN-2-ONE</t>
  </si>
  <si>
    <t xml:space="preserve"> 796857-79-9</t>
  </si>
  <si>
    <t xml:space="preserve"> HEXYL 3-MERCAPTOBUTANOATE</t>
  </si>
  <si>
    <t xml:space="preserve"> &amp;diams; HEXYL 3-MERCAPTOBUTANOATE&lt;br /&gt;&amp;diams; butanoic acid, 3-mercapto-, hexyl ester</t>
  </si>
  <si>
    <t xml:space="preserve"> 10032-15-2</t>
  </si>
  <si>
    <t xml:space="preserve"> HEXYL 2-METHYLBUTYRATE</t>
  </si>
  <si>
    <t xml:space="preserve"> &amp;diams; HEXYL 2-METHYLBUTYRATE&lt;br /&gt;&amp;diams; BUTANOIC ACID, 2-METHYL-, HEXYL ESTER&lt;br /&gt;&amp;diams; BUTYRIC ACID, 2-METHYL-, HEXYL ESTER&lt;br /&gt;&amp;diams; HEXYL 2-METHYLBUTANOATE</t>
  </si>
  <si>
    <t xml:space="preserve"> 977101-05-5</t>
  </si>
  <si>
    <t xml:space="preserve"> HEXYL 2-METHYL-3(OR 4)-PENTENOATE</t>
  </si>
  <si>
    <t xml:space="preserve"> &amp;diams; HEXYL 2-METHYL-3(OR 4)-PENTENOATE</t>
  </si>
  <si>
    <t xml:space="preserve"> 6561-39-3</t>
  </si>
  <si>
    <t xml:space="preserve"> HEXYL NONANOATE</t>
  </si>
  <si>
    <t xml:space="preserve"> &amp;diams; HEXYL NONANOATE&lt;br /&gt;&amp;diams; nonanoic acid, hexyl ester&lt;br /&gt;&amp;diams; InChI=1S/C15H30O2/c1-3-5-7-9-10-11-13-15(16)17-14-12-8-6-4-2/h3-14H2,1-2H3&lt;br /&gt;&amp;diams; InChIKey: GPHBCFMWKGZPRP-UHFFFAOYSA-N</t>
  </si>
  <si>
    <t xml:space="preserve"> 1117-55-1</t>
  </si>
  <si>
    <t xml:space="preserve"> HEXYL OCTANOATE</t>
  </si>
  <si>
    <t xml:space="preserve"> &amp;diams; HEXYL OCTANOATE&lt;br /&gt;&amp;diams; HEXYL CAPRYLATE&lt;br /&gt;&amp;diams; HEXYL OCTYLATE&lt;br /&gt;&amp;diams; OCTANOIC ACID, HEXYL ESTER</t>
  </si>
  <si>
    <t xml:space="preserve"> 5421-17-0</t>
  </si>
  <si>
    <t xml:space="preserve"> HEXYL PHENYLACETATE</t>
  </si>
  <si>
    <t xml:space="preserve"> &amp;diams; HEXYL PHENYLACETATE&lt;br /&gt;&amp;diams; HEXYL ALPHA-TOLUATE&lt;br /&gt;&amp;diams; BENZENEACETIC ACID, HEXYL ESTER&lt;br /&gt;&amp;diams; HEXYL BENZENEACETATE&lt;br /&gt;&amp;diams; ACETIC ACID, PHENYL-, HEXYL ESTER</t>
  </si>
  <si>
    <t xml:space="preserve"> 2445-76-3</t>
  </si>
  <si>
    <t xml:space="preserve"> HEXYL PROPIONATE</t>
  </si>
  <si>
    <t xml:space="preserve"> &amp;diams; HEXYL PROPIONATE&lt;br /&gt;&amp;diams; HEXYL PROPANOATE&lt;br /&gt;&amp;diams; PROPANOIC ACID, HEXYL ESTER&lt;br /&gt;&amp;diams; PROPIONIC ACID, HEXYL ESTER</t>
  </si>
  <si>
    <t xml:space="preserve"> 18794-77-9</t>
  </si>
  <si>
    <t xml:space="preserve"> 2-HEXYLTHIOPHENE</t>
  </si>
  <si>
    <t xml:space="preserve"> &amp;diams; 2-HEXYLTHIOPHENE&lt;br /&gt;&amp;diams; thiophene, 2-hexyl&lt;br /&gt;&amp;diams; InChI=1S/C10H16S/c1-2-3-4-5-7-10-8-6-9-11-10/h6,8-9H,2-5,7H2,1H3&lt;br /&gt;&amp;diams; InChIKey: QZVHYFUVMQIGGM-UHFFFAOYSA-N</t>
  </si>
  <si>
    <t xml:space="preserve"> 977023-22-5</t>
  </si>
  <si>
    <t xml:space="preserve"> HICKORY BARK, EXTRACT (CARYA SPP.)</t>
  </si>
  <si>
    <t xml:space="preserve"> &amp;diams; HICKORY BARK EXTRACT&lt;br /&gt;&amp;diams; CARYA BARK EXTRACT</t>
  </si>
  <si>
    <t xml:space="preserve"> 74113-74-9</t>
  </si>
  <si>
    <t xml:space="preserve"> HICKORY SMOKE DIST.</t>
  </si>
  <si>
    <t xml:space="preserve"> &amp;diams; HICKORY SMOKE DISTILLATE&lt;br /&gt;&amp;diams; PYROLIGNEOUS ACIDS, HICKORY&lt;br /&gt;&amp;diams; SMOKE CONDENSATE, HICKORY</t>
  </si>
  <si>
    <t xml:space="preserve"> 977042-84-4</t>
  </si>
  <si>
    <t xml:space="preserve"> HIGH FRUCTOSE CORN SYRUP</t>
  </si>
  <si>
    <t xml:space="preserve"> &amp;diams; HIGH FRUCTOSE CORN SYRUP&lt;br /&gt;&amp;diams; CORN SYRUP, HIGH FRUCTOSE&lt;br /&gt;&amp;diams; HIGH LEVULOSE CORN SYRUP&lt;br /&gt;&amp;diams; SYRUP, CORN, HIGH FRUCTOSE</t>
  </si>
  <si>
    <t xml:space="preserve"> NUTRITIVE SWEETENER</t>
  </si>
  <si>
    <t xml:space="preserve"> 131.111 ,  131.112 ,  131.170 ,  131.200 ,  131.203 ,  131.206</t>
  </si>
  <si>
    <t xml:space="preserve"> 71-00-1</t>
  </si>
  <si>
    <t xml:space="preserve"> L-HISTIDINE</t>
  </si>
  <si>
    <t xml:space="preserve"> &amp;diams; HISTIDINE, L-&lt;br /&gt;&amp;diams; L-HISTIDINE&lt;br /&gt;&amp;diams; ALPHA-AMINO-1H-IMIDAZOLE-4-PROPIONIC ACID, (S)-&lt;br /&gt;&amp;diams; 4-(2-AMINO-2-CARBOXYETHYL)IMIDAZOLE&lt;br /&gt;&amp;diams; GLYOXALINE-5-ALANINE</t>
  </si>
  <si>
    <t xml:space="preserve"> 462631-45-4</t>
  </si>
  <si>
    <t xml:space="preserve"> (-)-HOMOERIODICTYOL, SODIUM SALT</t>
  </si>
  <si>
    <t xml:space="preserve"> 223749-79-9</t>
  </si>
  <si>
    <t xml:space="preserve"> HONEYSUCKLE EXTRACT</t>
  </si>
  <si>
    <t xml:space="preserve"> &amp;diams; HONEYSUCKLE EXTRACT (LONICERA JAPONICA)&lt;br /&gt;&amp;diams; Japanese honeysuckle extract&lt;br /&gt;&amp;diams; honeysuckle, Lonicera japonica, ext.&lt;br /&gt;&amp;diams; Lonicera japonica extract&lt;br /&gt;&amp;diams; Lonicera japonica Thunb. extract</t>
  </si>
  <si>
    <t xml:space="preserve"> 8060-28-4</t>
  </si>
  <si>
    <t xml:space="preserve"> HOPS, EXTRACT (HUMULUS LUPULUS L.)</t>
  </si>
  <si>
    <t xml:space="preserve"> &amp;diams; HOPS EXTRACT&lt;br /&gt;&amp;diams; HUMULUS LUPULUS EXTRACT&lt;br /&gt;&amp;diams; HOP, HUMULUS LUPULUS, EXT.</t>
  </si>
  <si>
    <t xml:space="preserve"> 8016-25-9</t>
  </si>
  <si>
    <t xml:space="preserve"> HOPS EXTRACT, MODIFIED</t>
  </si>
  <si>
    <t xml:space="preserve"> &amp;diams; HOPS EXTRACT, MODIFIED&lt;br /&gt;&amp;diams; HOP EXTRACT, MODIFIED&lt;br /&gt;&amp;diams; HOP, EXT.</t>
  </si>
  <si>
    <t xml:space="preserve"> 977083-25-2</t>
  </si>
  <si>
    <t xml:space="preserve"> HOPS, EXTRACT SOLID (HUMULUS LUPULUS L.)</t>
  </si>
  <si>
    <t xml:space="preserve"> &amp;diams; HOPS EXTRACT, SOLID&lt;br /&gt;&amp;diams; HOPS SOLID EXTRACT&lt;br /&gt;&amp;diams; HUMULUS LUPULUS EXTRACT, SOLID</t>
  </si>
  <si>
    <t xml:space="preserve"> 8007-04-3</t>
  </si>
  <si>
    <t xml:space="preserve"> HOPS, OIL (HUMULUS LUPULUS L.)</t>
  </si>
  <si>
    <t xml:space="preserve"> &amp;diams; HOPS OIL&lt;br /&gt;&amp;diams; HOPS OIL, ESSENTIAL&lt;br /&gt;&amp;diams; OILS, HOP&lt;br /&gt;&amp;diams; HOP OIL&lt;br /&gt;&amp;diams; HUMULUS LUPULUS OIL</t>
  </si>
  <si>
    <t xml:space="preserve"> 84696-20-8</t>
  </si>
  <si>
    <t xml:space="preserve"> HOREHOUND EXTRACT (MARRUBIUM VULGARE L.)</t>
  </si>
  <si>
    <t xml:space="preserve"> &amp;diams; HOREHOUND EXTRACT&lt;br /&gt;&amp;diams; HOARHOUND EXTRACT&lt;br /&gt;&amp;diams; MARRUBIUM VULGARE EXTRACT&lt;br /&gt;&amp;diams; HOREHOUND, EXT.</t>
  </si>
  <si>
    <t xml:space="preserve"> 977001-59-4</t>
  </si>
  <si>
    <t xml:space="preserve"> HOREHOUND (MARRUBIUM VULGARE L.)</t>
  </si>
  <si>
    <t xml:space="preserve"> &amp;diams; HOREHOUND&lt;br /&gt;&amp;diams; HOAR HOUND&lt;br /&gt;&amp;diams; MARRUBIUM&lt;br /&gt;&amp;diams; HOARHOUND&lt;br /&gt;&amp;diams; WHITE HOREHOUND&lt;br /&gt;&amp;diams; MARRUBIUM VULGARE&lt;br /&gt;&amp;diams; HOREHOUND, WHITE</t>
  </si>
  <si>
    <t xml:space="preserve"> 977089-41-0</t>
  </si>
  <si>
    <t xml:space="preserve"> HOREHOUND SOLID, EXTRACT</t>
  </si>
  <si>
    <t xml:space="preserve"> &amp;diams; HOREHOUND EXTRACT, SOLID&lt;br /&gt;&amp;diams; HOREHOUND SOLID EXTRACT&lt;br /&gt;&amp;diams; HOARHOUND EXTRACT, SOLID&lt;br /&gt;&amp;diams; MARRUBIUM VULGARE EXTRACT, SOLID</t>
  </si>
  <si>
    <t xml:space="preserve"> 8006-85-7</t>
  </si>
  <si>
    <t xml:space="preserve"> HORSEMINT LEAVES, EXTRACT (MONARDA SPP.)</t>
  </si>
  <si>
    <t xml:space="preserve"> &amp;diams; HORSEMINT OIL&lt;br /&gt;&amp;diams; HORSEMINT LEAF EXTRACT&lt;br /&gt;&amp;diams; OILS, HORSEMINT&lt;br /&gt;&amp;diams; MONARDA OIL&lt;br /&gt;&amp;diams; MONARDA LEAF EXTRACT</t>
  </si>
  <si>
    <t xml:space="preserve"> 977050-94-4</t>
  </si>
  <si>
    <t xml:space="preserve"> HORSERADISH (ARMORACIA LAPATHIFOLIA GILIB.)</t>
  </si>
  <si>
    <t xml:space="preserve"> &amp;diams; HORSERADISH&lt;br /&gt;&amp;diams; ARMORACIA LAPATHIFOLIA&lt;br /&gt;&amp;diams; RAIFORT (ARMORACIA RUSTICANA)&lt;br /&gt;&amp;diams; ARMORACIA RUSTICANA</t>
  </si>
  <si>
    <t xml:space="preserve"> 101.22 ,  155.200</t>
  </si>
  <si>
    <t xml:space="preserve"> 977089-42-1</t>
  </si>
  <si>
    <t xml:space="preserve"> HORSERADISH OIL</t>
  </si>
  <si>
    <t xml:space="preserve"> &amp;diams; HORSERADISH OIL&lt;br /&gt;&amp;diams; ARMORACIA LAPATHIFOLIA OIL</t>
  </si>
  <si>
    <t xml:space="preserve"> 977086-46-6</t>
  </si>
  <si>
    <t xml:space="preserve"> HYACINTH, ABSOLUTE (HYACINTHUS ORIENTALIS L.)</t>
  </si>
  <si>
    <t xml:space="preserve"> &amp;diams; HYACINTH ABSOLUTE&lt;br /&gt;&amp;diams; HYACINTHUS ORIENTALIS ABSOLUTE</t>
  </si>
  <si>
    <t xml:space="preserve"> 977047-90-7</t>
  </si>
  <si>
    <t xml:space="preserve"> HYACINTH FLOWERS (HYACINTHUS ORIENTALIS L.)</t>
  </si>
  <si>
    <t xml:space="preserve"> &amp;diams; HYACINTH FLOWER&lt;br /&gt;&amp;diams; HYACINTHUS ORIENTALIS FLOWER</t>
  </si>
  <si>
    <t xml:space="preserve"> 67634-23-5</t>
  </si>
  <si>
    <t xml:space="preserve"> HYDRATROPIC ALDEHYDE PROPYLENE GLYCOL ACETAL</t>
  </si>
  <si>
    <t xml:space="preserve"> &amp;diams; 2-PHENYLPROPANAL PROPYLENE GLYCOL ACETAL&lt;br /&gt;&amp;diams; HYDRATROPIC ALDEHYDE PROPYLENE GLYCOL ACETAL&lt;br /&gt;&amp;diams; HYDRATROPALDEHYDE PROPYLENE GLYCOL ACETAL&lt;br /&gt;&amp;diams; 2-(ALPHA-METHYLBENZYL)-4-METHYL-1,3-DIOXOLANE&lt;br /&gt;&amp;diams; 1,3-DIOXOLANE, 4-METHYL-2-(1-PHENYLETHYL)-&lt;br /&gt;&amp;diams; 2-PHENYLPROPIONALDEHYDE PROPYLENE GLYCOL ACETAL&lt;br /&gt;&amp;diams; 4-METHYL-2-(1-PHENYLETHYL)-1,3-DIOXOLANE&lt;br /&gt;&amp;diams; InChI=1S/C12H16O2/c1-9-8-13-12(14-9)10(2)11-6-4-3-5-7-11/h3-7,9-10,12H,8H2,1-2H3&lt;br /&gt;&amp;diams; InChIKey: KHLVXMUGPANNQD-UHFFFAOYSA-N</t>
  </si>
  <si>
    <t xml:space="preserve"> 302-01-2</t>
  </si>
  <si>
    <t xml:space="preserve"> HYDRAZINE</t>
  </si>
  <si>
    <t xml:space="preserve"> &amp;diams; HYDRAZINE&lt;br /&gt;&amp;diams; HYDRAZINE, ANHYDROUS&lt;br /&gt;&amp;diams; DIAMINE&lt;br /&gt;&amp;diams; NITROGEN HYDRIDE</t>
  </si>
  <si>
    <t xml:space="preserve"> 7647-01-0</t>
  </si>
  <si>
    <t xml:space="preserve"> HYDROCHLORIC ACID</t>
  </si>
  <si>
    <t xml:space="preserve"> &amp;diams; HYDROCHLORIC ACID&lt;br /&gt;&amp;diams; MURIATIC ACID&lt;br /&gt;&amp;diams; HYDROGEN CHLORIDE&lt;br /&gt;&amp;diams; CHLOROHYDRIC ACID</t>
  </si>
  <si>
    <t xml:space="preserve"> FORMULATION AID,&lt;br /&gt; PH CONTROL AGENT</t>
  </si>
  <si>
    <t xml:space="preserve"> 133.129 ,  155.191 ,  155.194 ,  160.105 ,  160.185</t>
  </si>
  <si>
    <t xml:space="preserve"> 7722-84-1</t>
  </si>
  <si>
    <t xml:space="preserve"> HYDROGEN PEROXIDE</t>
  </si>
  <si>
    <t xml:space="preserve"> &amp;diams; HYDROGEN PEROXIDE&lt;br /&gt;&amp;diams; PEROXIDE&lt;br /&gt;&amp;diams; HYDROGEN PEROXIDE (H2O2)</t>
  </si>
  <si>
    <t xml:space="preserve"> ANTIMICROBIAL AGENT,&lt;br /&gt; DOUGH STRENGTHENER,&lt;br /&gt; FLOUR TREATING AGENT,&lt;br /&gt; FUMIGANT,&lt;br /&gt; OXIDIZING OR REDUCING AGENT</t>
  </si>
  <si>
    <t xml:space="preserve"> 133.113 ,  133.118 ,  133.136 ,  133.144 ,  133.195 ,  160.105 ,  160.145 ,  160.185</t>
  </si>
  <si>
    <t xml:space="preserve"> 7783-06-4</t>
  </si>
  <si>
    <t xml:space="preserve"> HYDROGEN SULFIDE</t>
  </si>
  <si>
    <t xml:space="preserve"> &amp;diams; HYDROGEN SULFIDE&lt;br /&gt;&amp;diams; HYDROSULFURIC ACID&lt;br /&gt;&amp;diams; HYDROGEN SULFIDE (H2S)</t>
  </si>
  <si>
    <t xml:space="preserve"> 622-62-8</t>
  </si>
  <si>
    <t xml:space="preserve"> HYDROQUINONE MONOETHYL ETHER</t>
  </si>
  <si>
    <t xml:space="preserve"> &amp;diams; ETHOXYPHENOL, P-&lt;br /&gt;&amp;diams; 4-ETHOXYPHENOL&lt;br /&gt;&amp;diams; HYDROQUINONE MONOETHYL ETHER&lt;br /&gt;&amp;diams; 1-ETHOXY-4-HYDROXYBENZENE&lt;br /&gt;&amp;diams; PHENOL, 4-ETHOXY-&lt;br /&gt;&amp;diams; PHENOL, P-ETHOXY-</t>
  </si>
  <si>
    <t xml:space="preserve"> 116-09-6</t>
  </si>
  <si>
    <t xml:space="preserve"> HYDROXYACETONE</t>
  </si>
  <si>
    <t xml:space="preserve"> &amp;diams; 1-HYDROXY-2-PROPANONE&lt;br /&gt;&amp;diams; HYDROXYACETONE&lt;br /&gt;&amp;diams; HYDROXYMETHYL METHYL KETONE&lt;br /&gt;&amp;diams; 2-PROPANONE, 1-HYDROXY-&lt;br /&gt;&amp;diams; 2-propanone, hydroxy-&lt;br /&gt;&amp;diams; hydroxy-2-propanone&lt;br /&gt;&amp;diams; InChI=1S/C3H6O2/c1-3(5)2-4/h4H,2H2,1H3&lt;br /&gt;&amp;diams; InChIKey: XLSMFKSTNGKWQX-UHFFFAOYSA-N</t>
  </si>
  <si>
    <t xml:space="preserve"> 118-93-4</t>
  </si>
  <si>
    <t xml:space="preserve"> 2-HYDROXYACETOPHENONE</t>
  </si>
  <si>
    <t xml:space="preserve"> &amp;diams; 2'-HYDROXYACETOPHENONE&lt;br /&gt;&amp;diams; ACETYLPHENOL, O-&lt;br /&gt;&amp;diams; ACETOPHENONE, 2'-HYDROXY-&lt;br /&gt;&amp;diams; ETHANONE, 1-(2-HYDROXYPHENYL)-&lt;br /&gt;&amp;diams; HYDROXYACETOPHENONE, O-&lt;br /&gt;&amp;diams; 1-(2-HYDROXYPHENYL)ETHANONE&lt;br /&gt;&amp;diams; 2-ACETYLPHENOL&lt;br /&gt;&amp;diams; 2-HYDROXYPHENYL METHYL KETONE</t>
  </si>
  <si>
    <t xml:space="preserve"> 99-93-4</t>
  </si>
  <si>
    <t xml:space="preserve"> 4-HYDROXYACETOPHENONE</t>
  </si>
  <si>
    <t xml:space="preserve"> &amp;diams; 4'-HYDROXYACETOPHENONE&lt;br /&gt;&amp;diams; ACETYLPHENOL, P-&lt;br /&gt;&amp;diams; HYDROXYACETOPHENONE, P-&lt;br /&gt;&amp;diams; PICEOL&lt;br /&gt;&amp;diams; 1-(4-HYDROXYPHENYL)ETHANONE&lt;br /&gt;&amp;diams; ethanone, 1-(4-hydroxyphenyl)-&lt;br /&gt;&amp;diams; acetophenone, 4'-hydroxy-&lt;br /&gt;&amp;diams; acetophenone, p-hydroxy-&lt;br /&gt;&amp;diams; 4-hydroxyacetophenone&lt;br /&gt;&amp;diams; InChI=1S/C8H8O2/c1-6(9)7-2-4-8(10)5-3-7/h2-5,10H,1H3&lt;br /&gt;&amp;diams; InChIKey: TXFPEBPIARQUIG-UHFFFAOYSA-N</t>
  </si>
  <si>
    <t xml:space="preserve"> 123-08-0</t>
  </si>
  <si>
    <t xml:space="preserve"> 4-HYDROXYBENZALDEHYDE</t>
  </si>
  <si>
    <t xml:space="preserve"> &amp;diams; 4-HYDROXYBENZALDEHYDE&lt;br /&gt;&amp;diams; BENZALDEHYDE, 4-HYDROXY-&lt;br /&gt;&amp;diams; BENZALDEHYDE, P-HYDROXY-&lt;br /&gt;&amp;diams; FORMYLPHENOL, P-&lt;br /&gt;&amp;diams; HYDROXYBENZALDEHYDE, P-&lt;br /&gt;&amp;diams; OXYBENZALDEHYDE, P-&lt;br /&gt;&amp;diams; 4-FORMYLPHENOL</t>
  </si>
  <si>
    <t xml:space="preserve"> 99-06-9</t>
  </si>
  <si>
    <t xml:space="preserve"> 3-HYDROXYBENZOIC ACID</t>
  </si>
  <si>
    <t xml:space="preserve"> &amp;diams; 3-HYDROXYBENZOIC ACID&lt;br /&gt;&amp;diams; HYDROXYBENZOIC ACID, M-&lt;br /&gt;&amp;diams; benzoic acid, m-hydroxy-&lt;br /&gt;&amp;diams; benzoic acid, 3-hydroxy-&lt;br /&gt;&amp;diams; salicylic acid, m-&lt;br /&gt;&amp;diams; InChI=1S/C7H6O3/c8-6-3-1-2-5(4-6)7(9)10/h1-4,8H,(H,9,10)/h1-4,8H,(H,9,10)&lt;br /&gt;&amp;diams; InChIKey: IJFXRHURBJZNAO-UHFFFAOYSA-N</t>
  </si>
  <si>
    <t xml:space="preserve"> 99-96-7</t>
  </si>
  <si>
    <t xml:space="preserve"> 4-HYDROXYBENZOIC ACID</t>
  </si>
  <si>
    <t xml:space="preserve"> &amp;diams; 4-HYDROXYBENZOIC ACID&lt;br /&gt;&amp;diams; BENZOIC ACID, P-HYDROXY-&lt;br /&gt;&amp;diams; BENZOIC ACID, 4-HYDROXY-&lt;br /&gt;&amp;diams; HYDROXYBENZOIC ACID, P-&lt;br /&gt;&amp;diams; PARABEN&lt;br /&gt;&amp;diams; SALICYLIC ACID, P-&lt;br /&gt;&amp;diams; 4-CARBOXYPHENOL&lt;br /&gt;&amp;diams; Carboxyphenol, p-</t>
  </si>
  <si>
    <t xml:space="preserve"> 623-05-2</t>
  </si>
  <si>
    <t xml:space="preserve"> 4-HYDROXYBENZYL ALCOHOL</t>
  </si>
  <si>
    <t xml:space="preserve"> &amp;diams; 4-HYDROXYBENZYL ALCOHOL&lt;br /&gt;&amp;diams; BENZENEMETHANOL, 4-HYDROXY-&lt;br /&gt;&amp;diams; BENZYL ALCOHOL, P-HYDROXY-&lt;br /&gt;&amp;diams; (4-HYDROXYPHENYL)METHANOL&lt;br /&gt;&amp;diams; (HYDROXYMETHYL)PHENOL, P-&lt;br /&gt;&amp;diams; HYDROXYBENZYL ALCOHOL, P-&lt;br /&gt;&amp;diams; METHYLOLPHENOL, P-&lt;br /&gt;&amp;diams; 4-HYDROXYBENZENEMETHANOL</t>
  </si>
  <si>
    <t xml:space="preserve"> 96-48-0</t>
  </si>
  <si>
    <t xml:space="preserve"> 4-HYDROXYBUTANOIC ACID LACTONE</t>
  </si>
  <si>
    <t xml:space="preserve"> &amp;diams; BUTYROLACTONE&lt;br /&gt;&amp;diams; GAMMA-BUTYROLACTONE&lt;br /&gt;&amp;diams; 4-BUTYROLACTONE&lt;br /&gt;&amp;diams; 4-HYDROXYBUTANOIC ACID LACTONE&lt;br /&gt;&amp;diams; DIHYDRO-2(3H)-FURANONE&lt;br /&gt;&amp;diams; 4-BUTANOLIDE&lt;br /&gt;&amp;diams; 2(3H)-FURANONE, DIHYDRO-&lt;br /&gt;&amp;diams; TETRAHYDRO-2-FURANONE&lt;br /&gt;&amp;diams; BUTYROLACTONE, GAMMA-&lt;br /&gt;&amp;diams; GBL&lt;br /&gt;&amp;diams; 1,4-butanolide&lt;br /&gt;&amp;diams; 1-oxacyclopentan-2-one&lt;br /&gt;&amp;diams; 2,3,4,5-tetrahydro-2-furanone&lt;br /&gt;&amp;diams; 2-oxolanone&lt;br /&gt;&amp;diams; 2-oxotetrahydrofuran&lt;br /&gt;&amp;diams; 4-deoxytetronic acid&lt;br /&gt;&amp;diams; 4-hydroxybutyric acid lactone &lt;br /&gt;&amp;diams;</t>
  </si>
  <si>
    <t xml:space="preserve"> 5077-67-8</t>
  </si>
  <si>
    <t xml:space="preserve"> 1-HYDROXY-2-BUTANONE</t>
  </si>
  <si>
    <t xml:space="preserve"> &amp;diams; 1-HYDROXY-2-BUTANONE&lt;br /&gt;&amp;diams; ETHYL HYDROXYMETHYL KETONE&lt;br /&gt;&amp;diams; 2-BUTANONE, 1-HYDROXY-&lt;br /&gt;&amp;diams; 2-OXOBUTANOL</t>
  </si>
  <si>
    <t xml:space="preserve"> 497-23-4</t>
  </si>
  <si>
    <t xml:space="preserve"> 4-HYDROXY-2-BUTENOIC ACID GAMMA-LACTONE</t>
  </si>
  <si>
    <t xml:space="preserve"> &amp;diams; 2(5H)-FURANONE&lt;br /&gt;&amp;diams; GAMMA-CROTONOLACTONE&lt;br /&gt;&amp;diams; 4-HYDROXY-2-BUTENOIC ACID LACTONE&lt;br /&gt;&amp;diams; BUTENOLIDE (2(5H)-FURANONE)&lt;br /&gt;&amp;diams; 4-hydroxy-2-butenoic acid gamma-lactone&lt;br /&gt;&amp;diams; 2-oxo-2,5-dihydrofuran&lt;br /&gt;&amp;diams; isocrotonolactone&lt;br /&gt;&amp;diams; crotonic acid, 4-hydroxy-, gamma-lactone&lt;br /&gt;&amp;diams; 4-hydroxycrotonic acid gamma-lactone&lt;br /&gt;&amp;diams; InChI=1S/C4H4O2/c5-4-2-1-3-6-4/h1-2H,3H2&lt;br /&gt;&amp;diams; InChiKey=VIHAEDVKXSOUAT-UHFFFAOYSA-N</t>
  </si>
  <si>
    <t xml:space="preserve"> 51200-86-3</t>
  </si>
  <si>
    <t xml:space="preserve"> 6-HYDROXYCARVONE</t>
  </si>
  <si>
    <t xml:space="preserve"> &amp;diams; 6-HYDROXYCARVONE&lt;br /&gt;&amp;diams; MENTHADIEN-2-ONE-6-OL&lt;br /&gt;&amp;diams; P-MENTHA-1,8-DIEN-2-OL-6-ONE&lt;br /&gt;&amp;diams; 2-cyclohexen-1-one, 3-hydroxy-2-methyl-5-(1-methylethenyl)-&lt;br /&gt;&amp;diams; 3-hydroxy-2-methyl-5-(1-methylethenyl)-2-cyclohexen-1-one&lt;br /&gt;&amp;diams; 3-hydroxy-5-isopropenyl-2-methyl-2-cyclohexen-1-one&lt;br /&gt;&amp;diams; mentha-1,8-dien-2-ol-6-one, p-</t>
  </si>
  <si>
    <t xml:space="preserve"> 107-75-5</t>
  </si>
  <si>
    <t xml:space="preserve"> HYDROXYCITRONELLAL</t>
  </si>
  <si>
    <t xml:space="preserve"> &amp;diams; HYDROXYCITRONELLAL&lt;br /&gt;&amp;diams; CITRONELLAL HYDRATE&lt;br /&gt;&amp;diams; 3,7-DIMETHYL-7-HYDROXYOCTANAL&lt;br /&gt;&amp;diams; OXYDIHYDROCITRONELLAL&lt;br /&gt;&amp;diams; OCTANAL, 7-HYDROXY-3,7-DIMETHYL-&lt;br /&gt;&amp;diams; 7-HYDROXY-3,7-DIMETHYLOCTANAL</t>
  </si>
  <si>
    <t xml:space="preserve"> 7779-94-4</t>
  </si>
  <si>
    <t xml:space="preserve"> HYDROXYCITRONELLAL DIETHYL ACETAL</t>
  </si>
  <si>
    <t xml:space="preserve"> &amp;diams; HYDROXYCITRONELLAL DIETHYL ACETAL&lt;br /&gt;&amp;diams; OCTANAL, 7-HYDROXY-3,7-DIMETHYL-, DIETHYL ACETAL&lt;br /&gt;&amp;diams; 1,1-DIETHOXY-3,7-DIMETHYL-7-OCTANOL&lt;br /&gt;&amp;diams; 2-OCTANOL, 8,8-DIETHOXY-2,6-DIMETHYL-&lt;br /&gt;&amp;diams; 8,8-DIETHOXY-2,6-DIMETHYL-2-OCTANOL&lt;br /&gt;&amp;diams; 7-HYDROXY-3,7-DIMETHYLOCTANAL DIETHYL ACETAL</t>
  </si>
  <si>
    <t xml:space="preserve"> 141-92-4</t>
  </si>
  <si>
    <t xml:space="preserve"> HYDROXYCITRONELLAL DIMETHYL ACETAL</t>
  </si>
  <si>
    <t xml:space="preserve"> &amp;diams; HYDROXYCITRONELLAL DIMETHYL ACETAL&lt;br /&gt;&amp;diams; OCTANAL, 7-HYDROXY-3,7-DIMETHYL-, DIMETHYL ACETAL&lt;br /&gt;&amp;diams; 1,1-DIMETHOXY-3,7-DIMETHYL-7-OCTANOL&lt;br /&gt;&amp;diams; 2-OCTANOL, 8,8-DIMETHOXY-2,6-DIMETHYL-&lt;br /&gt;&amp;diams; 8,8-DIMETHOXY-2,6-DIMETHYL-2-OCTANOL&lt;br /&gt;&amp;diams; 7-HYDROXY-3,7-DIMETHYLOCTANAL DIMETHYL ACETAL</t>
  </si>
  <si>
    <t xml:space="preserve"> 93804-64-9</t>
  </si>
  <si>
    <t xml:space="preserve"> HYDROXYCITRONELLAL PROPYLENEGLYCOL ACETAL</t>
  </si>
  <si>
    <t xml:space="preserve"> &amp;diams; HYDROXYCITRONELLAL PROPYLENE GLYCOL ACETAL&lt;br /&gt;&amp;diams; 1,3-dioxolane-2-hexanol, alpha, alpha, epsilon, 4-tetramethyl-&lt;br /&gt;&amp;diams; alpha,alpha,epsilon,4-tetramethyl-1,3-dioxolane-2-hexanol&lt;br /&gt;&amp;diams; 7-hydroxy-3,7-dimethyloctanal propylene glycol acetal</t>
  </si>
  <si>
    <t xml:space="preserve"> 107-74-4</t>
  </si>
  <si>
    <t xml:space="preserve"> HYDROXYCITRONELLOL</t>
  </si>
  <si>
    <t xml:space="preserve"> &amp;diams; HYDROXYCITRONELLOL&lt;br /&gt;&amp;diams; CITRONELLOL HYDRATE&lt;br /&gt;&amp;diams; 3,7-DIMETHYLOCTAN-1,7-DIOL&lt;br /&gt;&amp;diams; 3,7-DIMETHYL-1,7-OCTANEDIOL&lt;br /&gt;&amp;diams; HYDROXYDIHYDROCITRONELLOL&lt;br /&gt;&amp;diams; 1,7-OCTANEDIOL, 3,7-DIMETHYL-</t>
  </si>
  <si>
    <t xml:space="preserve"> 10316-66-2</t>
  </si>
  <si>
    <t xml:space="preserve"> 2-HYDROXY-2-CYCLOHEXEN-1-ONE</t>
  </si>
  <si>
    <t xml:space="preserve"> &amp;diams; 2-HYDROXY-2-CYCLOHEXEN-1-ONE&lt;br /&gt;&amp;diams; 2-CYCLOHEXEN-1-ONE, 2-HYDROXY-&lt;br /&gt;&amp;diams; 2-HYDROXY-2-CYCLOHEXENONE</t>
  </si>
  <si>
    <t xml:space="preserve"> 27593-23-3</t>
  </si>
  <si>
    <t xml:space="preserve"> 5-HYDROXY-2,4-DECADIENOIC ACID DELTA-LACTONE</t>
  </si>
  <si>
    <t xml:space="preserve"> &amp;diams; 5-HYDROXY-2,4-DECADIENOIC ACID DELTA-LACTONE&lt;br /&gt;&amp;diams; 2H-PYRAN-2-ONE, 6-PENTYL-&lt;br /&gt;&amp;diams; 6-PENTYL-ALPHA-PYRONE&lt;br /&gt;&amp;diams; 6-PENTYL-2H-PYRAN-2-ONE&lt;br /&gt;&amp;diams; 6-PENTYL-2-PYRONE&lt;br /&gt;&amp;diams; 6-PENTYLPYRONE</t>
  </si>
  <si>
    <t xml:space="preserve"> 51154-96-2</t>
  </si>
  <si>
    <t xml:space="preserve"> 5-HYDROXY-2-DECENOIC ACID DELTA-LACTONE</t>
  </si>
  <si>
    <t xml:space="preserve"> &amp;diams; 5-HYDROXY-2-DECENOIC ACID DELTA-LACTONE&lt;br /&gt;&amp;diams; COCOLACTONE&lt;br /&gt;&amp;diams; MASSOIA LACTONE&lt;br /&gt;&amp;diams; MASSOILACTONE&lt;br /&gt;&amp;diams; 2H-PYRAN-2-ONE, 5,6-DIHYDRO-6-PENTYL-, (R)-&lt;br /&gt;&amp;diams; 5,6-DIHYDRO-6-PENTYL-2H-PYRAN-2-ONE, (R)-</t>
  </si>
  <si>
    <t xml:space="preserve"> 25524-95-2</t>
  </si>
  <si>
    <t xml:space="preserve"> 5-HYDROXY-7-DECENOIC ACID DELTA-LACTONE</t>
  </si>
  <si>
    <t xml:space="preserve"> &amp;diams; JASMINE LACTONE&lt;br /&gt;&amp;diams; 5-HYDROXY-7(Z)-DECENOIC ACID DELTA-LACTONE&lt;br /&gt;&amp;diams; 5-(2-PENTENYL)PENTANOLIDE, CIS-&lt;br /&gt;&amp;diams; 5-HYDROXY-7-DECENOIC ACID DELTA-LACTONE&lt;br /&gt;&amp;diams; 2H-PYRAN-2-ONE, TETRAHYDRO-6-(2-PENTENYL)-, (Z)-&lt;br /&gt;&amp;diams; TETRAHYDRO-6-(2-PENTENYL)-2H-PYRAN-2-ONE, (Z)-&lt;br /&gt;&amp;diams; JASMIN LACTONE&lt;br /&gt;&amp;diams; JASMOLACTONE, DELTA-</t>
  </si>
  <si>
    <t xml:space="preserve"> 53398-90-6</t>
  </si>
  <si>
    <t xml:space="preserve"> 6-HYDROXYDIHYDROTHEASPIRANE</t>
  </si>
  <si>
    <t xml:space="preserve"> &amp;diams; 6-HYDROXYDIHYDROTHEASPIRANE&lt;br /&gt;&amp;diams; 2,6,10,10-TETRAMETHYL-1-OXASPIRO(4.5)DECAN-6-OL&lt;br /&gt;&amp;diams; 1-OXASPIRO(4.5)DECAN-6-OL, 2,6,10,10-TETRAMETHYL-&lt;br /&gt;&amp;diams; 6-HYDROXY-2,6,10,10-TETRAMETHYL-1-OXASPIRO(4.5)DECANE</t>
  </si>
  <si>
    <t xml:space="preserve"> 134-96-3</t>
  </si>
  <si>
    <t xml:space="preserve"> 4-HYDROXY-3,5-DIMETHOXYBENZALDEHYDE</t>
  </si>
  <si>
    <t xml:space="preserve"> &amp;diams; SYRINGALDEHYDE&lt;br /&gt;&amp;diams; 4-HYDROXY-3,5-DIMETHOXYBENZALDEHYDE&lt;br /&gt;&amp;diams; BENZALDEHYDE, 4-HYDROXY-3,5-DIMETHOXY-&lt;br /&gt;&amp;diams; SYRINGIC ALDEHYDE&lt;br /&gt;&amp;diams; GALLALDEHYDE 3,5-DIMETHYL ETHER&lt;br /&gt;&amp;diams; 3,5-DIMETHOXY-4-HYDROXYBENZALDEHYDE</t>
  </si>
  <si>
    <t xml:space="preserve"> 3658-77-3</t>
  </si>
  <si>
    <t xml:space="preserve"> 4-HYDROXY-2,5-DIMETHYL-3(2H)-FURANONE</t>
  </si>
  <si>
    <t xml:space="preserve"> &amp;diams; 4-HYDROXY-2,5-DIMETHYL-3(2H)-FURANONE&lt;br /&gt;&amp;diams; PINEAPPLE KETONE&lt;br /&gt;&amp;diams; 2,5-DIMETHYL-4-HYDROXY-2,3-DIHYDROFURAN-3-ONE&lt;br /&gt;&amp;diams; 3(2H)-FURANONE, 4-HYDROXY-2,5-DIMETHYL-&lt;br /&gt;&amp;diams; 2,5-DIMETHYL-4-HYDROXY-3(2H)-FURANONE&lt;br /&gt;&amp;diams; 2,5-DIMETHYL-3-HYDROXY-4-OXO-4,5-DIHYDROFURAN</t>
  </si>
  <si>
    <t xml:space="preserve"> 774-64-1</t>
  </si>
  <si>
    <t xml:space="preserve"> 4-HYDROXY-2,3-DIMETHYL-2,4-NONADIENOIC ACID GAMMA LACTONE</t>
  </si>
  <si>
    <t xml:space="preserve"> &amp;diams; 4-HYDROXY-2,3-DIMETHYL-2,4-NONADIENOIC ACID GAMMA-LACTONE&lt;br /&gt;&amp;diams; 2(5H)-furanone, 3,4-dimethyl-5-pentylidene-, (5Z)-&lt;br /&gt;&amp;diams; 3,4-dimethyl-5-pentylidene-2(5H)-furanone, (5Z)-&lt;br /&gt;&amp;diams; 5-pentylidene-3,4-dimethyl-2,5-dihydrofuran-2-one&lt;br /&gt;&amp;diams; bovolide&lt;br /&gt;&amp;diams; 2,4-nonadienoic acid, 4-hydroxy-2,3-dimethyl-, gamma-lactone</t>
  </si>
  <si>
    <t xml:space="preserve"> 499-54-7</t>
  </si>
  <si>
    <t xml:space="preserve"> 6-HYDROXY-3,7-DIMETHYLOCTANOIC ACID LACTONE</t>
  </si>
  <si>
    <t xml:space="preserve"> &amp;diams; 6-HYDROXY-3,7-DIMETHYLOCTANOIC ACID LACTONE&lt;br /&gt;&amp;diams; MENTHONE LACTONE&lt;br /&gt;&amp;diams; 3,7-DIMETHYL-6-OCTANOLIDE&lt;br /&gt;&amp;diams; 2-OXEPANONE, 4-METHYL-7-(1-METHYLETHYL)-&lt;br /&gt;&amp;diams; 6-HYDROXY-3,7-DIMETHYLCAPRYLIC ACID EPSILON-LACTONE&lt;br /&gt;&amp;diams; 4-METHYL-7-(1-METHYLETHYL)-2-OXEPANONE&lt;br /&gt;&amp;diams; 4-METHYL-7-ISOPROPYL-2-OXEPANONE</t>
  </si>
  <si>
    <t xml:space="preserve"> 18679-18-0</t>
  </si>
  <si>
    <t xml:space="preserve"> (Z)-4-HYDROXY-6-DODECENOIC ACID LACTONE</t>
  </si>
  <si>
    <t xml:space="preserve"> &amp;diams; 4-HYDROXY-6-DODECENOIC ACID LACTONE, CIS-&lt;br /&gt;&amp;diams; DIHYDRO-5-(2-OCTENYL)-2(3H)-FURANONE, (Z)-&lt;br /&gt;&amp;diams; GAMMA-DODECEN-6-LACTONE, CIS-&lt;br /&gt;&amp;diams; 1,4-DODEC-6-ENOLACTONE, CIS-&lt;br /&gt;&amp;diams; 2(3H)-FURANONE, DIHYDRO-5-(2-OCTENYL)-, (Z)-&lt;br /&gt;&amp;diams; 6-DODECEN-4-OLIDE, CIS-</t>
  </si>
  <si>
    <t xml:space="preserve"> 16400-72-9</t>
  </si>
  <si>
    <t xml:space="preserve"> 5-HYDROXY-2-DODECENOIC ACID LACTONE</t>
  </si>
  <si>
    <t xml:space="preserve"> &amp;diams; 5-HYDROXY-2-DODECENOIC ACID DELTA-LACTONE&lt;br /&gt;&amp;diams; DELTA-2-DODECENOLACTONE&lt;br /&gt;&amp;diams; 2H-PYRAN-2-ONE, 6-HEPTYL-5,6-DIHYDRO-&lt;br /&gt;&amp;diams; 6-HEPTYL-5,6-DIHYDRO-2H-PYRAN-2-ONE&lt;br /&gt;&amp;diams; 5-HYDROXYDODEC-2-ENOIC ACID DELTA-LACTONE&lt;br /&gt;&amp;diams; 6-HEPTYL-5,6-DIHYDROPYRAN-2-ONE&lt;br /&gt;&amp;diams; 5-HYDROXY-2-DODECENOIC ACID LACTONE&lt;br /&gt;&amp;diams; 6-HEPTYL-5,6-DIHYDRO-2-PYRONE&lt;br /&gt;&amp;diams; 5-HEPTYL-2-PENTENE-5-OLIDE</t>
  </si>
  <si>
    <t xml:space="preserve"> 2809-21-4</t>
  </si>
  <si>
    <t xml:space="preserve"> 1-HYDROXYETHYLIDENE-1,1-DIPHOSPHONIC ACID</t>
  </si>
  <si>
    <t xml:space="preserve"> &amp;diams; ETIDRONIC ACID&lt;br /&gt;&amp;diams; 1-HYDROXYETHYLIDENE-1,1-DIPHOSPHONIC ACID&lt;br /&gt;&amp;diams; 1-HYDROXYETHANE-1,1-DIPHOSPHONIC ACID&lt;br /&gt;&amp;diams; HYDROXYETHYLIDENEDIPHOSPHONIC ACID&lt;br /&gt;&amp;diams; (1-HYDROXYETHYLIDENE)DIPHOSPHONIC ACID&lt;br /&gt;&amp;diams; PHOSPHONIC ACID, (1-HYDROXYETHYLIDENE)DI-&lt;br /&gt;&amp;diams; PHOSPHONIC ACID, (1-HYDROXYETHYLIDENE)BIS-&lt;br /&gt;&amp;diams; (1-HYDROXYETHYLIDENE)BIS(PHOSPHONIC ACID)&lt;br /&gt;&amp;diams; ETHANE-1-HYDROXY-1,1-DIPHOSPHONIC ACID&lt;br /&gt;&amp;diams; HYDROXYETHANE-1,1-DIPHOSPHONIC ACID</t>
  </si>
  <si>
    <t xml:space="preserve"> 23526-45-6</t>
  </si>
  <si>
    <t xml:space="preserve"> 4-HYDROXY-4-(3-HYDROXY-1-BUTENYL)-3,5,5-TRIMETHYL-2-CYCLOHEXEN-1-ONE</t>
  </si>
  <si>
    <t xml:space="preserve"> &amp;diams; VOMIFOLIOL&lt;br /&gt;&amp;diams; 2-cyclohexen-1-one, 4-hydroxy-4-(3-hydroxy-1-butenyl)-3,5,5-trimethyl-, (+)-&lt;br /&gt;&amp;diams; 2-cyclohexen-1-one, 4-hydroxy-4-[(1E,3R)-3-hydroxy-1-butenyl]-3,5,5-trimethyl, (4S)-&lt;br /&gt;&amp;diams; 4-hydroxy-4-(3-hydroxy-1-butenyl)-3,5,5-trimethyl-2-cyclohexen-1-one, (+)-&lt;br /&gt;&amp;diams; 4-hydroxy-4-[(1E,3R)-3-hydroxy-1-butenyl]-3,5,5-trimethyl-2-cyclohexen-1-one, (4S)-&lt;br /&gt;&amp;diams; 2-cyclohexen-1-one, 4-hydroxy-4-[(1E,3R)-3-hydroxy-1-buten-1-yl]-3,5,5-trimethyl-, (4S)-&lt;br /&gt;&amp;diams; 4-hydroxy-4-[(1E,3R)-3-hydroxy-1-buten-1-yl]-3,5,5-trimethyl-2-cyclohexen-1-one, (4S)-&lt;br /&gt;&amp;diams; roseoside aglycon&lt;br /&gt;&amp;diams; InChI=1S/C13H20O3/c1-9-7-11(15)8-12(3,4)13(9,16)6-5-10(2)14/h5-7,10,14,16H,8H2,1-4H3/b6-5+/t10-,13-/m1/s1&lt;br /&gt;&amp;diams; InChIKey: KPQMCAKZRXOZLB-KOIHBYQTSA-N</t>
  </si>
  <si>
    <t xml:space="preserve"> 55-10-7</t>
  </si>
  <si>
    <t xml:space="preserve"> HYDROXY(4-HYDROXY-3-METHOXYPHENYL)ACETIC ACID</t>
  </si>
  <si>
    <t xml:space="preserve"> &amp;diams; 4-HYDROXY-3-METHOXYMANDELIC ACID&lt;br /&gt;&amp;diams; BENZENEACETIC ACID, ALPHA,4-DIHYDROXY-3-METHOXY-&lt;br /&gt;&amp;diams; ALPHA,4-DIHYDROXY-3-METHOXYBENZENEACETIC ACID&lt;br /&gt;&amp;diams; MANDELIC ACID, 4-HYDROXY-3-METHOXY-&lt;br /&gt;&amp;diams; VANILLYLMANDELIC ACID&lt;br /&gt;&amp;diams; 3-METHOXY-4-HYDROXYMANDELIC ACID&lt;br /&gt;&amp;diams; 2-hydroxy-2-(4-hydroxy-3-methoxyphenyl) acetic acid&lt;br /&gt;&amp;diams; InChI=1S/C9H10O5/c1-14-7-4-5(2-3-6(7)10)8(11)9(12)13/h2-4,8,10-11H,1H3,(H,12,13)&lt;br /&gt;&amp;diams; InChIKey: CGQCWMIAEPEHNQ-UHFFFAOYSA-N</t>
  </si>
  <si>
    <t xml:space="preserve"> 1190230-47-7</t>
  </si>
  <si>
    <t xml:space="preserve"> 1-(2-HYDROXY-4-ISOBUTOXYPHENYL)-3-(PYRIDIN-2-YL)PROPAN-1-ONE</t>
  </si>
  <si>
    <t xml:space="preserve"> &amp;diams; 1-(2-HYDROXY-4-ISOBUTOXYPHENYL)-3-(PYRIDIN-2-YL)PROPAN-1-ONE&lt;br /&gt;&amp;diams; 1-(2-hydroxy-4-isobutoxyphenyl)-3-(2-pyridinyl)-1-propanone&lt;br /&gt;&amp;diams; 1-(2-hydroxy-4-(2-methylpropoxy)phenyl)-3-(2-pyridinyl)-1-propanone&lt;br /&gt;&amp;diams; 1-propanone, 1-(2-hydroxy-4-(2-methylpropoxy)phenyl)-3-(2-pyridinyl)-</t>
  </si>
  <si>
    <t xml:space="preserve"> 8029-76-3</t>
  </si>
  <si>
    <t xml:space="preserve"> HYDROXYLATED LECITHIN</t>
  </si>
  <si>
    <t xml:space="preserve"> &amp;diams; LECITHIN, HYDROXYLATED&lt;br /&gt;&amp;diams; HYDROXYLATED LECITHIN</t>
  </si>
  <si>
    <t xml:space="preserve"> 673-22-3</t>
  </si>
  <si>
    <t xml:space="preserve"> 2-HYDROXY-4-METHOXYBENZALDEHYDE</t>
  </si>
  <si>
    <t xml:space="preserve"> &amp;diams; 2-HYDROXY-4-METHOXYBENZALDEHYDE&lt;br /&gt;&amp;diams; benzaldehyde, 2-hydroxy-4-methoxy-&lt;br /&gt;&amp;diams; anisaldehyde, 2-hydroxy-, p-&lt;br /&gt;&amp;diams; 2-hydroxy-p-anisaldehyde&lt;br /&gt;&amp;diams; 4-methoxysalicylaldehyde&lt;br /&gt;&amp;diams; 2-formyl-5-methoxyphenol&lt;br /&gt;&amp;diams; InChI=1S/C8H8O3/c1-11-7-3-2-6(5-9)8(10)4-7/h2-5,10H,1H3&lt;br /&gt;&amp;diams; InChIKey: WZUODJNEIXSNEU-UHFFFAOYSA-N</t>
  </si>
  <si>
    <t xml:space="preserve"> 404-86-4</t>
  </si>
  <si>
    <t xml:space="preserve"> N-(4-HYDROXY-3-METHOXYBENZYL)-8-METHYL-6-NONENAMIDE</t>
  </si>
  <si>
    <t xml:space="preserve"> &amp;diams; CAPSAICIN&lt;br /&gt;&amp;diams; N-(4-HYDROXY-3-METHOXYBENZYL)-8-METHYL-6-NONENAMIDE&lt;br /&gt;&amp;diams; ISODECENOIC ACID VANILLYLAMIDE&lt;br /&gt;&amp;diams; 8-METHYL-N-VANILLYL-6-NONENAMIDE, TRANS-&lt;br /&gt;&amp;diams; N-((4-HYDROXY-3-METHOXYPHENYL)METHYL)-8-METHYL-6-NONENAMIDE, (E)-&lt;br /&gt;&amp;diams; N-(4-HYDROXY-3-METHOXYBENZYL)-8-METHYLNON-TRANS-6-ENAMIDE&lt;br /&gt;&amp;diams; N-(4-HYDROXY-3-METHOXYBENZYL)-8-METHYLNONEN-6-AMIDE&lt;br /&gt;&amp;diams; 6-NONENAMIDE, N-((4-HYDROXY-3-METHOXYPHENYL)METHYL)-8-METHYL-, (E)-&lt;br /&gt;&amp;diams; 6-NONENAMIDE, 8-METHYL-N-VANILLYL-, (E)-&lt;br /&gt;&amp;diams; 8-METHYL-N-VANILLYL-6-NONENAMIDE, (E)-&lt;br /&gt;&amp;diams; capsaicine</t>
  </si>
  <si>
    <t xml:space="preserve"> 27113-22-0</t>
  </si>
  <si>
    <t xml:space="preserve"> 1-(4-HYDROXY-3-METHOXYPHENYL)DECAN-3-ONE</t>
  </si>
  <si>
    <t xml:space="preserve"> &amp;diams; 6-GINGERONE&lt;br /&gt;&amp;diams; (6)-gingerone&lt;br /&gt;&amp;diams; (6)-paradol&lt;br /&gt;&amp;diams; 1-(4-hydroxy-3-methoxyphenyl)-3-decanone&lt;br /&gt;&amp;diams; 3-decanone, 1-(4-hydroxy-3-methoxyphenyl)-&lt;br /&gt;&amp;diams; InChI=1S/C17H26O3/c1-3-4-5-6-7-8-15(18)11-9-14-10-12-16(19)17(13-14)20-2/h10,12-13,19H,3-9,11H2,1-2H3&lt;br /&gt;&amp;diams; InChIKey: CZNLTCTYLMYLHL-UHFFFAOYSA-N</t>
  </si>
  <si>
    <t xml:space="preserve"> 1190229-37-8</t>
  </si>
  <si>
    <t xml:space="preserve"> 1-(2-HYDROXY-4-METHOXYPHENYL)-3-(PYRIDIN-2-YL)PROPAN-1-ONE</t>
  </si>
  <si>
    <t xml:space="preserve"> &amp;diams; 1-(2-HYDROXY-4-METHOXYPHENYL)-3-(PYRIDIN-2-YL)PROPAN-1-ONE&lt;br /&gt;&amp;diams; 1-(2-hydroxy-4-methoxyphenyl)-3-(2-pyridinyl)-1-propanone&lt;br /&gt;&amp;diams; 1-propanone, 1-(2-hydroxy-4-methoxyphenyl)-3-(2-pyridinyl)-</t>
  </si>
  <si>
    <t xml:space="preserve"> 1450-72-2</t>
  </si>
  <si>
    <t xml:space="preserve"> 2-HYDROXY-5-METHYLACETOPHENONE</t>
  </si>
  <si>
    <t xml:space="preserve"> &amp;diams; 2'-HYDROXY-5'-METHYLACETOPHENONE&lt;br /&gt;&amp;diams; ethanone, 1-(2-hydroxy-5-methylphenyl)-&lt;br /&gt;&amp;diams; 1-(2-hydroxy-5-methylphenyl)ethanone&lt;br /&gt;&amp;diams; acetophenone, 2'-hydroxy-5'-methyl-&lt;br /&gt;&amp;diams; 2-hydroxy-5-methylacetophenone&lt;br /&gt;&amp;diams; acetyl-p-cresol, o-&lt;br /&gt;&amp;diams; 2-acetyl-4-methylphenol&lt;br /&gt;&amp;diams; InChI=1S/C9H10O2/c1-6-3-4-9(11)8(5-6)7(2)10/h3-5,11H,1-2H3&lt;br /&gt;&amp;diams; InChIKey: YNPDFBFVMJNGKZ-UHFFFAOYSA-N</t>
  </si>
  <si>
    <t xml:space="preserve"> 698-27-1</t>
  </si>
  <si>
    <t xml:space="preserve"> 2-HYDROXY-4-METHYLBENZALDEHYDE</t>
  </si>
  <si>
    <t xml:space="preserve"> &amp;diams; 2-HYDROXY-4-METHYLBENZALDEHYDE&lt;br /&gt;&amp;diams; BENZALDEHYDE, 2-HYDROXY-4-METHYL-&lt;br /&gt;&amp;diams; HOMOSALICYLALDEHYDE, M-&lt;br /&gt;&amp;diams; 2-FORMYL-5-METHYLPHENOL&lt;br /&gt;&amp;diams; 2,4-CRESOTALDEHYDE&lt;br /&gt;&amp;diams; 4-METHYL-2-HYDROXYBENZALDEHYDE&lt;br /&gt;&amp;diams; 4-METHYLSALICYCLIC ALDEHYDE&lt;br /&gt;&amp;diams; 4-METHYLSALICYLALDEHYDE</t>
  </si>
  <si>
    <t xml:space="preserve"> 57743-63-2</t>
  </si>
  <si>
    <t xml:space="preserve"> 2-(2-HYDROXY-4-METHYL-3-CYCLOHEXENYL)PROPIONIC ACID GAMMA-LACTONE</t>
  </si>
  <si>
    <t xml:space="preserve"> &amp;diams; 2-(2-HYDROXY-4-METHYL-3-CYCLOHEXENYL)PROPIONIC ACID GAMMA-LACTONE&lt;br /&gt;&amp;diams; 2(3H)-benzofuranone, 3a,4,5,7a-tetrahydro-3, 6-dimethyl-&lt;br /&gt;&amp;diams; 3a,4,5,7a-tetrahydro-3,6-dimethylbenzofuran-2(3H)-one</t>
  </si>
  <si>
    <t xml:space="preserve"> 70851-61-5</t>
  </si>
  <si>
    <t xml:space="preserve"> 4-HYDROXY-4-METHYL-7-CIS-DECANOIC ACID GAMMA LACTONE</t>
  </si>
  <si>
    <t xml:space="preserve"> &amp;diams; 4-HYDROXY-4-METHYL-7-CIS-DECENOIC ACID GAMMA-LACTONE&lt;br /&gt;&amp;diams; 2(3H)-FURANONE, 5-(3Z)-3-HEXENYLDIHYDRO-5-METHYL-&lt;br /&gt;&amp;diams; 5-(3-HEXENYL)DIHYDRO-5-METHYL-2(3H)-FURANONE, (Z)-&lt;br /&gt;&amp;diams; 5-HEX-3-ENYLDIHYDRO-5-METHYLFURAN-2(3H)-ONE, (Z)-&lt;br /&gt;&amp;diams; 5-(CIS-3-HEXENYL)DIHYDRO-5-METHYL-2(3H)-FURANONE&lt;br /&gt;&amp;diams; 5-(3Z)-3-HEXENYLDIHYDRO-5-METHYL-2(3H)-FURANONE&lt;br /&gt;&amp;diams; 4-METHYL-CIS-7-DECENE GAMMA-LACTONE</t>
  </si>
  <si>
    <t xml:space="preserve"> 72928-52-0</t>
  </si>
  <si>
    <t xml:space="preserve"> 2-HYDROXYMETHYL-6,6-DIMETHYLBICYCLO(3.1.1)HEPT-2-ENYL FORMATE</t>
  </si>
  <si>
    <t xml:space="preserve"> &amp;diams; MYRTENYL FORMATE&lt;br /&gt;&amp;diams; 2-HYDROXYMETHYL-6,6-DIMETHYLBICYCLO(3.1.1)HEPT-2-ENYL FORMATE&lt;br /&gt;&amp;diams; BICYCLO(3.1.1)HEPT-2-ENE-2-METHANOL, 6,6-DIMETHYL-, FORMATE&lt;br /&gt;&amp;diams; 6,6-DIMETHYLBICYCLO(3.1.1)HEPT-2-ENE-2-METHYL FORMATE</t>
  </si>
  <si>
    <t xml:space="preserve"> 88-26-6</t>
  </si>
  <si>
    <t xml:space="preserve"> 4-HYDROXYMETHYL-2,6-DI-TERTBUTYLPHENOL</t>
  </si>
  <si>
    <t xml:space="preserve"> &amp;diams; 2,6-DI-TERT-BUTYL-4-(HYDROXYMETHYL)PHENOL&lt;br /&gt;&amp;diams; BENZENEMETHANOL, 3,5-BIS(1,1-DIMETHYLETHYL)-4-HYDROXY-&lt;br /&gt;&amp;diams; BENZYL ALCOHOL, 3,5-DI-TERT-BUTYL-4-HYDROXY-&lt;br /&gt;&amp;diams; BUTYLATED HYDROXYMETHYLPHENOL&lt;br /&gt;&amp;diams; BHT ALCOHOL&lt;br /&gt;&amp;diams; ALPHA-HYDROXY-2,6-DI-TERT-BUTYL-P-CRESOL&lt;br /&gt;&amp;diams; 3,5-BIS(1,1-DIMETHYLETHYL)-4-HYDROXYBENZENEMETHANOL&lt;br /&gt;&amp;diams; 3,5-DI-TERT-BUTYL-4-HYDROXYBENZYL ALCOHOL&lt;br /&gt;&amp;diams; 4-HYDROXYMETHYL-2,6-DI-TERT-BUTYLPHENOL</t>
  </si>
  <si>
    <t xml:space="preserve"> 128-50-7</t>
  </si>
  <si>
    <t xml:space="preserve"> 10-HYDROXYMETHYLENE-2-PINENE</t>
  </si>
  <si>
    <t xml:space="preserve"> &amp;diams; NOPOL&lt;br /&gt;&amp;diams; HOMOMYRTENOL&lt;br /&gt;&amp;diams; 10-(HYDROXYMETHYL)-2-PINENE&lt;br /&gt;&amp;diams; 6,6-DIMETHYL-2-NORPINENE-2-ETHANOL&lt;br /&gt;&amp;diams; 6,6-DIMETHYLBICYCLO(3.1.1)HEPT-2-ENE-2-ETHANOL&lt;br /&gt;&amp;diams; BICYCLO(3.1.1.)HEPT-2-ENE-2-ETHANOL, 6,6-DIMETHYL-&lt;br /&gt;&amp;diams; 2-NORPINENE-2-ETHANOL, 6,6-DIMETHYL-&lt;br /&gt;&amp;diams; 10-HYDROXYMETHYL-2-PINENE&lt;br /&gt;&amp;diams; 2-HYDROXYETHYL-6,6-DIMETHYLBICYCLO(3.1.1)HEPT-2-ENE</t>
  </si>
  <si>
    <t xml:space="preserve"> 19322-27-1</t>
  </si>
  <si>
    <t xml:space="preserve"> 4-HYDROXY-5-METHYL-3(2H)-FURANONE</t>
  </si>
  <si>
    <t xml:space="preserve"> &amp;diams; 4-HYDROXY-5-METHYL-3(2H)-FURANONE&lt;br /&gt;&amp;diams; 3(2H)-FURANONE, 4-HYDROXY-5-METHYL-&lt;br /&gt;&amp;diams; 4-HYDROXY-5-METHYL-2,3-DIHYDROFURAN-3-ONE&lt;br /&gt;&amp;diams; 5-METHYL-4-HYDROXY-3(2H)-FURANONE</t>
  </si>
  <si>
    <t xml:space="preserve"> 65405-68-7</t>
  </si>
  <si>
    <t xml:space="preserve"> 3-(HYDROXYMETHYL)-2-HEPTANONE</t>
  </si>
  <si>
    <t xml:space="preserve"> &amp;diams; 3-(HYDROXYMETHYL)-2-HEPTANONE&lt;br /&gt;&amp;diams; 2-HEPTANONE, 3-(HYDROXYMETHYL)-</t>
  </si>
  <si>
    <t xml:space="preserve"> 10413-18-0</t>
  </si>
  <si>
    <t xml:space="preserve"> 5-HYDROXY-4-METHYLHEXANOIC ACID DELTA-LACTONE</t>
  </si>
  <si>
    <t xml:space="preserve"> &amp;diams; 5-HYDROXY-4-METHYLHEXANOIC ACID DELTA-LACTONE&lt;br /&gt;&amp;diams; 2H-pyran-2-one, tetrahydro-5,6-dimethyl-&lt;br /&gt;&amp;diams; hexanoic acid, 5-hydroxy-4-methyl-, delta-lactone&lt;br /&gt;&amp;diams; 4-methyl-5-hydroxyhexanoic acid lactone&lt;br /&gt;&amp;diams; 5-hydroxy-4-methylhexanoic acid lactone&lt;br /&gt;&amp;diams; tetrahydro-5,6-dimethyl-2H-pyran-2-one</t>
  </si>
  <si>
    <t xml:space="preserve"> 246511-74-0</t>
  </si>
  <si>
    <t xml:space="preserve"> 2-HYDROXY-5-METHYL-3-HEXANONE</t>
  </si>
  <si>
    <t xml:space="preserve"> &amp;diams; 2-HYDROXY-5-METHYL-3-HEXANONE&lt;br /&gt;&amp;diams; 3-HEXANONE, 2-HYDROXY-5-METHYL-</t>
  </si>
  <si>
    <t xml:space="preserve"> 163038-04-8</t>
  </si>
  <si>
    <t xml:space="preserve"> 3-HYDROXY-5-METHYL-2-HEXANONE</t>
  </si>
  <si>
    <t xml:space="preserve"> &amp;diams; 3-HYDROXY-5-METHYL-2-HEXANONE&lt;br /&gt;&amp;diams; 2-HEXANONE, 3-HYDROXY-5-METHYL-</t>
  </si>
  <si>
    <t xml:space="preserve"> 1073-11-6</t>
  </si>
  <si>
    <t xml:space="preserve"> 4-HYDROXY-4-METHYL-5-HEXENOIC ACID GAMMA LACTONE</t>
  </si>
  <si>
    <t xml:space="preserve"> &amp;diams; GAMMA-VINYL-GAMMA-VALEROLACTONE&lt;br /&gt;&amp;diams; VINYL-GAMMA-VALEROLACTONE, GAMMA-&lt;br /&gt;&amp;diams; 4-METHYL-4-VINYL-4-BUTANOLIDE&lt;br /&gt;&amp;diams; 4-METHYL-4-VINYLBUTYROLACTONE&lt;br /&gt;&amp;diams; 5-ETHENYLDIHYDRO-5-METHYL-2(3H)-FURANONE&lt;br /&gt;&amp;diams; 4-hydroxy-4-methyl-5-hexenoic acid gamma-lactone&lt;br /&gt;&amp;diams; 2(3H)-furanone, 5-ethenyldihydro-5-methyl-&lt;br /&gt;&amp;diams; 2(3H)-furanone, dihydro-5-methyl-5-vinyl-&lt;br /&gt;&amp;diams; 5-methyl-5-vinyldihydrofuran-2-one&lt;br /&gt;&amp;diams; 4-methyl-5-hexen-4-olide</t>
  </si>
  <si>
    <t xml:space="preserve"> 544409-58-7</t>
  </si>
  <si>
    <t xml:space="preserve"> (+/-)-3-HYDROXY-3-METHYL-2,4-NONANEDIONE</t>
  </si>
  <si>
    <t xml:space="preserve"> &amp;diams; 2,4-nonanedione, 3-hydroxy-3-methyl-</t>
  </si>
  <si>
    <t xml:space="preserve"> 39212-23-2</t>
  </si>
  <si>
    <t xml:space="preserve"> 4-HYDROXY-3-METHYLOCTANOIC ACID LACTONE</t>
  </si>
  <si>
    <t xml:space="preserve"> &amp;diams; BETA-METHYL-GAMMA-OCTALACTONE&lt;br /&gt;&amp;diams; OAKLACTONE&lt;br /&gt;&amp;diams; QUERCUS LACTONE&lt;br /&gt;&amp;diams; WHISKEY LACTONE&lt;br /&gt;&amp;diams; 2(3H)-FURANONE, 5-BUTYLDIHYDRO-4-METHYL-&lt;br /&gt;&amp;diams; 3-METHYL-4-OCTANOLIDE&lt;br /&gt;&amp;diams; 5-BUTYLDIHYDRO-4-METHYL-2(3H)-FURANONE&lt;br /&gt;&amp;diams; 4-HYDROXY-3-METHYLOCTANOIC ACID LACTONE&lt;br /&gt;&amp;diams; 5-BUTYLDIHYDRO-4-METHYLFURAN-2(3H)-ONE</t>
  </si>
  <si>
    <t xml:space="preserve"> 59191-78-5</t>
  </si>
  <si>
    <t xml:space="preserve"> 3-(HYDROXYMETHYL)-2-OCTANONE</t>
  </si>
  <si>
    <t xml:space="preserve"> &amp;diams; 3-(HYDROXYMETHYL)-2-OCTANONE&lt;br /&gt;&amp;diams; 2-OCTANONE, 3-(HYDROXYMETHYL)-</t>
  </si>
  <si>
    <t xml:space="preserve"> 133860-42-1</t>
  </si>
  <si>
    <t xml:space="preserve"> 1-(3-HYDROXY-5-METHYL-2-THIENYL)ETHANONE</t>
  </si>
  <si>
    <t xml:space="preserve"> &amp;diams; 1-(3-HYDROXY-5-METHYL-2-THIENYL)ETHANONE&lt;br /&gt;&amp;diams; ethanone, 1-(3-hydroxy-5-methyl-2-thienyl)-</t>
  </si>
  <si>
    <t xml:space="preserve"> 3301-94-8</t>
  </si>
  <si>
    <t xml:space="preserve"> HYDROXYNONANOIC ACID, DELTA-LACTONE</t>
  </si>
  <si>
    <t xml:space="preserve"> &amp;diams; DELTA-NONALACTONE&lt;br /&gt;&amp;diams; 5-HYDROXYNONANOIC ACID DELTA-LACTONE&lt;br /&gt;&amp;diams; 5-NONALACTONE&lt;br /&gt;&amp;diams; NONALACTONE, DELTA-&lt;br /&gt;&amp;diams; 5-BUTYL-DELTA-VALEROLACTONE&lt;br /&gt;&amp;diams; 5-BUTYL-5-HYDROXYPENTANOIC ACID LACTONE&lt;br /&gt;&amp;diams; 2H-PYRAN-2-ONE, 6-BUTYLTETRAHYDRO-&lt;br /&gt;&amp;diams; 6-BUTYLTETRAHYDRO-2H-PYRAN-2-ONE&lt;br /&gt;&amp;diams; NONANOIC ACID, 5-HYDROXY-, DELTA-LACTONE&lt;br /&gt;&amp;diams; NONANOIC ACID, 5-HYDROXY-, LACTONE&lt;br /&gt;&amp;diams; 5-HYDROXYNONANOIC ACID LACTONE&lt;br /&gt;&amp;diams; 5-NONANOLIDE&lt;br /&gt;&amp;diams; DELTA-BUTYLVALEROLACTONE&lt;br /&gt;&amp;diams; DELTA-BUTYL-DELTA-VALEROLACTONE&lt;br /&gt;&amp;diams; HYDROXYNONANOIC ACID DELTA-LACTONE&lt;br /&gt;&amp;diams; DELTA-HYDROXYPELARGONIC ACID LACTONE</t>
  </si>
  <si>
    <t xml:space="preserve"> 37160-77-3</t>
  </si>
  <si>
    <t xml:space="preserve"> 3-HYDROXY-2-OCTANONE</t>
  </si>
  <si>
    <t xml:space="preserve"> &amp;diams; 3-HYDROXY-2-OCTANONE&lt;br /&gt;&amp;diams; 2-octanone, 3-hydroxy</t>
  </si>
  <si>
    <t xml:space="preserve"> 496-77-5</t>
  </si>
  <si>
    <t xml:space="preserve"> 5-HYDROXY-4-OCTANONE</t>
  </si>
  <si>
    <t xml:space="preserve"> &amp;diams; 5-HYDROXY-4-OCTANONE&lt;br /&gt;&amp;diams; BUTYROIN&lt;br /&gt;&amp;diams; 5-OCTANOL-4-ONE&lt;br /&gt;&amp;diams; 4-OCTANONE, 5-HYDROXY-&lt;br /&gt;&amp;diams; OCTAN-4-OL-5-ONE</t>
  </si>
  <si>
    <t xml:space="preserve"> 1113-60-6</t>
  </si>
  <si>
    <t xml:space="preserve"> 3-HYDROXY-2-OXOPROPIONIC ACID</t>
  </si>
  <si>
    <t xml:space="preserve"> &amp;diams; HYDROXYPYRUVIC ACID&lt;br /&gt;&amp;diams; PROPANOIC ACID, 3-HYDROXY-2-OXO-&lt;br /&gt;&amp;diams; 3-HYDROXY-2-OXOPROPANOIC ACID&lt;br /&gt;&amp;diams; BETA-HYDROXYPYRUVIC ACID&lt;br /&gt;&amp;diams; 3-HYDROXYPYRUVIC ACID&lt;br /&gt;&amp;diams; 3-HYDROXY-2-OXOPROPIONIC ACID</t>
  </si>
  <si>
    <t xml:space="preserve"> 3142-66-3</t>
  </si>
  <si>
    <t xml:space="preserve"> 3-HYDROXY-2-PENTANONE</t>
  </si>
  <si>
    <t xml:space="preserve"> &amp;diams; 3-HYDROXY-2-PENTANONE&lt;br /&gt;&amp;diams; ACETYL ETHYL CARBINOL&lt;br /&gt;&amp;diams; METHYL FURAN-2-CARBOXLATE&lt;br /&gt;&amp;diams; 2-PENTANONE, 3-HYDROXY-&lt;br /&gt;&amp;diams; 1-ACETYL-1-PROPANOL&lt;br /&gt;&amp;diams; 1-HYDROXYPROPYL METHYL KETONE</t>
  </si>
  <si>
    <t xml:space="preserve"> 591-12-8</t>
  </si>
  <si>
    <t xml:space="preserve"> 4-HYDROXY-3-PENTENOIC ACID LACTONE</t>
  </si>
  <si>
    <t xml:space="preserve"> &amp;diams; 4-HYDROXY-3-PENTENOIC ACID GAMMA-LACTONE&lt;br /&gt;&amp;diams; ANGELICA LACTONE, ALPHA-&lt;br /&gt;&amp;diams; ALPHA-ANGELICA LACTONE&lt;br /&gt;&amp;diams; 2(3H)-FURANONE, 5-METHYL-&lt;br /&gt;&amp;diams; 3-PENTENOIC ACID, 4-HYDROXY-, GAMMA-LACTONE&lt;br /&gt;&amp;diams; 5-METHYL-2(3H)-FURANONE</t>
  </si>
  <si>
    <t xml:space="preserve"> 5355-63-5</t>
  </si>
  <si>
    <t xml:space="preserve"> 3-HYDROXY-4-PHENYLBUTAN-2-ONE</t>
  </si>
  <si>
    <t xml:space="preserve"> &amp;diams; 3-HYDROXY-4-PHENYL-2-BUTANONE&lt;br /&gt;&amp;diams; 2-butanone, 3-hydroxy-4-phenyl-&lt;br /&gt;&amp;diams; 3-hydroxy-4-phenylbutan-2-one</t>
  </si>
  <si>
    <t xml:space="preserve"> 5471-51-2</t>
  </si>
  <si>
    <t xml:space="preserve"> 4-(P-HYDROXYPHENYL)-2-BUTANONE</t>
  </si>
  <si>
    <t xml:space="preserve"> &amp;diams; 4-(P-HYDROXYPHENYL)-2-BUTANONE&lt;br /&gt;&amp;diams; HYDROXYBENZYL ACETONE, P-&lt;br /&gt;&amp;diams; RASKETONE&lt;br /&gt;&amp;diams; RASPBERRY KETONE&lt;br /&gt;&amp;diams; 1-(4-HYDROXYPHENYL)-3-BUTANONE&lt;br /&gt;&amp;diams; 2-BUTANONE, 4-(4-HYDROXYPHENYL)-&lt;br /&gt;&amp;diams; 2-BUTANONE, 4-(P-HYDROXYPHENYL)-&lt;br /&gt;&amp;diams; 4-(4-HYDROXYPHENYL)-2-BUTANONE&lt;br /&gt;&amp;diams; 4-(3-OXOBUTYL)PHENOL</t>
  </si>
  <si>
    <t xml:space="preserve"> 5617-64-1</t>
  </si>
  <si>
    <t xml:space="preserve"> 2-(2-HYDROXYPHENYL) CYCLOPROPANECARBOXYLIC ACID DELTA LACTONE</t>
  </si>
  <si>
    <t xml:space="preserve"> &amp;diams; 2-(2-HYDROXYPHENYL)CYCLOPROPANECARBOXYLIC ACID DELTA-LACTONE&lt;br /&gt;&amp;diams; benzo(b)cyclopropa(d)pyran-6(6aH)-one, 7,7a-dihydro-&lt;br /&gt;&amp;diams; 7,7a-dihydrobenzo(b)cyclopropa(d)pyran-6(6aH)-one&lt;br /&gt;&amp;diams; benzo(b)cyclopropa(d)pyran-2(1aH)-one, 1,7b-dihydro-&lt;br /&gt;&amp;diams; 1,7b-dihydrobenzo(b)cyclopropa(d)pyran-2(1aH)-one&lt;br /&gt;&amp;diams; cyclopropanecarboxylic acid, 2-(2-hydroxyphenyl)-, delta-lactone&lt;br /&gt;&amp;diams; InChI=1S/C10H8O2/c11-10-8-5-7(8)6-3-1-2-4-9(6)12-10/h1-4,7-8H,5H2&lt;br /&gt;&amp;diams; InChIKey: BSNSPNHWEMGXBT-UHFFFAOYSA-N</t>
  </si>
  <si>
    <t xml:space="preserve"> 1186004-10-3</t>
  </si>
  <si>
    <t xml:space="preserve"> 1-(2-HYDROXYPHENYL)-3-(PYRIDIN-4-YL)PROPAN-1-ONE</t>
  </si>
  <si>
    <t xml:space="preserve"> &amp;diams; 1-(2-HYDROXYPHENYL)-3-(4-PYRIDINYL)-1-PROPANONE&lt;br /&gt;&amp;diams; 1-(2-hydroxyphenyl)-3-(pyridin-4-yl)propan-1-one&lt;br /&gt;&amp;diams; 1-propanone, 1-(2-hydroxyphenyl)-3-(4-pyridinyl)-&lt;br /&gt;&amp;diams; 1-(2-hydroxyphenyl)-3-(4-pyridinyl)-1-propanone</t>
  </si>
  <si>
    <t xml:space="preserve"> 490-03-9</t>
  </si>
  <si>
    <t xml:space="preserve"> (+/-)-2-HYDROXYPIPERITONE</t>
  </si>
  <si>
    <t xml:space="preserve"> &amp;diams; DIOSPHENOL&lt;br /&gt;&amp;diams; 2-HYDROXY-3-METHYL-6-(1-METHYLETHYL)-2-CYCLOHEXEN-1-ONE&lt;br /&gt;&amp;diams; 1-METHYL-4-ISOPROPYL-1-CYCLOHEXEN-2-OL-3-ONE&lt;br /&gt;&amp;diams; 2-HYDROXYPIPERITONE&lt;br /&gt;&amp;diams; 1-P-MENTHEN-2-OL-3-ONE&lt;br /&gt;&amp;diams; 2-CYCLOHEXEN-1-ONE, 2-HYDROXY-3-METHYL-6-(1-METHYLETHYL)-&lt;br /&gt;&amp;diams; BAROSMA CAMPHOR&lt;br /&gt;&amp;diams; BUCCOCAMPHOR&lt;br /&gt;&amp;diams; BUCHU CAMPHOR&lt;br /&gt;&amp;diams; 2-hydroxy-6-isopropyl-3-methylcyclohex-2-1-one</t>
  </si>
  <si>
    <t xml:space="preserve"> 51-35-4</t>
  </si>
  <si>
    <t xml:space="preserve"> L-HYDROXYPROLINE</t>
  </si>
  <si>
    <t xml:space="preserve"> &amp;diams; HYDROXYPROLINE&lt;br /&gt;&amp;diams; HYDROXY-L-PROLINE&lt;br /&gt;&amp;diams; 4-HYDROXY-L-PROLINE&lt;br /&gt;&amp;diams; L-PROLINE, 4-HYDROXY-, TRANS-&lt;br /&gt;&amp;diams; 4-HYDROXY-L-PROLINE, TRANS-&lt;br /&gt;&amp;diams; PROLINE, 4-HYDROXY-, L-</t>
  </si>
  <si>
    <t xml:space="preserve"> 9004-64-2</t>
  </si>
  <si>
    <t xml:space="preserve"> HYDROXYPROPYL CELLULOSE</t>
  </si>
  <si>
    <t xml:space="preserve"> &amp;diams; HYDROXYPROPYL CELLULOSE&lt;br /&gt;&amp;diams; CELLULOSE, 2-HYDROXYPROPYL ETHER&lt;br /&gt;&amp;diams; CELLULOSE, HYDROXYPROPYL&lt;br /&gt;&amp;diams; CELLULOSE, PROPYLENE GLYCOL ETHER&lt;br /&gt;&amp;diams; 2-HYDROXYPROPYL CELLULOSE</t>
  </si>
  <si>
    <t xml:space="preserve"> EMULSIFIER OR EMULSIFIER SALT,&lt;br /&gt; FORMULATION AID,&lt;br /&gt; STABILIZER OR THICKENER,&lt;br /&gt; TEXTURIZER</t>
  </si>
  <si>
    <t xml:space="preserve"> 9004-65-3</t>
  </si>
  <si>
    <t xml:space="preserve"> HYDROXYPROPYL METHYLCELLULOSE</t>
  </si>
  <si>
    <t xml:space="preserve"> &amp;diams; HYDROXYPROPYL METHYLCELLULOSE&lt;br /&gt;&amp;diams; CELLULOSE, 2-HYDROXYPROPYL METHYL ETHER&lt;br /&gt;&amp;diams; HYDROXYPROPYL METHYL CELLULOSE&lt;br /&gt;&amp;diams; HYPROMELLOSE&lt;br /&gt;&amp;diams; METHYL HYDROXYPROPYL CELLULOSE&lt;br /&gt;&amp;diams; METHYL CELLULOSE, PROPYLENE GLYCOL ETHER&lt;br /&gt;&amp;diams; METHYLCELLULOSE, PROPYLENE GLYCOL ETHER&lt;br /&gt;&amp;diams; 2-HYDROXYPROPYL CELLULOSE METHYL ETHER</t>
  </si>
  <si>
    <t xml:space="preserve"> ANTICAKING AGENT OR FREE-FLOW AGENT,&lt;br /&gt; DRYING AGENT,&lt;br /&gt; EMULSIFIER OR EMULSIFIER SALT,&lt;br /&gt; HUMECTANT,&lt;br /&gt; PROCESSING AID,&lt;br /&gt; STABILIZER OR THICKENER,&lt;br /&gt; SURFACE-FINISHING AGENT,&lt;br /&gt; TEXTURIZER</t>
  </si>
  <si>
    <t xml:space="preserve"> 4883-60-7</t>
  </si>
  <si>
    <t xml:space="preserve"> 2-HYDROXY-3,5,5-TRIMETHYL-2-CYCLOHEXENONE</t>
  </si>
  <si>
    <t xml:space="preserve"> &amp;diams; 2-HYDROXY-3,5,5-TRIMETHYL-2-CYCLOHEXEN-1-ONE&lt;br /&gt;&amp;diams; 3,5,5-TRIMETHYL-1,2-CYCLOHEXANEDIONE&lt;br /&gt;&amp;diams; 2-CYCLOHEXEN-1-ONE, 2-HYDROXY-3,5,5-TRIMETHYL-&lt;br /&gt;&amp;diams; 2-HYDROXYISOPHORONE&lt;br /&gt;&amp;diams; 2-HYDROXY-3,5,5-TRIMETHYL-2-CYCLOHEXENONE</t>
  </si>
  <si>
    <t xml:space="preserve"> 710-04-3</t>
  </si>
  <si>
    <t xml:space="preserve"> 5-HYDROXYUNDECANOIC ACID LACTONE</t>
  </si>
  <si>
    <t xml:space="preserve"> &amp;diams; DELTA-UNDECALACTONE&lt;br /&gt;&amp;diams; 5-HYDROXYUNDECANOIC ACID LACTONE&lt;br /&gt;&amp;diams; UNDECALACTONE, DELTA-&lt;br /&gt;&amp;diams; 5-HEXYL-5-HYDROXYPENTANOIC ACID LACTONE&lt;br /&gt;&amp;diams; DELTA-HEXYL-DELTA-VALEROLACTONE&lt;br /&gt;&amp;diams; 2H-PYRAN-2-ONE, 6-HEXYLTETRAHYDRO-&lt;br /&gt;&amp;diams; 6-HEXYLTETRAHYDRO-2H-PYRAN-2-ONE&lt;br /&gt;&amp;diams; DELTA-HEXYLVALEROLACTONE&lt;br /&gt;&amp;diams; HEXYLVALEROLACTONE, DELTA-&lt;br /&gt;&amp;diams; 5-UNDECANOLIDE&lt;br /&gt;&amp;diams; UNDECANOIC ACID, 5-HYDROXY-, DELTA-LACTONE&lt;br /&gt;&amp;diams; 5-HYDROXYUNDECANOIC ACID DELTA-LACTONE</t>
  </si>
  <si>
    <t xml:space="preserve"> 68959-28-4</t>
  </si>
  <si>
    <t xml:space="preserve"> 5-HYDROXY-8-UNDECENOIC ACID DELTA-LACTONE</t>
  </si>
  <si>
    <t xml:space="preserve"> &amp;diams; 5-HYDROXY-8-UNDECENOIC ACID DELTA-LACTONE&lt;br /&gt;&amp;diams; 2H-PYRAN-2-ONE, 6-(3-HEXENYL)TETRAHYDRO-, (Z)-&lt;br /&gt;&amp;diams; 6-(3-HEXENYL)TETRAHYDRO-2H-PYRAN-2-ONE, (Z)-</t>
  </si>
  <si>
    <t xml:space="preserve"> 84603-66-7</t>
  </si>
  <si>
    <t xml:space="preserve"> HYSSOP, EXTRACT (HYSSOPUS OFFICINALIS L.)</t>
  </si>
  <si>
    <t xml:space="preserve"> &amp;diams; HYSSOP EXTRACT&lt;br /&gt;&amp;diams; HYSSOPUS OFFICINALIS EXTRACT&lt;br /&gt;&amp;diams; HYSSOP, EXT.</t>
  </si>
  <si>
    <t xml:space="preserve"> 977001-63-0</t>
  </si>
  <si>
    <t xml:space="preserve"> HYSSOP (HYSSOPUS OFFICINALIS L.)</t>
  </si>
  <si>
    <t xml:space="preserve"> &amp;diams; HYSSOP&lt;br /&gt;&amp;diams; HYSSOPUS OFFICINALIS</t>
  </si>
  <si>
    <t xml:space="preserve"> 8006-83-5</t>
  </si>
  <si>
    <t xml:space="preserve"> HYSSOP, OIL (HYSSOPUS OFFICINALIS L.)</t>
  </si>
  <si>
    <t xml:space="preserve"> &amp;diams; HYSSOP OIL&lt;br /&gt;&amp;diams; HYSSOPUS OFFICINALIS OIL&lt;br /&gt;&amp;diams; OILS, HYSSOP</t>
  </si>
  <si>
    <t xml:space="preserve"> 977017-63-2</t>
  </si>
  <si>
    <t xml:space="preserve"> ICELAND MOSS (CETRARIA ISLANDICA ACH.)</t>
  </si>
  <si>
    <t xml:space="preserve"> &amp;diams; ICELAND MOSS&lt;br /&gt;&amp;diams; CETRARIA ISLANDICA&lt;br /&gt;&amp;diams; CETRARIA&lt;br /&gt;&amp;diams; ICELAND LICHEN&lt;br /&gt;&amp;diams; MOSS, ICELAND</t>
  </si>
  <si>
    <t xml:space="preserve"> 977060-66-4</t>
  </si>
  <si>
    <t xml:space="preserve"> IMMORTELLE, ABSOLUTE (HELICHRYSUM ANGUSTIFOLIUM DC)</t>
  </si>
  <si>
    <t xml:space="preserve"> &amp;diams; EVERLASTING ABSOLUTE&lt;br /&gt;&amp;diams; IMMORTELLE ABSOLUTE</t>
  </si>
  <si>
    <t xml:space="preserve"> 90045-56-0</t>
  </si>
  <si>
    <t xml:space="preserve"> IMMORTELLE, EXTRACT (HELICHRYSUM ANGUSTIFOLIUM DC.)</t>
  </si>
  <si>
    <t xml:space="preserve"> &amp;diams; EVERLASTING EXTRACT&lt;br /&gt;&amp;diams; IMMORTELLE EXTRACT&lt;br /&gt;&amp;diams; HELICHRYSUM ITALICUM EXTRACT&lt;br /&gt;&amp;diams; HELICHRYSUM ANGUSTIFOLIUM EXTRACT&lt;br /&gt;&amp;diams; HELICHRYSUM ANGUSTIFOLIUM, EXT.</t>
  </si>
  <si>
    <t xml:space="preserve"> 977002-32-6</t>
  </si>
  <si>
    <t xml:space="preserve"> IMPERATORIA (PEUCEDANUM OSTRUTHIUM (L.) KOCH (IMPERATORIA OSTRUTHIUM L.))</t>
  </si>
  <si>
    <t xml:space="preserve"> &amp;diams; IMPERATORIA&lt;br /&gt;&amp;diams; PEUCEDANUM OSTRUTHIUM&lt;br /&gt;&amp;diams; IMPERATORIA OSTRUTHIUM&lt;br /&gt;&amp;diams; HOGFENNEL</t>
  </si>
  <si>
    <t xml:space="preserve"> 120-72-9</t>
  </si>
  <si>
    <t xml:space="preserve"> INDOLE</t>
  </si>
  <si>
    <t xml:space="preserve"> &amp;diams; INDOLE&lt;br /&gt;&amp;diams; 2,3-BENZOPYRROLE&lt;br /&gt;&amp;diams; INDOL&lt;br /&gt;&amp;diams; 1-BENZO(B)PYRROLE&lt;br /&gt;&amp;diams; 1-BENZAZOLE&lt;br /&gt;&amp;diams; BENZOPYRROLE&lt;br /&gt;&amp;diams; 1H-INDOLE&lt;br /&gt;&amp;diams; 1-AZAINDENE</t>
  </si>
  <si>
    <t xml:space="preserve"> 87-89-8</t>
  </si>
  <si>
    <t xml:space="preserve"> INOSITOL</t>
  </si>
  <si>
    <t xml:space="preserve"> &amp;diams; INOSITOL&lt;br /&gt;&amp;diams; INOSITOL, I-&lt;br /&gt;&amp;diams; ISOINOSITOL&lt;br /&gt;&amp;diams; INOSITOL, MESO-&lt;br /&gt;&amp;diams; MEAT SUGAR&lt;br /&gt;&amp;diams; 1,2,3,4,5,6-CYCLOHEXANEHEXOL&lt;br /&gt;&amp;diams; 1,2,3,5-TRANS-4,6-CYCLOHEXANEHEXOL, CIS-&lt;br /&gt;&amp;diams; INOSITOL, MYO-&lt;br /&gt;&amp;diams; MYO-INOSITOL</t>
  </si>
  <si>
    <t xml:space="preserve"> 977085-78-1</t>
  </si>
  <si>
    <t xml:space="preserve"> INSOLUBLE GLUCOSE ISOMERASE ENZYME PREPARATIONS</t>
  </si>
  <si>
    <t xml:space="preserve"> &amp;diams; GLUCOSE ISOMERASE, ACTINOPLANES MISSOURIENSIS</t>
  </si>
  <si>
    <t xml:space="preserve"> 977122-97-6</t>
  </si>
  <si>
    <t xml:space="preserve"> INVERTASE FROM SACCHAROMYCES CEREVISIAE</t>
  </si>
  <si>
    <t xml:space="preserve"> &amp;diams; INVERTASE, SACCHAROMYCES CEREVISIAE</t>
  </si>
  <si>
    <t xml:space="preserve"> 8013-17-0</t>
  </si>
  <si>
    <t xml:space="preserve"> INVERT SUGAR</t>
  </si>
  <si>
    <t xml:space="preserve"> &amp;diams; INVERT SUGAR&lt;br /&gt;&amp;diams; SUGAR, INVERT&lt;br /&gt;&amp;diams; SUCRE INVERTI</t>
  </si>
  <si>
    <t xml:space="preserve"> FLAVOR ENHANCER,&lt;br /&gt; FLAVORING AGENT OR ADJUVANT,&lt;br /&gt; NUTRITIVE SWEETENER</t>
  </si>
  <si>
    <t xml:space="preserve"> 131.112 ,  131.170 ,  131.200 ,  131.203 ,  131.206 ,  146.140 ,  146.141 ,  146.145 ,  146.146 ,  169.175</t>
  </si>
  <si>
    <t xml:space="preserve"> 977083-54-7</t>
  </si>
  <si>
    <t xml:space="preserve"> INVERT SUGAR SYRUP</t>
  </si>
  <si>
    <t xml:space="preserve"> &amp;diams; INVERT SUGAR SYRUP&lt;br /&gt;&amp;diams; INVERT SYRUP&lt;br /&gt;&amp;diams; INVERT SUGAR SIRUP&lt;br /&gt;&amp;diams; SYRUP, INVERT SUGAR</t>
  </si>
  <si>
    <t xml:space="preserve"> ANTICAKING AGENT OR FREE-FLOW AGENT,&lt;br /&gt; DRYING AGENT,&lt;br /&gt; FLAVOR ENHANCER,&lt;br /&gt; FLAVORING AGENT OR ADJUVANT,&lt;br /&gt; FORMULATION AID,&lt;br /&gt; HUMECTANT,&lt;br /&gt; NUTRITIVE SWEETENER,&lt;br /&gt; SOLVENT OR VEHICLE</t>
  </si>
  <si>
    <t xml:space="preserve"> 131.112 ,  131.170 ,  131.200 ,  131.203 ,  131.206 ,  145.134 ,  145.180 ,  145.3 ,  146.132 ,  146.145 ,  146.146 ,  146.3 ,  155.170</t>
  </si>
  <si>
    <t xml:space="preserve"> 475-03-6</t>
  </si>
  <si>
    <t xml:space="preserve"> ALPHA-IONENE</t>
  </si>
  <si>
    <t xml:space="preserve"> &amp;diams; ALPHA-IONENE&lt;br /&gt;&amp;diams; naphthalene, 1,2,3,4-tetrahydro-1,1,6-trimethyl-&lt;br /&gt;&amp;diams; ionene (alpha-ionene)&lt;br /&gt;&amp;diams; 1,1,6-trimethyltetralin&lt;br /&gt;&amp;diams; InChI=1S/C13H18/c1-10-6-7-12-11(9-10)5-4-8-13(12,2)3/h6-7,9H,4-5,8H2,1-3H3&lt;br /&gt;&amp;diams; InChIKey: LTMQZVLXCLQPCT-UHFFFAOYSA-N</t>
  </si>
  <si>
    <t xml:space="preserve"> 977089-66-9</t>
  </si>
  <si>
    <t xml:space="preserve"> ION EXCHANGE MEMBRANES</t>
  </si>
  <si>
    <t xml:space="preserve"> &amp;diams; ION-EXCHANGE MEMBRANE</t>
  </si>
  <si>
    <t xml:space="preserve"> 977017-05-2</t>
  </si>
  <si>
    <t xml:space="preserve"> ION EXCHANGE RESIN</t>
  </si>
  <si>
    <t xml:space="preserve"> &amp;diams; ION-EXCHANGE RESIN</t>
  </si>
  <si>
    <t xml:space="preserve"> 146.148 ,  160.145</t>
  </si>
  <si>
    <t xml:space="preserve"> 25312-34-9</t>
  </si>
  <si>
    <t xml:space="preserve"> ALPHA-IONOL</t>
  </si>
  <si>
    <t xml:space="preserve"> &amp;diams; IONOL, ALPHA-&lt;br /&gt;&amp;diams; 4-(2,6,6-TRIMETHYL-2-CYCLOHEXEN-1-YL)-3-BUTEN-2-OL&lt;br /&gt;&amp;diams; 3-BUTEN-2-OL, 4-(2,6,6-TRIMETHYL-2-CYCLOHEXEN-1-YL)-&lt;br /&gt;&amp;diams; 4-(2,6,6-TRIMETHYL-2-CYCLOHEXENYL)-3-BUTEN-2-OL</t>
  </si>
  <si>
    <t xml:space="preserve"> 22029-76-1</t>
  </si>
  <si>
    <t xml:space="preserve"> BETA-IONOL</t>
  </si>
  <si>
    <t xml:space="preserve"> &amp;diams; IONOL, BETA-&lt;br /&gt;&amp;diams; 4-(2,6,6-TRIMETHYL-1-CYCLOHEXEN-1-YL)-3-BUTEN-2-OL&lt;br /&gt;&amp;diams; 3-BUTEN-2-OL, 4-(2,6,6-TRIMETHYL-1-CYCLOHEXEN-1-YL)-&lt;br /&gt;&amp;diams; 4-(2,6,6-TRIMETHYL-1-CYCLOHEXENYL)-3-BUTEN-2-OL&lt;br /&gt;&amp;diams; 2-HYDROXY-BETA-IONONE</t>
  </si>
  <si>
    <t xml:space="preserve"> 127-41-3</t>
  </si>
  <si>
    <t xml:space="preserve"> ALPHA-IONONE</t>
  </si>
  <si>
    <t xml:space="preserve"> &amp;diams; IONONE, ALPHA-&lt;br /&gt;&amp;diams; 4-(2,6,6-TRIMETHYL-2-CYCLOHEXEN-1-YL)-3-BUTEN-2-ONE, (E)-&lt;br /&gt;&amp;diams; CYCLOCITRYLIDENEACETONE, ALPHA-&lt;br /&gt;&amp;diams; 3-BUTEN-2-ONE, 4-(2,6,6-TRIMETHYL-2-CYCLOHEXEN-1-YL)-, (E)-</t>
  </si>
  <si>
    <t xml:space="preserve"> 14901-07-6</t>
  </si>
  <si>
    <t xml:space="preserve"> BETA-IONONE</t>
  </si>
  <si>
    <t xml:space="preserve"> &amp;diams; IONONE, BETA-&lt;br /&gt;&amp;diams; 4-(2,6,6-TRIMETHYL-1-CYCLOHEXEN-1-YL)-3-BUTEN-2-ONE&lt;br /&gt;&amp;diams; CYCLOCITRYLIDENEACETONE, BETA-&lt;br /&gt;&amp;diams; 3-BUTEN-2-ONE, 4-(2,6,6-TRIMETHYL-1-CYCLOHEXEN-1-YL)-</t>
  </si>
  <si>
    <t xml:space="preserve"> 23267-57-4</t>
  </si>
  <si>
    <t xml:space="preserve"> BETA-IONONE EPOXIDE</t>
  </si>
  <si>
    <t xml:space="preserve"> &amp;diams; BETA-IONONE EPOXIDE&lt;br /&gt;&amp;diams; 3-buten-2-one, 4-(2,2,6-trimethyl-7-oxabicyclo(4.1.0)hept-1-yl)-&lt;br /&gt;&amp;diams; 4-(2,2,6-trimethyl-7-oxabicyclo(4.1.0)hept-1-yl)-3-buten-2-one&lt;br /&gt;&amp;diams; 4-(1,2-epoxy-2,6,6-trimethylcyclohexyl)-3-butenone-2&lt;br /&gt;&amp;diams; 5,6-epoxy-beta-ionone&lt;br /&gt;&amp;diams; beta-ionone 5,6-epoxide&lt;br /&gt;&amp;diams; InChI=1S/C13H20O2/c1-10(14)6-9-13-11(2,3)7-5-8-12(13,4)15-13/h6,9H,5,7-8H2,1-4H3&lt;br /&gt;&amp;diams; InChIKey: ZTJZJYUGOJYHCU-UHFFFAOYSA-N</t>
  </si>
  <si>
    <t xml:space="preserve"> 79-76-5</t>
  </si>
  <si>
    <t xml:space="preserve"> GAMMA-IONONE</t>
  </si>
  <si>
    <t xml:space="preserve"> &amp;diams; IONONE, GAMMA-&lt;br /&gt;&amp;diams; 4-(2,2-DIMETHYL-6-METHYLENECYCLOHEXYL)-3-BUTEN-2-ONE&lt;br /&gt;&amp;diams; 4-(2-METHYLENE-6,6-DIMETHYLCYCLOHEXYL)-3-BUTEN-2-ONE&lt;br /&gt;&amp;diams; 3-BUTEN-2-ONE, 4-(2,2-DIMETHYL-6-METHYLENECYCLOHEXYL)-</t>
  </si>
  <si>
    <t xml:space="preserve"> 22030-19-9</t>
  </si>
  <si>
    <t xml:space="preserve"> BETA-IONYL ACETATE</t>
  </si>
  <si>
    <t xml:space="preserve"> &amp;diams; IONYL ACETATE, BETA-&lt;br /&gt;&amp;diams; 3-BUTEN-2-OL, 4-(2,6,6-TRIMETHYL-1-CYLOHEXEN-1-YL)-, ACETATE&lt;br /&gt;&amp;diams; 4-(2,6,6-TRIMETHYL-1-CYCLOHEXEN-1-YL)-3-BUTEN-2-YL ACETATE</t>
  </si>
  <si>
    <t xml:space="preserve"> 1185-57-5</t>
  </si>
  <si>
    <t xml:space="preserve"> IRON AMMONIUM CITRATE</t>
  </si>
  <si>
    <t xml:space="preserve"> &amp;diams; AMMONIUM IRON(III) CITRATE&lt;br /&gt;&amp;diams; AMMONIUM FERRIC CITRATE&lt;br /&gt;&amp;diams; AMMONIUM IRON(3+) CITRATE&lt;br /&gt;&amp;diams; AMMONIUM IRON(3+) 2-HYDROXY-1,2,3-PROPANETRICARBOXYLATE&lt;br /&gt;&amp;diams; FERRIC AMMONIUM CITRATE, GREEN&lt;br /&gt;&amp;diams; CITRIC ACID, AMMONIUM IRON(3+) SALT&lt;br /&gt;&amp;diams; FERRIC AMMONIUM CITRATE&lt;br /&gt;&amp;diams; IRON(III) AMMONIUM CITRATE&lt;br /&gt;&amp;diams; IRON AMMONIUM CITRATE, GREEN&lt;br /&gt;&amp;diams; 1,2,3-PROPANETRICARBOXYLIC ACID, 2-HYDROXY-, AMMONIUM IRON(3+) SALT</t>
  </si>
  <si>
    <t xml:space="preserve"> ANTICAKING AGENT OR FREE-FLOW AGENT</t>
  </si>
  <si>
    <t xml:space="preserve"> 6535-20-2</t>
  </si>
  <si>
    <t xml:space="preserve"> IRON CAPRYLATE</t>
  </si>
  <si>
    <t xml:space="preserve"> &amp;diams; IRON OCTANOATE&lt;br /&gt;&amp;diams; IRON CAPRYLATE&lt;br /&gt;&amp;diams; OCTANOIC ACID, IRON SALT&lt;br /&gt;&amp;diams; IRON OCTOATE</t>
  </si>
  <si>
    <t xml:space="preserve"> 1336-80-7</t>
  </si>
  <si>
    <t xml:space="preserve"> IRON-CHOLINE CITRATE COMPLEX</t>
  </si>
  <si>
    <t xml:space="preserve"> &amp;diams; FERROCHOLINATE&lt;br /&gt;&amp;diams; IRON CHOLINE CITRATE&lt;br /&gt;&amp;diams; IRON-CHOLINE CITRATE COMPLEX&lt;br /&gt;&amp;diams; FERROCHOLINATE CITRATE&lt;br /&gt;&amp;diams; ETHANAMINIUM, 2-HYDROXY-N,N,N-TRIMETHYL-, (OC-6-44)-TRIAQUA(2-HYDROXY-1,2,3-PROPANETRICARBOXYLATO(4-))FERRATE(1-)&lt;br /&gt;&amp;diams; FERRATE(1-), TRIAQUA(2-HYDROXY-1,2,3-PROPANETRICARBOXYLATO(4-))-, (OC-6-44)-, 2-HYDROXY-N,N,N-TRIMETHYLETHANAMINIUM&lt;br /&gt;&amp;diams; 2-HYDROXY-1,2,3-PROPANETRICARBOXYLIC ACID, IRON COMPLEX&lt;br /&gt;&amp;diams; 2-HYDROXY-N,N,N-TRIMETHYLETHANAMINIUM TRIAQUA(2-HYDROXY-1,2,3-TRICARBOXYLATOFERRATE, (OC-6-44)&lt;br /&gt;&amp;diams; IRON 2-HYDROXY-1,2,3-PROPANETRICARBOXYLATE COMPLEX&lt;br /&gt;&amp;diams; FERRIC CHOLINE CITRATE</t>
  </si>
  <si>
    <t xml:space="preserve"> 2338-05-8</t>
  </si>
  <si>
    <t xml:space="preserve"> IRON CITRATE</t>
  </si>
  <si>
    <t xml:space="preserve"> &amp;diams; IRON CITRATE&lt;br /&gt;&amp;diams; 1,2,3-PROPANETRICARBOXYLIC ACID, 2-HYDROXY-, IRON SALT&lt;br /&gt;&amp;diams; IRON 2-HYDROXY-1,2,3-PROPANETRICARBOXYLATE&lt;br /&gt;&amp;diams; CITRIC ACID, IRON SALT</t>
  </si>
  <si>
    <t xml:space="preserve"> 79-69-6</t>
  </si>
  <si>
    <t xml:space="preserve"> ALPHA-IRONE</t>
  </si>
  <si>
    <t xml:space="preserve"> &amp;diams; ALPHA-IRONE&lt;br /&gt;&amp;diams; 4-(2,5,6,6-TETRAMETHYL-2-CYCLOHEXEN-1-YL)-3-BUTEN-2-ONE&lt;br /&gt;&amp;diams; 6-METHYL-ALPHA-IONONE&lt;br /&gt;&amp;diams; IRONE, ALPHA-&lt;br /&gt;&amp;diams; CYCLOCITRYLIDENEMETHYL ETHYL KETONE, ALPHA-&lt;br /&gt;&amp;diams; 2,6-CIS-(2(1),2(2))-ALPHA-IONONE, CIS-&lt;br /&gt;&amp;diams; 3-BUTEN-2-ONE, 4-(2,5,6,6-TETRAMETHYL-2-CYCLOHEXEN-1-YL)-&lt;br /&gt;&amp;diams; InChI=1S/C14H22O/c1-10-6-7-11(2)14(4,5)13(10)9-8-12(3)15/h6,8-9,11,13H,7H2,1-5H3/b9-8+/t11-,13+/m1/s1&lt;br /&gt;&amp;diams; InChIKey=JZQOJFLIJNRDHK-UZPJXDOOSA-N</t>
  </si>
  <si>
    <t xml:space="preserve"> 7439-89-6</t>
  </si>
  <si>
    <t xml:space="preserve"> IRON, ELEMENTAL</t>
  </si>
  <si>
    <t xml:space="preserve"> &amp;diams; IRON&lt;br /&gt;&amp;diams; IRON, ELEMENTAL</t>
  </si>
  <si>
    <t xml:space="preserve"> 7779-63-7</t>
  </si>
  <si>
    <t xml:space="preserve"> IRON LINOLEATE</t>
  </si>
  <si>
    <t xml:space="preserve"> &amp;diams; IRON LINOLEATE&lt;br /&gt;&amp;diams; 9,12-OCTADECADIENOIC ACID (Z,Z)-, IRON SALT&lt;br /&gt;&amp;diams; IRON 9,12-OCTADECADIENOATE, (Z,Z)-&lt;br /&gt;&amp;diams; LINOLEIC ACID, IRON SALT</t>
  </si>
  <si>
    <t xml:space="preserve"> 1338-14-3</t>
  </si>
  <si>
    <t xml:space="preserve"> IRON NAPHTHENATE</t>
  </si>
  <si>
    <t xml:space="preserve"> &amp;diams; IRON NAPHTHENATE&lt;br /&gt;&amp;diams; NAPHTHENIC ACIDS, IRON SALTS</t>
  </si>
  <si>
    <t xml:space="preserve"> 1332-37-2</t>
  </si>
  <si>
    <t xml:space="preserve"> IRON OXIDE</t>
  </si>
  <si>
    <t xml:space="preserve"> &amp;diams; IRON OXIDE&lt;br /&gt;&amp;diams; IRON OXIDE, SYNTHETIC&lt;br /&gt;&amp;diams; SYNTHETIC IRON OXIDE</t>
  </si>
  <si>
    <t xml:space="preserve"> COLOR OR COLORING ADJUNCT,&lt;br /&gt; SURFACE-FINISHING AGENT</t>
  </si>
  <si>
    <t xml:space="preserve"> 977009-72-5</t>
  </si>
  <si>
    <t xml:space="preserve"> IRON PEPTONATE</t>
  </si>
  <si>
    <t xml:space="preserve"> &amp;diams; IRON, PEPTONIZED&lt;br /&gt;&amp;diams; IRON PEPTONATE</t>
  </si>
  <si>
    <t xml:space="preserve"> 977125-47-5</t>
  </si>
  <si>
    <t xml:space="preserve"> IRON POLYVINYLPYRROLIDONE</t>
  </si>
  <si>
    <t xml:space="preserve"> &amp;diams; IRON POVIDONE&lt;br /&gt;&amp;diams; IRON POLYVINYLPYRROLIDONE&lt;br /&gt;&amp;diams; IRON PVP</t>
  </si>
  <si>
    <t xml:space="preserve"> 61788-81-6</t>
  </si>
  <si>
    <t xml:space="preserve"> IRON TALLATE</t>
  </si>
  <si>
    <t xml:space="preserve"> &amp;diams; TALL OIL FATTY ACIDS, IRON SALTS&lt;br /&gt;&amp;diams; FATTY ACIDS, TALL-OIL, IRON SALTS&lt;br /&gt;&amp;diams; IRON TALLATE&lt;br /&gt;&amp;diams; IRON TALL-OIL FATTY ACIDS</t>
  </si>
  <si>
    <t xml:space="preserve"> 28645-51-4</t>
  </si>
  <si>
    <t xml:space="preserve"> ISOAMBRETTOLIDE</t>
  </si>
  <si>
    <t xml:space="preserve"> &amp;diams; ISOAMBRETTOLIDE&lt;br /&gt;&amp;diams; delta9-isoambrettolic acid, lactone&lt;br /&gt;&amp;diams; 9-hexadecenoic acid, 16-hydroxy-, omega-lactone&lt;br /&gt;&amp;diams; oxacycloheptadec-10-en-2-one&lt;br /&gt;&amp;diams; 16-hydroxy-, 9-hexadecenoic acid, omega-lactone&lt;br /&gt;&amp;diams; InChI=1S/C16H28O2/c17-16-14-12-10-8-6-4-2-1-3-5-7-9-11-13-15-18-16/h1,3H,2,4-15H2/b3-1-&lt;br /&gt;&amp;diams; InChiKey=QILMAYXCYBTEDM-IWQZZHSRSA-N</t>
  </si>
  <si>
    <t xml:space="preserve"> 123-92-2</t>
  </si>
  <si>
    <t xml:space="preserve"> ISOAMYL ACETATE</t>
  </si>
  <si>
    <t xml:space="preserve"> &amp;diams; ISOAMYL ACETATE&lt;br /&gt;&amp;diams; 3-METHYL-1-BUTYL ACETATE&lt;br /&gt;&amp;diams; 3-METHYLBUTYL ETHANOATE&lt;br /&gt;&amp;diams; ISOPENTYL ACETATE&lt;br /&gt;&amp;diams; BETA-METHYLBUTYL ACETATE&lt;br /&gt;&amp;diams; AMYL ACETATE, COMMON&lt;br /&gt;&amp;diams; ISOAMYL ETHANOATE&lt;br /&gt;&amp;diams; 3-METHYLBUTYL ACETATE&lt;br /&gt;&amp;diams; 1-BUTANOL, 3-METHYL-, ACETATE&lt;br /&gt;&amp;diams; ISOPENTYL ALCOHOL, ACETATE</t>
  </si>
  <si>
    <t xml:space="preserve"> 2308-18-1</t>
  </si>
  <si>
    <t xml:space="preserve"> ISOAMYL ACETOACETATE</t>
  </si>
  <si>
    <t xml:space="preserve"> &amp;diams; ISOAMYL ACETOACETATE&lt;br /&gt;&amp;diams; ISOPENTYL ACETOACETATE&lt;br /&gt;&amp;diams; 3-METHYLBUTYL 3-OXOBUTANOATE&lt;br /&gt;&amp;diams; 3-METHYLBUTYL ACETOACETATE&lt;br /&gt;&amp;diams; ISOPENTYL BETA-KETOBUTYRATE&lt;br /&gt;&amp;diams; ISOPENTYL 3-OXOBUTANOATE&lt;br /&gt;&amp;diams; ISOAMYL 3-OXOBUTANOATE&lt;br /&gt;&amp;diams; ISOAMYL BETA-KETOBUTYRATE&lt;br /&gt;&amp;diams; 3-METHYLBUTYL BETA-KETOBUTYRATE&lt;br /&gt;&amp;diams; ISOAMYL ACETYLACETATE&lt;br /&gt;&amp;diams; BUTANOIC ACID, 3-OXO-, 3-METHYLBUTYL ESTER&lt;br /&gt;&amp;diams; ACETOACETIC ACID, ISOPENTYL ESTER</t>
  </si>
  <si>
    <t xml:space="preserve"> 123-51-3</t>
  </si>
  <si>
    <t xml:space="preserve"> ISOAMYL ALCOHOL</t>
  </si>
  <si>
    <t xml:space="preserve"> &amp;diams; ISOAMYL ALCOHOL&lt;br /&gt;&amp;diams; 3-METHYL-1-BUTANOL&lt;br /&gt;&amp;diams; ISOPENTANOL&lt;br /&gt;&amp;diams; ISOPENTYL ALCOHOL&lt;br /&gt;&amp;diams; 3-METHYLBUTANOL&lt;br /&gt;&amp;diams; ISOBUTYLCARBINOL&lt;br /&gt;&amp;diams; 1-BUTANOL, 3-METHYL-&lt;br /&gt;&amp;diams; ISOAMYLOL</t>
  </si>
  <si>
    <t xml:space="preserve"> 94-46-2</t>
  </si>
  <si>
    <t xml:space="preserve"> ISOAMYL BENZOATE</t>
  </si>
  <si>
    <t xml:space="preserve"> &amp;diams; ISOAMYL BENZOATE&lt;br /&gt;&amp;diams; ISOPENTYL BENZOATE&lt;br /&gt;&amp;diams; 3-METHYLBUTYL BENZOATE&lt;br /&gt;&amp;diams; 1-BUTANOL, 3-METHYL-, BENZOATE&lt;br /&gt;&amp;diams; 3-METHYL-1-BUTYL BENZOATE&lt;br /&gt;&amp;diams; ISOPENTYL ALCOHOL, BENZOATE</t>
  </si>
  <si>
    <t xml:space="preserve"> 106-27-4</t>
  </si>
  <si>
    <t xml:space="preserve"> ISOAMYL BUTYRATE</t>
  </si>
  <si>
    <t xml:space="preserve"> &amp;diams; ISOAMYL BUTYRATE&lt;br /&gt;&amp;diams; ISOPENTYL BUTYRATE&lt;br /&gt;&amp;diams; ISOPENTYL BUTANOATE&lt;br /&gt;&amp;diams; ISOAMYL BUTANOATE&lt;br /&gt;&amp;diams; 3-METHYLBUTYL BUTANOATE&lt;br /&gt;&amp;diams; BUTANOIC ACID, 3-METHYLBUTYL ESTER&lt;br /&gt;&amp;diams; BUTYRIC ACID, ISOPENTYL ESTER&lt;br /&gt;&amp;diams; ISOPENTYL ALCOHOL, BUTYRATE&lt;br /&gt;&amp;diams; 3-METHYLBUTYL BUTYRATE&lt;br /&gt;&amp;diams; ISOAMYL BUTYLATE</t>
  </si>
  <si>
    <t xml:space="preserve"> 7779-65-9</t>
  </si>
  <si>
    <t xml:space="preserve"> ISOAMYL CINNAMATE</t>
  </si>
  <si>
    <t xml:space="preserve"> &amp;diams; ISOAMYL CINNAMATE&lt;br /&gt;&amp;diams; ISOPENTYL CINNAMATE&lt;br /&gt;&amp;diams; ISOPENTYL 3-PHENYLPROPENOATE&lt;br /&gt;&amp;diams; ISOPENTYL 3-PHENYLACRYLATE&lt;br /&gt;&amp;diams; ISOAMYL BETA-PHENYLACRYLATE&lt;br /&gt;&amp;diams; ISOPENTYL BETA-PHENYLACRYLATE&lt;br /&gt;&amp;diams; 2-PROPENOIC ACID, 3-PHENYL-, 3-METHYLBUTYL ESTER&lt;br /&gt;&amp;diams; 3-METHYLBUTYL 3-PHENYL-2-PROPENOATE&lt;br /&gt;&amp;diams; CINNAMIC ACID, ISOPENTYL ESTER&lt;br /&gt;&amp;diams; ISOPENTYL ALCOHOL, CINNAMATE</t>
  </si>
  <si>
    <t xml:space="preserve"> 110-45-2</t>
  </si>
  <si>
    <t xml:space="preserve"> ISOAMYL FORMATE</t>
  </si>
  <si>
    <t xml:space="preserve"> &amp;diams; ISOAMYL FORMATE&lt;br /&gt;&amp;diams; ISOPENTYL FORMATE&lt;br /&gt;&amp;diams; ISOPENTYL METHANOATE&lt;br /&gt;&amp;diams; ISOAMYL METHANOATE&lt;br /&gt;&amp;diams; 1-BUTANOL, 3-METHYL-, FORMATE&lt;br /&gt;&amp;diams; 3-METHYL-1-BUTYL FORMATE&lt;br /&gt;&amp;diams; 3-METHYLBUTYL FORMATE&lt;br /&gt;&amp;diams; ISOPENTYL ALCOHOL, FORMATE</t>
  </si>
  <si>
    <t xml:space="preserve"> 7779-66-0</t>
  </si>
  <si>
    <t xml:space="preserve"> ISOAMYL 4-(2-FURAN)BUTYRATE</t>
  </si>
  <si>
    <t xml:space="preserve"> &amp;diams; ISOAMYL 4-(2-FURAN)BUTYRATE&lt;br /&gt;&amp;diams; ALPHA-ISOAMYL FURFURYLPROPIONATE&lt;br /&gt;&amp;diams; ISOAMYL 2-FURANBUTYRATE&lt;br /&gt;&amp;diams; ISOAMYL 4-(2-FURYL)BUTYRATE&lt;br /&gt;&amp;diams; ISOPENTYL 2-FURANBUTYRATE&lt;br /&gt;&amp;diams; 3-METHYLBUTYL 2-FURANBUTANOATE&lt;br /&gt;&amp;diams; 3-METHYLBUTYL 2-FURANBUTYRATE&lt;br /&gt;&amp;diams; 3-METHYLBUTYL 2-FURYLBUTYRATE&lt;br /&gt;&amp;diams; 2-FURANBUTANOIC ACID, 3-METHYLBUTYL ESTER&lt;br /&gt;&amp;diams; 2-FURANBUTYRIC ACID, ISOPENTYL ESTER</t>
  </si>
  <si>
    <t xml:space="preserve"> 7779-67-1</t>
  </si>
  <si>
    <t xml:space="preserve"> ISOAMYL 3-(2-FURAN)PROPIONATE</t>
  </si>
  <si>
    <t xml:space="preserve"> &amp;diams; ISOAMYL 3-(2-FURAN)PROPIONATE&lt;br /&gt;&amp;diams; ALPHA-ISOAMYL FURFURYLACETATE&lt;br /&gt;&amp;diams; ISOAMYL 2-FURANPROPIONATE&lt;br /&gt;&amp;diams; ISOAMYL 2-FURYLPROPIONATE&lt;br /&gt;&amp;diams; ISOAMYL 3-(2-FURYL)PROPIONATE&lt;br /&gt;&amp;diams; ISOPENTYL 2-FURANPROPIONATE&lt;br /&gt;&amp;diams; ISOAMYL FURYLPROPANOATE&lt;br /&gt;&amp;diams; 3-METHYLBUTYL 2-FURANPROPANOATE&lt;br /&gt;&amp;diams; 3-METHYLBUTYL 3-(2-FURYL)PROPIONATE&lt;br /&gt;&amp;diams; 2-FURANPROPANOIC ACID, 3-METHYLBUTYL ESTER&lt;br /&gt;&amp;diams; 2-FURANPROPIONIC ACID, ISOPENTYL ESTER</t>
  </si>
  <si>
    <t xml:space="preserve"> 2198-61-0</t>
  </si>
  <si>
    <t xml:space="preserve"> ISOAMYL HEXANOATE</t>
  </si>
  <si>
    <t xml:space="preserve"> &amp;diams; ISOAMYL HEXANOATE&lt;br /&gt;&amp;diams; ISOAMYL CAPROATE&lt;br /&gt;&amp;diams; ISOPENTYL CAPROATE&lt;br /&gt;&amp;diams; ISOPENTYL HEXANOATE&lt;br /&gt;&amp;diams; HEXANOIC ACID, 3-METHYLBUTYL ESTER&lt;br /&gt;&amp;diams; 3-METHYLBUTYL HEXANOATE&lt;br /&gt;&amp;diams; HEXANOIC ACID, ISOPENTYL ESTER&lt;br /&gt;&amp;diams; ISOPENTYL ALCOHOL, HEXANOATE</t>
  </si>
  <si>
    <t xml:space="preserve"> 2050-01-3</t>
  </si>
  <si>
    <t xml:space="preserve"> ISOAMYL ISOBUTYRATE</t>
  </si>
  <si>
    <t xml:space="preserve"> &amp;diams; ISOAMYL ISOBUTYRATE&lt;br /&gt;&amp;diams; ISOPENTYL ISOBUTYRATE&lt;br /&gt;&amp;diams; 3-METHYLBUTYL 2-METHYLPROPANOATE&lt;br /&gt;&amp;diams; ISOAMYL 2-METHYLPROPANOATE&lt;br /&gt;&amp;diams; ISOPENTYL 2-METHYLPROPANOATE&lt;br /&gt;&amp;diams; PROPANOIC ACID, 2-METHYL-, 3-METHYLBUTYL ESTER&lt;br /&gt;&amp;diams; ISOBUTYRIC ACID, ISOPENTYL ESTER&lt;br /&gt;&amp;diams; ISOPENTYL ALCOHOL, ISOBUTYRATE&lt;br /&gt;&amp;diams; 3-METHYLBUTYL ISOBUTYRATE&lt;br /&gt;&amp;diams; 3-METHYL-1-BUTYL ISOBUTYRATE</t>
  </si>
  <si>
    <t xml:space="preserve"> 628-03-5</t>
  </si>
  <si>
    <t xml:space="preserve"> ISOAMYL ISOTHIOCYANATE</t>
  </si>
  <si>
    <t xml:space="preserve"> &amp;diams; ISOAMYL ISOTHIOCYANATE&lt;br /&gt;&amp;diams; butane, 1-isothiocyanato-3-methyl-&lt;br /&gt;&amp;diams; 1-isothiocyanato-3-methylbutane&lt;br /&gt;&amp;diams; isothiocyanic acid, isopentyl ester&lt;br /&gt;&amp;diams; isopentyl isothiocyanate&lt;br /&gt;&amp;diams; InChI=1S/C6H11NS/c1-6(2)3-4-7-5-8/h6H,3-4H2,1-2H3&lt;br /&gt;&amp;diams; InChIKey: JATNWMBUDXLMEO-UHFFFAOYSA-N</t>
  </si>
  <si>
    <t xml:space="preserve"> 659-70-1</t>
  </si>
  <si>
    <t xml:space="preserve"> ISOAMYL ISOVALERATE</t>
  </si>
  <si>
    <t xml:space="preserve"> &amp;diams; ISOAMYL ISOVALERATE&lt;br /&gt;&amp;diams; ISOAMYL ISOVALERIANATE&lt;br /&gt;&amp;diams; ISOPENTYL ISOVALERATE&lt;br /&gt;&amp;diams; ISOPENTYL ISOPENTANOATE&lt;br /&gt;&amp;diams; ISOAMYL 3-METHYLBUTANOATE&lt;br /&gt;&amp;diams; ISOAMYL ISOPENTANOATE&lt;br /&gt;&amp;diams; 3-METHYLBUTYL 3-METHYLBUTYRATE&lt;br /&gt;&amp;diams; 3-METHYLBUTYL 3-METHYLBUTANOATE&lt;br /&gt;&amp;diams; ISOPENTYL 3-METHYLBUTANOATE&lt;br /&gt;&amp;diams; BUTANOIC ACID, 3-METHYL-, 3-METHYLBUTYL ESTER&lt;br /&gt;&amp;diams; ISOVALERIC ACID, ISOPENTYL ESTER&lt;br /&gt;&amp;diams; ISOPENTYL ALCOHOL, ISOVALERATE&lt;br /&gt;&amp;diams; ISOPENTYL 3-METHYLBUTYRATE&lt;br /&gt;&amp;diams; ISOAMYL 3-METHYLBUTYRATE&lt;br /&gt;&amp;diams; 3-METHYLBUTYL ISOVALERATE</t>
  </si>
  <si>
    <t xml:space="preserve"> 6309-51-9</t>
  </si>
  <si>
    <t xml:space="preserve"> ISOAMYL LAURATE</t>
  </si>
  <si>
    <t xml:space="preserve"> &amp;diams; ISOAMYL LAURATE&lt;br /&gt;&amp;diams; ISOAMYL DODECANOATE&lt;br /&gt;&amp;diams; ISOPENTYL LAURATE&lt;br /&gt;&amp;diams; ISOPENTYL DODECANOATE&lt;br /&gt;&amp;diams; ISOPENTYL DODECYLATE&lt;br /&gt;&amp;diams; DODECANOIC ACID, 3-METHYLBUTYL ESTER&lt;br /&gt;&amp;diams; 3-METHYLBUTYL DODECANOATE&lt;br /&gt;&amp;diams; LAURIC ACID, ISOPENTYL ESTER</t>
  </si>
  <si>
    <t xml:space="preserve"> 71172-75-3</t>
  </si>
  <si>
    <t xml:space="preserve"> ISOAMYL LEVULINATE</t>
  </si>
  <si>
    <t xml:space="preserve"> &amp;diams; ISOAMYL LEVULINATE&lt;br /&gt;&amp;diams; pentanoic acid, 4-oxo-, 3-methylbutyl ester&lt;br /&gt;&amp;diams; 3-methylbutyl 4-oxopentanoate&lt;br /&gt;&amp;diams; levulinic acid, isopentyl ester&lt;br /&gt;&amp;diams; isopentyl levulinate&lt;br /&gt;&amp;diams; InChI=1S/C10H18O3/c1-8(2)6-7-13-10(12)5-4-9(3)11/h8H,4-7H2,1-3H3&lt;br /&gt;&amp;diams; InChIKey: NYIALINCMIXBSP-UHFFFAOYSA-N</t>
  </si>
  <si>
    <t xml:space="preserve"> 27625-35-0</t>
  </si>
  <si>
    <t xml:space="preserve"> ISOAMYL 2-METHYLBUTYRATE</t>
  </si>
  <si>
    <t xml:space="preserve"> &amp;diams; ISOAMYL 2-METHYLBUTYRATE&lt;br /&gt;&amp;diams; BUTANOIC ACID, 2-METHYL-, 3-METHYLBUTYL ESTER&lt;br /&gt;&amp;diams; ISOPENTYL 2-METHYLBUTYRATE&lt;br /&gt;&amp;diams; ISOAMYL 2-METHYLBUTANOATE&lt;br /&gt;&amp;diams; ISOPENTYL 2-METHYLBUTANOATE&lt;br /&gt;&amp;diams; ISOAMYL ALPHA-METHYLBUTYRATE&lt;br /&gt;&amp;diams; 3-METHYLBUTYL 2-METHYLBUTANOATE&lt;br /&gt;&amp;diams; 3-METHYLBUTYL 2-METHYLBUTYRATE</t>
  </si>
  <si>
    <t xml:space="preserve"> 7779-70-6</t>
  </si>
  <si>
    <t xml:space="preserve"> ISOAMYL NONANOATE</t>
  </si>
  <si>
    <t xml:space="preserve"> &amp;diams; ISOAMYL NONANOATE&lt;br /&gt;&amp;diams; ISOAMYL NONYLATE&lt;br /&gt;&amp;diams; ISOAMYL PELARGONATE&lt;br /&gt;&amp;diams; ISOPENTYL NONANOATE&lt;br /&gt;&amp;diams; ISOPENTYL NONYLATE&lt;br /&gt;&amp;diams; ISOPENTYL PELARGONATE&lt;br /&gt;&amp;diams; 3-METHYLBUTYL NONANOATE&lt;br /&gt;&amp;diams; 3-METHYLBUTYL PELARGONATE&lt;br /&gt;&amp;diams; NONANOIC ACID, 3-METHYLBUTYL ESTER&lt;br /&gt;&amp;diams; NONANOIC ACID, ISOPENTYL ESTER</t>
  </si>
  <si>
    <t xml:space="preserve"> 2035-99-6</t>
  </si>
  <si>
    <t xml:space="preserve"> ISOAMYL OCTANOATE</t>
  </si>
  <si>
    <t xml:space="preserve"> &amp;diams; ISOAMYL OCTANOATE&lt;br /&gt;&amp;diams; ISOPENTYL OCTANOATE&lt;br /&gt;&amp;diams; ISOAMYL CAPRYLATE&lt;br /&gt;&amp;diams; ISOPENTYL OCTYLATE&lt;br /&gt;&amp;diams; ISOAMYL OCTYLATE&lt;br /&gt;&amp;diams; 3-METHYLBUTYL OCTANOATE&lt;br /&gt;&amp;diams; OCTANOIC ACID, 3-METHYLBUTYL ESTER&lt;br /&gt;&amp;diams; OCTANOIC ACID, ISOPENTYL ESTER&lt;br /&gt;&amp;diams; ISOPENTYL ALCOHOL, OCTANOATE</t>
  </si>
  <si>
    <t xml:space="preserve"> 56011-02-0</t>
  </si>
  <si>
    <t xml:space="preserve"> ISOAMYL PHENETHYL ETHER</t>
  </si>
  <si>
    <t xml:space="preserve"> &amp;diams; ISOAMYL PHENETHYL ETHER&lt;br /&gt;&amp;diams; benzene, (2-(3-methylbutoxy)ethyl)-&lt;br /&gt;&amp;diams; (2-(3-methylbutoxy)ethylbenzene&lt;br /&gt;&amp;diams; phenylethyl isoamyl ether&lt;br /&gt;&amp;diams; 2-phenylethyl isoamyl ether</t>
  </si>
  <si>
    <t xml:space="preserve"> 102-19-2</t>
  </si>
  <si>
    <t xml:space="preserve"> ISOAMYL PHENYLACETATE</t>
  </si>
  <si>
    <t xml:space="preserve"> &amp;diams; ISOAMYL PHENYLACETATE&lt;br /&gt;&amp;diams; BENZENEACETIC ACID, 3-METHYLBUTYL ESTER&lt;br /&gt;&amp;diams; ACETIC ACID, PHENYL-, ISOPENTYL ESTER&lt;br /&gt;&amp;diams; ISOPENTYL PHENYLACETATE&lt;br /&gt;&amp;diams; ISOAMYL ALPHA-TOLUATE&lt;br /&gt;&amp;diams; 3-METHYLBUTYL PHENYLACETATE&lt;br /&gt;&amp;diams; 3-METHYLBUTYL BENZENEACETATE</t>
  </si>
  <si>
    <t xml:space="preserve"> 105-68-0</t>
  </si>
  <si>
    <t xml:space="preserve"> ISOAMYL PROPIONATE</t>
  </si>
  <si>
    <t xml:space="preserve"> &amp;diams; ISOAMYL PROPIONATE&lt;br /&gt;&amp;diams; ISOPENTYL PROPIONATE&lt;br /&gt;&amp;diams; ISOPENTYL PROPANOATE&lt;br /&gt;&amp;diams; ISOAMYL PROPANOATE&lt;br /&gt;&amp;diams; 3-METHYLBUTYL PROPANOATE&lt;br /&gt;&amp;diams; 3-METHYLBUTYL PROPIONATE&lt;br /&gt;&amp;diams; 1-BUTANOL, 3-METHYL-, PROPANOATE&lt;br /&gt;&amp;diams; 3-METHYL-1-BUTYL PROPANOATE&lt;br /&gt;&amp;diams; ISOPENTYL ALCOHOL, PROPIONATE</t>
  </si>
  <si>
    <t xml:space="preserve"> 7779-72-8</t>
  </si>
  <si>
    <t xml:space="preserve"> ISOAMYL PYRUVATE</t>
  </si>
  <si>
    <t xml:space="preserve"> &amp;diams; ISOAMYL PYRUVATE&lt;br /&gt;&amp;diams; ISOPENTYL PYRUVATE&lt;br /&gt;&amp;diams; PROPANOIC ACID, 2-OXO-, 3-METHYLBUTYL ESTER&lt;br /&gt;&amp;diams; 3-METHYLBUTYL 2-OXOPROPANOATE&lt;br /&gt;&amp;diams; PYRUVIC ACID, ISOPENTYL ESTER</t>
  </si>
  <si>
    <t xml:space="preserve"> 87-20-7</t>
  </si>
  <si>
    <t xml:space="preserve"> ISOAMYL SALICYLATE</t>
  </si>
  <si>
    <t xml:space="preserve"> &amp;diams; ISOAMYL SALICYLATE&lt;br /&gt;&amp;diams; ISOAMYL O-HYDROXYBENZOATE&lt;br /&gt;&amp;diams; ISOPENTYL SALICYLATE&lt;br /&gt;&amp;diams; 3-METHYLBUTYL O-HYDROXYBENZOATE&lt;br /&gt;&amp;diams; 3-METHYLBUTYL SALICYLATE&lt;br /&gt;&amp;diams; ISOPENTYL O-HYDROXYBENZOATE&lt;br /&gt;&amp;diams; BENZOIC ACID, 2-HYDROXY-, 3-METHYLBUTYL ESTER&lt;br /&gt;&amp;diams; SALICYLIC ACID, ISOPENTYL ESTER&lt;br /&gt;&amp;diams; 3-METHYLBUTYL 2-HYDROXYBENZOATE</t>
  </si>
  <si>
    <t xml:space="preserve"> 124-76-5</t>
  </si>
  <si>
    <t xml:space="preserve"> ISOBORNEOL</t>
  </si>
  <si>
    <t xml:space="preserve"> &amp;diams; ISOBORNEOL&lt;br /&gt;&amp;diams; 2-BORNANOL, EXO-&lt;br /&gt;&amp;diams; 2-CAMPHANOL, EXO-&lt;br /&gt;&amp;diams; ISOCAMPHOL&lt;br /&gt;&amp;diams; ISOBORNYL ALCOHOL&lt;br /&gt;&amp;diams; BICYCLO(2.2.1)HEPTAN-2-OL, 1,7,7-TRIMETHYL-, (1R,2R,4R)-REL-&lt;br /&gt;&amp;diams; 1,7,7-TRIMETHYLBICYCLO(2.2.1)HEPTAN-2-OL, EXO-&lt;br /&gt;&amp;diams; 2-EXO-BORNYL ALCOHOL&lt;br /&gt;&amp;diams; ISOBORNEOL, (+-)-&lt;br /&gt;&amp;diams; ISOBORNEOL, DL-&lt;br /&gt;&amp;diams; 2-HYDROXY-1,7,7-TRIMETHYLNORBORNANE, EXO-</t>
  </si>
  <si>
    <t xml:space="preserve"> 125-12-2</t>
  </si>
  <si>
    <t xml:space="preserve"> ISOBORNYL ACETATE</t>
  </si>
  <si>
    <t xml:space="preserve"> &amp;diams; ISOBORNYL ACETATE&lt;br /&gt;&amp;diams; 2-BORNYL ACETATE, EXO-&lt;br /&gt;&amp;diams; 2-CAMPHANYL ACETATE, EXO-&lt;br /&gt;&amp;diams; ISOBORNYL ETHANOATE&lt;br /&gt;&amp;diams; ISOBORNEOL, ACETATE&lt;br /&gt;&amp;diams; BICYCLO(2.2.1)HEPTAN-2-OL, 1,7,7-TRIMETHYL-, ACETATE, EXO-&lt;br /&gt;&amp;diams; 1,7,7-TRIMETHYLBICYCLO(2.2.1)HEPTAN-2-YL ACETATE, EXO-&lt;br /&gt;&amp;diams; 2-EXO-BORNYL ACETATE</t>
  </si>
  <si>
    <t xml:space="preserve"> 1200-67-5</t>
  </si>
  <si>
    <t xml:space="preserve"> ISOBORNYL FORMATE</t>
  </si>
  <si>
    <t xml:space="preserve"> &amp;diams; ISOBORNYL FORMATE&lt;br /&gt;&amp;diams; 2-BORNYL FORMATE, EXO-&lt;br /&gt;&amp;diams; 2-CAMPHANYL FORMATE, EXO-&lt;br /&gt;&amp;diams; ISOBORNYL METHANOATE&lt;br /&gt;&amp;diams; ISOBORNEOL, FORMATE&lt;br /&gt;&amp;diams; BICYCLO(2.2.1)HEPTAN-2-OL, 1,7,7-TRIMETHYL-, FORMATE, EXO-&lt;br /&gt;&amp;diams; 1,7,7-TRIMETHYLBICYCLO(2.2.1)HEPTAN-2-YL FORMATE, EXO-</t>
  </si>
  <si>
    <t xml:space="preserve"> 85586-67-0</t>
  </si>
  <si>
    <t xml:space="preserve"> ISOBORNYL ISOBUTYRATE</t>
  </si>
  <si>
    <t xml:space="preserve"> &amp;diams; ISOBORNYL ISOBUTYRATE&lt;br /&gt;&amp;diams; propanoic acid, 2-methyl-, (1R,2R,4R)-1,7,7-trimethylbicyclo(2.2.1)hept-2-yl ester, rel-&lt;br /&gt;&amp;diams; propanoic acid,2-methyl-, 1,7,7-trimethylbicyclo(2.2.1)hept-2-yl ester, exo-&lt;br /&gt;&amp;diams; 1,7,7-trimethylbicyclo(2.2.1)hept-2-yl 2-methylpropanoate, rel-(1R,2R,4R)&lt;br /&gt;&amp;diams; 1,7,7-trimethylbicyclo(2.2.1)hept-2-yl 2-methylpropanoate, exo-</t>
  </si>
  <si>
    <t xml:space="preserve"> 7779-73-9</t>
  </si>
  <si>
    <t xml:space="preserve"> ISOBORNYL ISOVALERATE</t>
  </si>
  <si>
    <t xml:space="preserve"> &amp;diams; ISOBORNYL ISOVALERATE&lt;br /&gt;&amp;diams; BUTANOIC ACID, 3-METHYL-, 1,7,7-TRIMETHYLBICYCLO(2.2.1)HEPT-2-YL ESTER, EXO-&lt;br /&gt;&amp;diams; ISOBORNYL 3-METHYLBUTANOATE&lt;br /&gt;&amp;diams; ISOBORNYL ISOPENTANOATE&lt;br /&gt;&amp;diams; ISOBORNYL ISOVALERIANATE&lt;br /&gt;&amp;diams; ISOVALERIC ACID, ISOBORNYL ESTER&lt;br /&gt;&amp;diams; 1,7,7-TRIMETHYLBICYCLO(2.2.1)HEPT-2-YL 3-METHYLBUTANOATE, EXO</t>
  </si>
  <si>
    <t xml:space="preserve"> 94200-10-9</t>
  </si>
  <si>
    <t xml:space="preserve"> ISOBORNYL 2-METHYLBUTYRATE</t>
  </si>
  <si>
    <t xml:space="preserve"> &amp;diams; ISOBORNYL 2-METHYLBUTYRATE&lt;br /&gt;&amp;diams; isobornyl 2-methylbutanoate&lt;br /&gt;&amp;diams; butyric acid, 2-methyl-, isobornyl ester&lt;br /&gt;&amp;diams; butanoic acid, 2-methyl-, 1,7,7-trimethylbicyclo(2.2.1)hept-2-yl ester&lt;br /&gt;&amp;diams; 1,7,7-trimethylbicyclo(2.2.1)hept-2-yl 2-methylbuatanoate&lt;br /&gt;&amp;diams; InChI=1S/C15H26O2/c1-6-10(2)13(16)17-12-9-11-7-8-15(12,5)14(11,3)4/h10-12H,6-9H2,1-5H3&lt;br /&gt;&amp;diams; InChIKey: CEVCMCWHMHJEQS-UHFFFAOYSA-N</t>
  </si>
  <si>
    <t xml:space="preserve"> 2756-56-1</t>
  </si>
  <si>
    <t xml:space="preserve"> ISOBORNYL PROPIONATE</t>
  </si>
  <si>
    <t xml:space="preserve"> &amp;diams; ISOBORNYL PROPIONATE&lt;br /&gt;&amp;diams; ISOBORNEOL, PROPIONATE&lt;br /&gt;&amp;diams; 2-CAMPHANYL PROPIONATE, EXO-&lt;br /&gt;&amp;diams; 2-BORNYL PROPIONATE, EXO-&lt;br /&gt;&amp;diams; BICYCLO(2.2.1)HEPTAN-2-OL, 1,7,7-TRIMETHYL-, PROPANOATE, EXO-&lt;br /&gt;&amp;diams; 1,7,7-TRIMETHYLBICYCLO(2.2.1)HEPTAN-2-YL PROPANOATE, EXO-</t>
  </si>
  <si>
    <t xml:space="preserve"> 75-28-5</t>
  </si>
  <si>
    <t xml:space="preserve"> ISOBUTANE</t>
  </si>
  <si>
    <t xml:space="preserve"> &amp;diams; ISOBUTANE&lt;br /&gt;&amp;diams; 2-METHYLPROPANE&lt;br /&gt;&amp;diams; PROPANE, 2-METHYL-</t>
  </si>
  <si>
    <t xml:space="preserve"> 110-19-0</t>
  </si>
  <si>
    <t xml:space="preserve"> ISOBUTYL ACETATE</t>
  </si>
  <si>
    <t xml:space="preserve"> &amp;diams; ISOBUTYL ACETATE&lt;br /&gt;&amp;diams; ISOBUTYL ETHANOATE&lt;br /&gt;&amp;diams; 2-METHYL-1-PROPYL ACETATE&lt;br /&gt;&amp;diams; ACETIC ACID, 2-METHYLPROPYL ESTER&lt;br /&gt;&amp;diams; ACETIC ACID, ISOBUTYL ESTER&lt;br /&gt;&amp;diams; BETA-METHYLPROPYL ETHANOATE</t>
  </si>
  <si>
    <t xml:space="preserve"> 7779-75-1</t>
  </si>
  <si>
    <t xml:space="preserve"> ISOBUTYL ACETOACETATE</t>
  </si>
  <si>
    <t xml:space="preserve"> &amp;diams; ISOBUTYL ACETOACETATE&lt;br /&gt;&amp;diams; BUTANOIC ACID, 3-OXO-, 2-METHYLPROPYL ESTER&lt;br /&gt;&amp;diams; ACETOACETIC ACID, ISOBUTYL ESTER&lt;br /&gt;&amp;diams; ISOBUTYL 3-KETOBUTYRATE&lt;br /&gt;&amp;diams; ISOBUTYL 3-KETOBUTANOATE&lt;br /&gt;&amp;diams; ISOBUTYL 3-OXOBUTANOATE&lt;br /&gt;&amp;diams; 2-METHYL-1-PROPYL ACETOACETATE&lt;br /&gt;&amp;diams; 2-METHYLPROPYL 3-OXOBUTANOATE</t>
  </si>
  <si>
    <t xml:space="preserve"> 78-83-1</t>
  </si>
  <si>
    <t xml:space="preserve"> ISOBUTYL ALCOHOL</t>
  </si>
  <si>
    <t xml:space="preserve"> &amp;diams; ISOBUTYL ALCOHOL&lt;br /&gt;&amp;diams; ISOBUTANOL&lt;br /&gt;&amp;diams; 2-METHYL-1-PROPANOL&lt;br /&gt;&amp;diams; ISOPROPYLCARBINOL&lt;br /&gt;&amp;diams; 1-PROPANOL, 2-METHYL-</t>
  </si>
  <si>
    <t xml:space="preserve"> 78-81-9</t>
  </si>
  <si>
    <t xml:space="preserve"> ISOBUTYLAMINE</t>
  </si>
  <si>
    <t xml:space="preserve"> &amp;diams; ISOBUTYLAMINE&lt;br /&gt;&amp;diams; 1-PROPANAMINE, 2-METHYL-&lt;br /&gt;&amp;diams; 2-METHYL-1-PROPANAMINE</t>
  </si>
  <si>
    <t xml:space="preserve"> 7779-81-9</t>
  </si>
  <si>
    <t xml:space="preserve"> ISOBUTYL ANGELATE</t>
  </si>
  <si>
    <t xml:space="preserve"> &amp;diams; ISOBUTYL ANGELATE&lt;br /&gt;&amp;diams; ISOBUTYL CIS-2-METHYL-2-BUTENOATE&lt;br /&gt;&amp;diams; 2-BUTENOIC ACID, 2-METHYL-, 2-METHYLPROPYL ESTER, (Z)-&lt;br /&gt;&amp;diams; 2-METHYLPROPYL 2-METHYL-2-BUTENOATE, (Z)-&lt;br /&gt;&amp;diams; CROTONIC ACID, 2-METHYL-, ISOBUTYL ESTER, (Z)-&lt;br /&gt;&amp;diams; ISOBUTYL 2-METHYLCROTONOATE, (Z)-&lt;br /&gt;&amp;diams; ANGELIC ACID, ISOBUTYL ESTER</t>
  </si>
  <si>
    <t xml:space="preserve"> 7779-77-3</t>
  </si>
  <si>
    <t xml:space="preserve"> ISOBUTYL ANTHRANILATE</t>
  </si>
  <si>
    <t xml:space="preserve"> &amp;diams; ISOBUTYL ANTHRANILATE&lt;br /&gt;&amp;diams; BENZOIC ACID, 2-AMINO-, 2-METHYLPROPYL ESTER&lt;br /&gt;&amp;diams; ANTHRANILIC ACID, ISOBUTYL ESTER&lt;br /&gt;&amp;diams; ISOBUTYL O-AMINOBENZOATE&lt;br /&gt;&amp;diams; ISOBUTYL 2-AMINOBENZOATE&lt;br /&gt;&amp;diams; 2-METHYLPROPYL 2-AMINOBENZOATE</t>
  </si>
  <si>
    <t xml:space="preserve"> 120-50-3</t>
  </si>
  <si>
    <t xml:space="preserve"> ISOBUTYL BENZOATE</t>
  </si>
  <si>
    <t xml:space="preserve"> &amp;diams; ISOBUTYL BENZOATE&lt;br /&gt;&amp;diams; 2-METHYLPROPYL BENZOATE&lt;br /&gt;&amp;diams; BENZOIC ACID, 2-METHYLPROPYL ESTER&lt;br /&gt;&amp;diams; BENZOIC ACID, ISOBUTYL ESTER</t>
  </si>
  <si>
    <t xml:space="preserve"> 589-66-2</t>
  </si>
  <si>
    <t xml:space="preserve"> ISOBUTYL 2-BUTENOATE</t>
  </si>
  <si>
    <t xml:space="preserve"> &amp;diams; ISOBUTYL 2-BUTENOATE&lt;br /&gt;&amp;diams; ISOBUTYL CROTONATE&lt;br /&gt;&amp;diams; 2-BUTENOIC ACID, 2-METHYLPROPYL ESTER&lt;br /&gt;&amp;diams; 2-METHYLPROPYL 2-BUTENOATE&lt;br /&gt;&amp;diams; CROTONIC ACID, ISOBUTYL ESTER&lt;br /&gt;&amp;diams; 2-METHYLPROPYL CROTONATE</t>
  </si>
  <si>
    <t xml:space="preserve"> 539-90-2</t>
  </si>
  <si>
    <t xml:space="preserve"> ISOBUTYL BUTYRATE</t>
  </si>
  <si>
    <t xml:space="preserve"> &amp;diams; ISOBUTYL BUTYRATE&lt;br /&gt;&amp;diams; 2-METHYL-1-PROPYL BUTYRATE&lt;br /&gt;&amp;diams; ISOBUTYL BUTANOATE&lt;br /&gt;&amp;diams; BUTANOIC ACID, 2-METHYLPROPYL ESTER&lt;br /&gt;&amp;diams; BUTANOIC ACID, ISOBUTYL ESTER</t>
  </si>
  <si>
    <t xml:space="preserve"> 122-67-8</t>
  </si>
  <si>
    <t xml:space="preserve"> ISOBUTYL CINNAMATE</t>
  </si>
  <si>
    <t xml:space="preserve"> &amp;diams; ISOBUTYL CINNAMATE&lt;br /&gt;&amp;diams; 2-METHYLPROPYL BETA-PHENYLACRYLATE&lt;br /&gt;&amp;diams; 2-METHYLPROPYL 3-PHENYLPROPENOATE&lt;br /&gt;&amp;diams; 2-METHYLPROPYL CINNAMATE&lt;br /&gt;&amp;diams; ISOBUTYL BETA-PHENYLACRYLATE&lt;br /&gt;&amp;diams; ISOBUTYL 3-PHENYLPROPENOATE&lt;br /&gt;&amp;diams; 2-PROPENOIC ACID, 3-PHENYL-, 2-METHYLPROPYL ESTER&lt;br /&gt;&amp;diams; CINNAMIC ACID, ISOBUTYL ESTER&lt;br /&gt;&amp;diams; 2-METHYLPROPYL 3-PHENYL-2-PROPENOATE</t>
  </si>
  <si>
    <t xml:space="preserve"> 18836-52-7</t>
  </si>
  <si>
    <t xml:space="preserve"> N-ISOBUTYLDECA-TRANS-2-TRANS-4-DIENAMIDE</t>
  </si>
  <si>
    <t xml:space="preserve"> &amp;diams; N-ISOBUTYL-2,4-DECADIENAMIDE, TRANS, TRANS&lt;br /&gt;&amp;diams; N-isobutyl-2,4-decadienamide, (E, E)&lt;br /&gt;&amp;diams; pellitorine&lt;br /&gt;&amp;diams; N-(2-methylpropyl)-2,4-decadienamide, (E,E)-&lt;br /&gt;&amp;diams; 2,4-decadienamide, N-(2-methylpropyl)-, (E,E)&lt;br /&gt;&amp;diams; 2,4-decadienamide, N-isobutyl-, (E,E)-&lt;br /&gt;&amp;diams;  InChI=1S/C14H25NO/c1-4-5-6-7-8-9-10-11-14(16)15-12-13(2)3/h8-11,13H,4-7,&lt;br /&gt;&amp;diams; InChIKey: MAGQQZHFHJDIRE-BNFZFUHLSA-N</t>
  </si>
  <si>
    <t xml:space="preserve"> 977161-98-0</t>
  </si>
  <si>
    <t xml:space="preserve"> 2(4)-ISOBUTYL-4(2),6-DIMETHYLDIHYDRO-4H-1,3,5-DITHIAZINE</t>
  </si>
  <si>
    <t xml:space="preserve"> &amp;diams; DIHYDRO-2(OR 6)-ISOBUTYL-4,6(OR 2)-DIMETHYL-4H-1,3,5-DITHIAZINE&lt;br /&gt;&amp;diams; DIHYDRO-4,6(OR 2)-DIMETHYL-2(OR 6)-(2-METHYLPROPYL)-4H-1,3,5-DITHIAZINE&lt;br /&gt;&amp;diams; DIMETHYLISOBUTYLDIHYDRO-1,3,5-DITHIAZINE&lt;br /&gt;&amp;diams; DIHYDRO-4,6(OR 2)-DIMETHYL-2(OR 6)-ISOBUTYL-4H-1,3,5-DITHIAZINE&lt;br /&gt;&amp;diams; 2(OR 4)-ISOBUTYL-4(OR 2),6-DIMETHYLDIHYDRO-4H-1,3,5-DITHIAZINE</t>
  </si>
  <si>
    <t xml:space="preserve"> 26131-91-9</t>
  </si>
  <si>
    <t xml:space="preserve"> 2-ISOBUTYL-4,5-DIMETHYLOXAZOLE</t>
  </si>
  <si>
    <t xml:space="preserve"> &amp;diams; 2-ISOBUTYL-4,5-DIMETHYLOXAZOLE&lt;br /&gt;&amp;diams; oxazole, 4,5-dimethyl-2-(2-methylpropyl)-&lt;br /&gt;&amp;diams; 4,5-dimethyl-2-(2-methylpropyl)oxazole&lt;br /&gt;&amp;diams; oxazole, 2-isobutyl-4,5-dimethyl-&lt;br /&gt;&amp;diams; InChI=1S/C9H15NO/c1-6(2)5-9-10-7(3)8(4)11-9/h6H,5H2,1-4H3&lt;br /&gt;&amp;diams; InChIKey: SNRVAFQIIFPYDR-UHFFFAOYSA-N</t>
  </si>
  <si>
    <t xml:space="preserve"> 9010-85-9</t>
  </si>
  <si>
    <t xml:space="preserve"> ISOBUTYLENE-ISOPRENE COPOLYMER</t>
  </si>
  <si>
    <t xml:space="preserve"> &amp;diams; POLY(ISOBUTYLENE-CO-ISOPRENE)&lt;br /&gt;&amp;diams; BUTYL RUBBER&lt;br /&gt;&amp;diams; ISOBUTYLENE-ISOPRENE COPOLYMER&lt;br /&gt;&amp;diams; ISOPRENE, POLYMER WITH 2-METHYLPROPENE&lt;br /&gt;&amp;diams; POLY(2-METHYL-1,3-BUTADIENE-CO-2-METHYL-1-PROPENE)&lt;br /&gt;&amp;diams; 1,3-BUTADIENE, 2-METHYL-, POLYMER WITH 2-METHYL-1-PROPENE</t>
  </si>
  <si>
    <t xml:space="preserve"> 542-55-2</t>
  </si>
  <si>
    <t xml:space="preserve"> ISOBUTYL FORMATE</t>
  </si>
  <si>
    <t xml:space="preserve"> &amp;diams; ISOBUTYL FORMATE&lt;br /&gt;&amp;diams; ISOBUTYL METHANOTE&lt;br /&gt;&amp;diams; 2-METHYL-1-PROPYL FORMATE&lt;br /&gt;&amp;diams; TETRYL FORMATE&lt;br /&gt;&amp;diams; FORMIC ACID, 2-METHYLPROPYL ESTER&lt;br /&gt;&amp;diams; 2-METHYLPROPYL FORMATE&lt;br /&gt;&amp;diams; FORMIC ACID, ISOBUTYL ESTER</t>
  </si>
  <si>
    <t xml:space="preserve"> 105-01-1</t>
  </si>
  <si>
    <t xml:space="preserve"> ISOBUTYL 2-FURANPROPIONATE</t>
  </si>
  <si>
    <t xml:space="preserve"> &amp;diams; ISOBUTYL 2-FURANPROPIONATE&lt;br /&gt;&amp;diams; ISOBUTYL FURYLPROPIONATE&lt;br /&gt;&amp;diams; ISOBUTYL 3-(2-FURAN)PROPIONATE&lt;br /&gt;&amp;diams; ISOBUTYL FURFURYLACETATE&lt;br /&gt;&amp;diams; ISOBUTYL 3-(2-FURYL)PROPANOATE&lt;br /&gt;&amp;diams; 2-FURANPROPANOIC ACID, 2-METHYLPROPYL ESTER&lt;br /&gt;&amp;diams; 2-METHYLPROPYL 2-FURANPROPANOATE&lt;br /&gt;&amp;diams; 2-FURANPROPIONIC ACID, ISOBUTYL ESTER</t>
  </si>
  <si>
    <t xml:space="preserve"> 7779-80-8</t>
  </si>
  <si>
    <t xml:space="preserve"> ISOBUTYL HEPTANOATE</t>
  </si>
  <si>
    <t xml:space="preserve"> &amp;diams; ISOBUTYL HEPTANOATE&lt;br /&gt;&amp;diams; ISOBUTYL HEPTOATE&lt;br /&gt;&amp;diams; 2-METHYL-1-PROPYL HEPTANOATE&lt;br /&gt;&amp;diams; HEPTANOIC ACID, 2-METHYLPROPYL ESTER&lt;br /&gt;&amp;diams; HEPTANOIC ACID, ISOBUTYL ESTER&lt;br /&gt;&amp;diams; 2-METHYLPROPYL HEPTANOATE</t>
  </si>
  <si>
    <t xml:space="preserve"> 105-79-3</t>
  </si>
  <si>
    <t xml:space="preserve"> ISOBUTYL HEXANOATE</t>
  </si>
  <si>
    <t xml:space="preserve"> &amp;diams; ISOBUTYL HEXANOATE&lt;br /&gt;&amp;diams; ISOBUTYL CAPROATE&lt;br /&gt;&amp;diams; 2-METHYL-1-PROPYL CAPROATE&lt;br /&gt;&amp;diams; HEXANOIC ACID, 2-METHYLPROPYL ESTER&lt;br /&gt;&amp;diams; 2-METHYLPROPYL HEXANOATE&lt;br /&gt;&amp;diams; HEXANOIC ACID, ISOBUTYL ESTER</t>
  </si>
  <si>
    <t xml:space="preserve"> 97-85-8</t>
  </si>
  <si>
    <t xml:space="preserve"> ISOBUTYL ISOBUTYRATE</t>
  </si>
  <si>
    <t xml:space="preserve"> &amp;diams; ISOBUTYL ISOBUTYRATE&lt;br /&gt;&amp;diams; ISOBUTYL 2-METHYLPROPANOATE&lt;br /&gt;&amp;diams; 2-METHYL-1-PROPYL 2-METHYLPROPANOATE&lt;br /&gt;&amp;diams; PROPANOIC ACID, 2-METHYL-, 2-METHYLPROPYL ESTER&lt;br /&gt;&amp;diams; ISOBUTYRIC ACID, ISOBUTYL ESTER&lt;br /&gt;&amp;diams; 2-METHYLPROPYL 2-METHYLPROPANOATE&lt;br /&gt;&amp;diams; 2-METHYLPROPYL ISOBUTYRATE</t>
  </si>
  <si>
    <t xml:space="preserve"> 591-82-2</t>
  </si>
  <si>
    <t xml:space="preserve"> ISOBUTYL ISOTHIOCYANATE</t>
  </si>
  <si>
    <t xml:space="preserve"> &amp;diams; ISOBUTYL ISOTHIOCYANATE&lt;br /&gt;&amp;diams; propane, 1-isothiocyanato-2-methyl-&lt;br /&gt;&amp;diams; 1-isothiocyanato-2-methylpropane&lt;br /&gt;&amp;diams; isothiocyanic acid, isobutyl ester&lt;br /&gt;&amp;diams; 2-methylpropyl isothiocyanate&lt;br /&gt;&amp;diams; InChI=1S/C5H9NS/c1-5(2)3-6-4-7/h5H,3H2,1-2H3&lt;br /&gt;&amp;diams; InChIKey: NSDDRJXKROCWRZ-UHFFFAOYSA-N</t>
  </si>
  <si>
    <t xml:space="preserve"> 24683-00-9</t>
  </si>
  <si>
    <t xml:space="preserve"> 2-ISOBUTYL-3-METHOXYPYRAZINE</t>
  </si>
  <si>
    <t xml:space="preserve"> &amp;diams; 2-ISOBUTYL-3-METHOXYPYRAZINE&lt;br /&gt;&amp;diams; PYRAZINE, 2-METHOXY-3-(2-METHYLPROPYL)-&lt;br /&gt;&amp;diams; PYRAZINE, 2-ISOBUTYL-3-METHOXY-&lt;br /&gt;&amp;diams; 2-METHOXY-3-(2-METHYLPROPYL)PYRAZINE</t>
  </si>
  <si>
    <t xml:space="preserve"> 65505-24-0</t>
  </si>
  <si>
    <t xml:space="preserve"> ISOBUTYL N-METHYLANTHRANILATE</t>
  </si>
  <si>
    <t xml:space="preserve"> &amp;diams; ISOBUTYL N-METHYLANTHRANILATE&lt;br /&gt;&amp;diams; BENZOIC ACID, 2-(METHYLAMINO)-, 2-METHYLPROPYL ESTER&lt;br /&gt;&amp;diams; ISOBUTYL 2-N-METHYLAMINOBENZOATE&lt;br /&gt;&amp;diams; 2-METHYLPROPYL 2-N-METHYLAMINOBENZOATE&lt;br /&gt;&amp;diams; 2-METHYLPROPYL 2-(METHYLAMINO)BENZOATE</t>
  </si>
  <si>
    <t xml:space="preserve"> 13925-06-9</t>
  </si>
  <si>
    <t xml:space="preserve"> 2-ISOBUTYL-3-METHYLPYRAZINE</t>
  </si>
  <si>
    <t xml:space="preserve"> &amp;diams; 2-ISOBUTYL-3-METHYLPYRAZINE&lt;br /&gt;&amp;diams; PYRAZINE, 2-METHYL-3-(2-METHYLPROPYL)-&lt;br /&gt;&amp;diams; PYRAZINE, 2-ISOBUTYL-3-METHYL-&lt;br /&gt;&amp;diams; 2-METHYL-3-ISOBUTYLPYRAZINE&lt;br /&gt;&amp;diams; 2-METHYL-3-(2-METHYLPROPYL)PYRAZINE</t>
  </si>
  <si>
    <t xml:space="preserve"> 127931-21-9</t>
  </si>
  <si>
    <t xml:space="preserve"> (+/-)-ISOBUTYL 3-METHYLTHIOBUTYRATE</t>
  </si>
  <si>
    <t xml:space="preserve"> &amp;diams; ISOBUTYL 3-METHYLTHIOBUTYRATE&lt;br /&gt;&amp;diams; butanoic acid, 3-(methylthio)-, 2-methylpropyl ester&lt;br /&gt;&amp;diams; 2-methylpropyl 3-(methylthio)butanoate</t>
  </si>
  <si>
    <t xml:space="preserve"> 102-13-6</t>
  </si>
  <si>
    <t xml:space="preserve"> ISOBUTYL PHENYLACETATE</t>
  </si>
  <si>
    <t xml:space="preserve"> &amp;diams; ISOBUTYL PHENYLACETATE&lt;br /&gt;&amp;diams; BENZENEACETIC ACID, 2-METHYLPROPYL ESTER&lt;br /&gt;&amp;diams; ACETIC ACID, PHENYL-, ISOBUTYL ESTER&lt;br /&gt;&amp;diams; ISOBUTYL ALPHA-TOLUATE&lt;br /&gt;&amp;diams; 2-METHYLPROPYL PHENYLACETATE&lt;br /&gt;&amp;diams; 2-METHYLPROPYL BENZENEACETATE</t>
  </si>
  <si>
    <t xml:space="preserve"> 540-42-1</t>
  </si>
  <si>
    <t xml:space="preserve"> ISOBUTYL PROPIONATE</t>
  </si>
  <si>
    <t xml:space="preserve"> &amp;diams; ISOBUTYL PROPIONATE&lt;br /&gt;&amp;diams; ISOBUTYL PROPANOATE&lt;br /&gt;&amp;diams; 2-METHYL-1-PROPYL PROPANOATE&lt;br /&gt;&amp;diams; PROPANOIC ACID, 2-METHYLPROPYL ESTER&lt;br /&gt;&amp;diams; 2-METHYLPROPYL PROPANOATE&lt;br /&gt;&amp;diams; PROPIONIC ACID, ISOBUTYL ESTER</t>
  </si>
  <si>
    <t xml:space="preserve"> 87-19-4</t>
  </si>
  <si>
    <t xml:space="preserve"> ISOBUTYL SALICYLATE</t>
  </si>
  <si>
    <t xml:space="preserve"> &amp;diams; ISOBUTYL SALICYLATE&lt;br /&gt;&amp;diams; 2-METHYL-1-PROPYL SALICYLATE&lt;br /&gt;&amp;diams; ISOBUTYL O-HYDROXYBENZOATE&lt;br /&gt;&amp;diams; 2-METHYLPROPYL O-HYDROXYBENZOATE&lt;br /&gt;&amp;diams; BENZOIC ACID, 2-HYDROXY-, 2-METHYLPROPYL ESTER&lt;br /&gt;&amp;diams; 2-METHYLPROPYL 2-HYDROXYBENZOATE&lt;br /&gt;&amp;diams; SALICYLIC ACID, ISOBUTYL ESTER</t>
  </si>
  <si>
    <t xml:space="preserve"> 18640-74-9</t>
  </si>
  <si>
    <t xml:space="preserve"> 2-ISOBUTYLTHIAZOLE</t>
  </si>
  <si>
    <t xml:space="preserve"> &amp;diams; 2-ISOBUTYLTHIAZOLE&lt;br /&gt;&amp;diams; 2-ISOBUTYL-1,3-THIAZOLE&lt;br /&gt;&amp;diams; THIAZOLE, 2-(2-METHYLPROPYL)-&lt;br /&gt;&amp;diams; 2-(2-METHYLPROPYL)THIAZOLE&lt;br /&gt;&amp;diams; THIAZOLE, 2-ISOBUTYL-</t>
  </si>
  <si>
    <t xml:space="preserve"> 5421-27-2</t>
  </si>
  <si>
    <t xml:space="preserve"> ISOBUTYL 10-UNDECENOATE</t>
  </si>
  <si>
    <t xml:space="preserve"> &amp;diams; ISOBUTYL 10-UNDECENOATE&lt;br /&gt;&amp;diams; 10-undecenoic acid, 2-methylpropyl ester&lt;br /&gt;&amp;diams; 2-methylpropyl 10-undecenoate&lt;br /&gt;&amp;diams; isobutyl undec-10-enoate&lt;br /&gt;&amp;diams; InChI=1S/C15H28O2/c1-4-5-6-7-8-9-10-11-12-15(16)17-13-14(2)3/h4,14H,1,5-13H2,2-3H3&lt;br /&gt;&amp;diams; InChIKey: YXJSBTYPYXKWDB-UHFFFAOYSA-N</t>
  </si>
  <si>
    <t xml:space="preserve"> 78-84-2</t>
  </si>
  <si>
    <t xml:space="preserve"> ISOBUTYRALDEHYDE</t>
  </si>
  <si>
    <t xml:space="preserve"> &amp;diams; ISOBUTYRALDEHYDE&lt;br /&gt;&amp;diams; PROPANAL, 2-METHYL-&lt;br /&gt;&amp;diams; ISOBUTYRIC ALDEHYDE&lt;br /&gt;&amp;diams; ISOBUTYLALDEHYDE</t>
  </si>
  <si>
    <t xml:space="preserve"> 79-31-2</t>
  </si>
  <si>
    <t xml:space="preserve"> ISOBUTYRIC ACID</t>
  </si>
  <si>
    <t xml:space="preserve"> &amp;diams; ISOBUTYRIC ACID&lt;br /&gt;&amp;diams; ISOPROPYLFORMIC ACID&lt;br /&gt;&amp;diams; 2-METHYLPROPANOIC ACID&lt;br /&gt;&amp;diams; 2-METHYLPROPIONIC ACID&lt;br /&gt;&amp;diams; PROPANOIC ACID, 2-METHYL-&lt;br /&gt;&amp;diams; DIMETHYLACETIC ACID&lt;br /&gt;&amp;diams; METHYLPROPIONIC ACID, ALPHA-</t>
  </si>
  <si>
    <t xml:space="preserve"> 1335-66-6</t>
  </si>
  <si>
    <t xml:space="preserve"> ISOCYCLOCITRAL</t>
  </si>
  <si>
    <t xml:space="preserve"> &amp;diams; ISOCYCLOCITRAL</t>
  </si>
  <si>
    <t xml:space="preserve"> 97-54-1</t>
  </si>
  <si>
    <t xml:space="preserve"> ISOEUGENOL</t>
  </si>
  <si>
    <t xml:space="preserve"> &amp;diams; ISOEUGENOL&lt;br /&gt;&amp;diams; 2-METHOXY-4-PROPENYLPHENOL&lt;br /&gt;&amp;diams; 1-HYDROXY-2-METHOXY-4-PROPEN-1-YLBENZENE&lt;br /&gt;&amp;diams; 2-METHOXY-4-(1-PROPENYL)PHENOL&lt;br /&gt;&amp;diams; 3-METHOXY-4-HYDROXY-1-PROPEN-1-YLBENZENE&lt;br /&gt;&amp;diams; 4-HYDROXY-3-METHOXY-1-PROPEN-1-YLBENZENE&lt;br /&gt;&amp;diams; 4-HYDROXY-3-METHOXYPROPENYLBENZENE&lt;br /&gt;&amp;diams; 4-PROPENYLGUAIACOL&lt;br /&gt;&amp;diams; PHENOL, 2-METHOXY-4-(1-PROPENYL)-&lt;br /&gt;&amp;diams; PHENOL, 2-METHOXY-4-PROPENYL-&lt;br /&gt;&amp;diams; 1-(3-METHOXY-4-HYDROXYPHENYL)-1-PROPANE&lt;br /&gt;&amp;diams; NSC-6769</t>
  </si>
  <si>
    <t xml:space="preserve"> 93-29-8</t>
  </si>
  <si>
    <t xml:space="preserve"> ISOEUGENYL ACETATE</t>
  </si>
  <si>
    <t xml:space="preserve"> &amp;diams; ISOEUGENYL ACETATE&lt;br /&gt;&amp;diams; 2-METHOXY-4-PROPENYLPHENYL ACETATE&lt;br /&gt;&amp;diams; ACETYL ISOEUGENOL&lt;br /&gt;&amp;diams; 4-ACETOXY-3-METHOXY-1-(1-PROPEN-1-YL)BENZENE&lt;br /&gt;&amp;diams; PHENOL, 2-METHOXY-4-(1-PROPENYL)-, ACETATE&lt;br /&gt;&amp;diams; 2-METHOXY-4-(1-PROPENYL)PHENYL ACETATE&lt;br /&gt;&amp;diams; PHENOL, 2-METHOXY-4-PROPENYL-, ACETATE</t>
  </si>
  <si>
    <t xml:space="preserve"> 120-11-6</t>
  </si>
  <si>
    <t xml:space="preserve"> ISOEUGENYL BENZYL ETHER</t>
  </si>
  <si>
    <t xml:space="preserve"> &amp;diams; ISOEUGENYL BENZYL ETHER&lt;br /&gt;&amp;diams; BENZYL 2-METHOXY-4-PROPENYLPHENYL ETHER&lt;br /&gt;&amp;diams; BENZENE, 2-METHOXY-1-(PHENYLMETHOXY)-4-(1-PROPENYL)-&lt;br /&gt;&amp;diams; BENZENE, 1-(BENZYLOXY)-2-METHOXY-4-PROPENYL-&lt;br /&gt;&amp;diams; 1-BENZYLOXY-2-METHOXY-4-PROPENYLBENZENE&lt;br /&gt;&amp;diams; 2-METHOXY-4-PROPENYLPHENYL BENZYL ETHER&lt;br /&gt;&amp;diams; 2-METHOXY-1-(PHENYLMETHOXY)-4-(1-PROPENYL)BENZENE&lt;br /&gt;&amp;diams; 4-PROPENYL-1-BENZYLOXY-2-METHOXYBENZENE</t>
  </si>
  <si>
    <t xml:space="preserve"> 7784-67-0</t>
  </si>
  <si>
    <t xml:space="preserve"> ISOEUGENYL ETHYL ETHER</t>
  </si>
  <si>
    <t xml:space="preserve"> &amp;diams; ISOEUGENYL ETHYL ETHER&lt;br /&gt;&amp;diams; BENZENE, 1-ETHOXY-2-METHOXY-4-(1-PROPENYL)-&lt;br /&gt;&amp;diams; BENZENE, 1-ETHOXY-2-METHOXY-4-PROPENYL-&lt;br /&gt;&amp;diams; 1-ETHOXY-2-METHOXY-4-PROPENYLBENZENE&lt;br /&gt;&amp;diams; 2-ETHOXY-5-PROPENYLANISOLE&lt;br /&gt;&amp;diams; 1-ETHOXY-2-METHOXY-4-(1-PROPENYL)BENZENE</t>
  </si>
  <si>
    <t xml:space="preserve"> 7774-96-1</t>
  </si>
  <si>
    <t xml:space="preserve"> ISOEUGENYL FORMATE</t>
  </si>
  <si>
    <t xml:space="preserve"> &amp;diams; ISOEUGENYL FORMATE&lt;br /&gt;&amp;diams; 2-METHOXY-4-PROPENYLPHENYL FORMATE&lt;br /&gt;&amp;diams; 2-METHOXY-4-(1-PROPEN-1-YL)PHENYL FORMATE&lt;br /&gt;&amp;diams; 4-(1-PROPEN-1-YL)-2-METHOXYPHENYL FORMATE&lt;br /&gt;&amp;diams; PHENOL, 2-METHOXY-4-(1-PROPENYL)-, FORMATE&lt;br /&gt;&amp;diams; 2-METHOXY-4-(1-PROPENYL)PHENYL FORMATE&lt;br /&gt;&amp;diams; PHENOL, 2-METHOXY-4-PROPENYL, FORMATE</t>
  </si>
  <si>
    <t xml:space="preserve"> 93-16-3</t>
  </si>
  <si>
    <t xml:space="preserve"> ISOEUGENYL METHYL ETHER</t>
  </si>
  <si>
    <t xml:space="preserve"> &amp;diams; ISOEUGENYL METHYL ETHER&lt;br /&gt;&amp;diams; BENZENE, 1,2-DIMETHOXY-4-(1-PROPENYL)-&lt;br /&gt;&amp;diams; BENZENE, 1,2-DIMETHOXY-4-PROPENYL-&lt;br /&gt;&amp;diams; NSC-46111&lt;br /&gt;&amp;diams; 1,2-DIMETHOXY-4-(1-PROPEN-1-YL)BENZENE&lt;br /&gt;&amp;diams; 1,2-DIMETHOXY-4-(1-PROPENYL)BENZENE&lt;br /&gt;&amp;diams; 1,2-DIMETHOXY-4-PROPENYLBENZENE&lt;br /&gt;&amp;diams; 4-PROPENYLVERATROLE</t>
  </si>
  <si>
    <t xml:space="preserve"> 120-24-1</t>
  </si>
  <si>
    <t xml:space="preserve"> ISOEUGENYL PHENYLACETATE</t>
  </si>
  <si>
    <t xml:space="preserve"> &amp;diams; ISOEUGENYL PHENYLACETATE&lt;br /&gt;&amp;diams; BENZENEACETIC ACID, 2-METHOXY-4-(1-PROPENYL)PHENYL ESTER&lt;br /&gt;&amp;diams; ACETIC ACID, PHENYL-, 2-METHOXY-4-PROPENYLPHENYL ESTER&lt;br /&gt;&amp;diams; ISOEUGENYL ALPHA-TOLUATE&lt;br /&gt;&amp;diams; 2-METHOXY-4-PROPENYLPHENYL PHENYLACETATE&lt;br /&gt;&amp;diams; 2-METHOXY-4-(1-PROPEN-1-YL)PHENYL PHENYLACETATE&lt;br /&gt;&amp;diams; 2-METHOXY-4-(1-PROPENYL)PHENYL BENZENEACETATE&lt;br /&gt;&amp;diams; 4-PROPENYLGUAIACYL PHENYLACETATE</t>
  </si>
  <si>
    <t xml:space="preserve"> 11050-62-7</t>
  </si>
  <si>
    <t xml:space="preserve"> ISOJASMONE</t>
  </si>
  <si>
    <t xml:space="preserve"> &amp;diams; ISOJASMONE&lt;br /&gt;&amp;diams; 2-CYCLOPENTEN-1-ONE, 2-METHYL-3-(2-PENTENYL)-&lt;br /&gt;&amp;diams; 2-METHYL-3-(2-PENTENYL)-2-CYCLOPENTEN-1-ONE</t>
  </si>
  <si>
    <t xml:space="preserve"> 73-32-5</t>
  </si>
  <si>
    <t xml:space="preserve"> L-ISOLEUCINE</t>
  </si>
  <si>
    <t xml:space="preserve"> &amp;diams; ISOLEUCINE, L-&lt;br /&gt;&amp;diams; L-ISOLEUCINE&lt;br /&gt;&amp;diams; 2-AMINO-3-METHYLPENTANOIC ACID, (S(R*,R*))-&lt;br /&gt;&amp;diams; ERYTHRO-L-ISOLEUCINE</t>
  </si>
  <si>
    <t xml:space="preserve"> 127-51-5</t>
  </si>
  <si>
    <t xml:space="preserve"> ALPHA-ISOMETHYLIONONE</t>
  </si>
  <si>
    <t xml:space="preserve"> &amp;diams; ISOMETHYL-ALPHA-IONONE&lt;br /&gt;&amp;diams; ALPHA-ISOMETHYLIONONE&lt;br /&gt;&amp;diams; ISOMETHYLIONONE, ALPHA-&lt;br /&gt;&amp;diams; METHYL-GAMMA-IONONE&lt;br /&gt;&amp;diams; 3-BUTEN-2-ONE, 3-METHYL-4-(2,6,6-TRIMETHYL-2-CYCLOHEXEN-1-YL)-&lt;br /&gt;&amp;diams; 3-METHYL-4-(2,6,6-TRIMETHYL-2-CYCLOHEXEN-1-YL)-3-BUTEN-2-ONE&lt;br /&gt;&amp;diams; 4-(2,6,6-TRIMETHYL-2-CYCLOHEXEN-1-YL)-3-METHYL-3-BUTEN-2-ONE&lt;br /&gt;&amp;diams; InChIKey=JRJBVWJSTHECJK-LUAWRHEFSA-N&lt;br /&gt;&amp;diams; InChI=1S/C14H22O/c1-10-7-6-8-14(4,5)13(10)9-11(2)12(3)15/h7,9,13H,6,8H2,1-5H3/b11-9-</t>
  </si>
  <si>
    <t xml:space="preserve"> 79-89-0</t>
  </si>
  <si>
    <t xml:space="preserve"> BETA-ISOMETHYLIONONE</t>
  </si>
  <si>
    <t xml:space="preserve"> &amp;diams; ISOMETHYL-BETA-IONONE&lt;br /&gt;&amp;diams; BETA-ISOMETHYLIONONE&lt;br /&gt;&amp;diams; IRALDEINE, DELTA-&lt;br /&gt;&amp;diams; 3-BUTEN-2-ONE, 3-METHYL-4-(2,6,6-TRIMETHYL-1-CYCLOHEXEN-1-YL)-&lt;br /&gt;&amp;diams; 3-METHYL-4-(2,6,6-TRIMETHYL-1-CYCLOHEXEN-1-YL)-3-BUTEN-2-ONE</t>
  </si>
  <si>
    <t xml:space="preserve"> 68555-61-3</t>
  </si>
  <si>
    <t xml:space="preserve"> ALPHA-ISOMETHYLIONYL ACETATE</t>
  </si>
  <si>
    <t xml:space="preserve"> &amp;diams; ISOMETHYLIONYL ACETATE, ALPHA-&lt;br /&gt;&amp;diams; 3-BUTEN-2-OL, 3-METHYL-4-(2,6,6-TRIMETHYL-2-CYCLOHEXEN-1-YL)-, ACETATE&lt;br /&gt;&amp;diams; 3-METHYL-4-(2,6,6-TRIMETHYL-2-CYCLOHEXEN-1-YL)-3-BUTEN-2-YL ACETATE</t>
  </si>
  <si>
    <t xml:space="preserve"> 977051-69-6</t>
  </si>
  <si>
    <t xml:space="preserve"> ISOPARAFFINIC PETROLEUM HYDROCARBONS, SYNTHETIC</t>
  </si>
  <si>
    <t xml:space="preserve"> &amp;diams; ISOPARAFFINS, SYNTHETIC&lt;br /&gt;&amp;diams; HYDROCARBON, SYNTHETIC ISOPARAFFINIC&lt;br /&gt;&amp;diams; PETROLEUM HYDROCARBONS, ISOPARAFFINIC, SYNTHETIC&lt;br /&gt;&amp;diams; PETROLEUM HYDROCARBONS, SYNTHETIC ISOPARAFFINIC&lt;br /&gt;&amp;diams; SYNTHETIC ISOPARAFFINIC WAX&lt;br /&gt;&amp;diams; SYNTHETIC ISOPARAFFINIC PETROLEUM HYDROCARBONS</t>
  </si>
  <si>
    <t xml:space="preserve"> SOLVENT OR VEHICLE,&lt;br /&gt; SURFACE-ACTIVE AGENT</t>
  </si>
  <si>
    <t xml:space="preserve"> 107-85-7</t>
  </si>
  <si>
    <t xml:space="preserve"> ISOPENTYLAMINE</t>
  </si>
  <si>
    <t xml:space="preserve"> &amp;diams; ISOAMYLAMINE&lt;br /&gt;&amp;diams; ISOPENTYLAMINE&lt;br /&gt;&amp;diams; 3-METHYLBUTYLAMINE&lt;br /&gt;&amp;diams; 1-AMINOISOPENTANE&lt;br /&gt;&amp;diams; ISOBUTYLCARBYLAMINE&lt;br /&gt;&amp;diams; 1-BUTANAMINE, 3-METHYL-&lt;br /&gt;&amp;diams; 3-METHYL-1-BUTANAMINE&lt;br /&gt;&amp;diams; PROPYLAMINE, 3,3-DIMETHYL-&lt;br /&gt;&amp;diams; 3,3-DIMETHYLPROPYLAMINE&lt;br /&gt;&amp;diams; GAMMA-ISOAMYLAMINE&lt;br /&gt;&amp;diams; MONOISOAMYLAMINE&lt;br /&gt;&amp;diams; 1-AMINO-3-METHYLBUTANE&lt;br /&gt;&amp;diams; MONOISOPENTYLAMINE&lt;br /&gt;&amp;diams; ISOVALERYLAMINE&lt;br /&gt;&amp;diams; 3-METHYLBUTANAMINE</t>
  </si>
  <si>
    <t xml:space="preserve"> 35448-31-8</t>
  </si>
  <si>
    <t xml:space="preserve"> ISOPENTYLIDENEISOPENTYLAMINE</t>
  </si>
  <si>
    <t xml:space="preserve"> &amp;diams; ISOPENTYLIDENEISOPENTYLAMINE&lt;br /&gt;&amp;diams; N-ISOAMYLIDENEISOAMYLAMINE&lt;br /&gt;&amp;diams; N-(3-METHYLBUTYLIDENE)-3-METHYL-1-BUTYLAMINE&lt;br /&gt;&amp;diams; 1-BUTANAMINE, 3-METHYL-N-(3-METHYLBUTYLIDENE)-&lt;br /&gt;&amp;diams; 3-METHYL-N-(3-METHYLBUTYLIDENE)-1-BUTANAMINE</t>
  </si>
  <si>
    <t xml:space="preserve"> 78-59-1</t>
  </si>
  <si>
    <t xml:space="preserve"> ISOPHORONE</t>
  </si>
  <si>
    <t xml:space="preserve"> &amp;diams; ISOPHORONE&lt;br /&gt;&amp;diams; 3,5,5-TRIMETHYL-2-CYCLOHEXEN-1-ONE&lt;br /&gt;&amp;diams; 2-CYCLOHEXEN-1-ONE, 3,5,5-TRIMETHYL-&lt;br /&gt;&amp;diams; ISOACETOPHORONE&lt;br /&gt;&amp;diams; ISOPHORONE, ALPHA-</t>
  </si>
  <si>
    <t xml:space="preserve"> 108-22-5</t>
  </si>
  <si>
    <t xml:space="preserve"> ISOPROPENYL ACETATE</t>
  </si>
  <si>
    <t xml:space="preserve"> &amp;diams; 1-PROPEN-2-YL ACETATE&lt;br /&gt;&amp;diams; ISOPROPENYL ACETATE&lt;br /&gt;&amp;diams; 1-propen-2-ol, acetate&lt;br /&gt;&amp;diams; 1-methylvinyl acetate</t>
  </si>
  <si>
    <t xml:space="preserve"> 13679-86-2</t>
  </si>
  <si>
    <t xml:space="preserve"> 5-ISOPROPENYL-2-METHYL-2-VINYLTETRAHYDROFURAN</t>
  </si>
  <si>
    <t xml:space="preserve"> &amp;diams; 5-ISOPROPENYL-2-METHYL-2-VINYLTETRAHYDROFURAN&lt;br /&gt;&amp;diams; ANHYDROLINALOOL OXIDE&lt;br /&gt;&amp;diams; FURAN, 2-ETHENYLTETRAHYDRO-2-METHYL-5-(1-METHYLETHENYL)-&lt;br /&gt;&amp;diams; FURAN, TETRAHYDRO-5-ISOPROPENYL-2-METHYL-2-VINYL-&lt;br /&gt;&amp;diams; TETRAHYDRO-5-ISOPROPENYL-2-METHYL-2-VINYLFURAN&lt;br /&gt;&amp;diams; 2-ETHENYL-2-METHYL-5-(1-METHYLETHENYL)TETRAHYDROFURAN&lt;br /&gt;&amp;diams; 2-METHYL-2-VINYL-5-ISOPROPENYLTETRAHYDROFURAN&lt;br /&gt;&amp;diams; 2-ETHENYLTETRAHYDRO-2-METHYL-5-(1-METHYLETHENYL)FURAN</t>
  </si>
  <si>
    <t xml:space="preserve"> 4436-82-2</t>
  </si>
  <si>
    <t xml:space="preserve"> 3-ISOPROPENYL-6-OXOHEPTANOIC ACID</t>
  </si>
  <si>
    <t xml:space="preserve"> &amp;diams; 3-ISOPROPYL-6-OXOHEPTANOIC ACID&lt;br /&gt;&amp;diams; heptanoic acid, 3-isopropenyl-6-oxo-&lt;br /&gt;&amp;diams; heptanoic acid, 3-(1-methylethenyl)-6-oxo-&lt;br /&gt;&amp;diams; 3-(1-methylethenyl)-6-oxoheptanoic acid</t>
  </si>
  <si>
    <t xml:space="preserve"> 6839-75-4</t>
  </si>
  <si>
    <t xml:space="preserve"> 3-ISOPROPENYLPENTANEDIOIC ACID</t>
  </si>
  <si>
    <t xml:space="preserve"> &amp;diams; 3-ISOPROPENYLGLUTARIC ACID&lt;br /&gt;&amp;diams; pentanedioic acid, 3-(1-methylethenyl)-&lt;br /&gt;&amp;diams; 3-(1-methylethenyl)pentanedioic acid&lt;br /&gt;&amp;diams; glutaric acid, 3-isopropenyl-&lt;br /&gt;&amp;diams; 3-isopropenylpentanedioic acid&lt;br /&gt;&amp;diams; InChI=1S/C8H12O4/c1-5(2)6(3-7(9)10)4-8(11)12/h6H,1,3-4H2,2H3,(H,9,10)(H,11,12)&lt;br /&gt;&amp;diams; InChIKey: PULOWZXUQOLRBK-UHFFFAOYSA-N</t>
  </si>
  <si>
    <t xml:space="preserve"> 38713-41-6</t>
  </si>
  <si>
    <t xml:space="preserve"> ISOPROPENYLPYRAZINE</t>
  </si>
  <si>
    <t xml:space="preserve"> &amp;diams; ISOPROPENYLPYRAZINE&lt;br /&gt;&amp;diams; 2-(1-METHYLVINYL)PYRAZINE&lt;br /&gt;&amp;diams; 2-ISOPROPENYL-1,4-DIAZINE&lt;br /&gt;&amp;diams; 2-(ALPHA-METHYLVINYL)PYRAZINE&lt;br /&gt;&amp;diams; 2-ISOPROPENYLPYRAZINE&lt;br /&gt;&amp;diams; PRAZINE, (1-METHYLETHENYL)-&lt;br /&gt;&amp;diams; (1-METHYLETHENYL)PYRAZINE</t>
  </si>
  <si>
    <t xml:space="preserve"> 108-21-4</t>
  </si>
  <si>
    <t xml:space="preserve"> ISOPROPYL ACETATE</t>
  </si>
  <si>
    <t xml:space="preserve"> &amp;diams; ISOPROPYL ACETATE&lt;br /&gt;&amp;diams; ACETIC ACID, 1-METHYLETHYL ESTER&lt;br /&gt;&amp;diams; 1-METHYLETHYL ACETATE&lt;br /&gt;&amp;diams; ACETIC ACID, ISOPROPYL ESTER&lt;br /&gt;&amp;diams; 2-PROPYL ACETATE&lt;br /&gt;&amp;diams; 2-ACETOXYPROPANE&lt;br /&gt;&amp;diams; ISOPROPYL ETHANOATE</t>
  </si>
  <si>
    <t xml:space="preserve"> 645-13-6</t>
  </si>
  <si>
    <t xml:space="preserve"> P-ISOPROPYLACETOPHENONE</t>
  </si>
  <si>
    <t xml:space="preserve"> &amp;diams; 4-ISOPROPYLACETOPHENONE&lt;br /&gt;&amp;diams; ACETYLCUMENE, P-&lt;br /&gt;&amp;diams; ACETOPHENONE, 4'-ISOPROPYL-&lt;br /&gt;&amp;diams; ETHANONE, 1-(4-(1-METHYLETHYL)PHENYL)-&lt;br /&gt;&amp;diams; CUMINONE&lt;br /&gt;&amp;diams; ISOPROPYLACETYLBENZENE, P-&lt;br /&gt;&amp;diams; ISOPROPYLACETOPHENONE, P-&lt;br /&gt;&amp;diams; METHYL P-ISOPROPYLPHENYL KETONE&lt;br /&gt;&amp;diams; 1-(4-(1-METHYLETHYL)PHENYL)ETHANONE&lt;br /&gt;&amp;diams; 4'-ISOPROPYLACETOPHENONE</t>
  </si>
  <si>
    <t xml:space="preserve"> 67-63-0</t>
  </si>
  <si>
    <t xml:space="preserve"> ISOPROPYL ALCOHOL</t>
  </si>
  <si>
    <t xml:space="preserve"> &amp;diams; ISOPROPYL ALCOHOL&lt;br /&gt;&amp;diams; ISOPROPANOL&lt;br /&gt;&amp;diams; 2-PROPANOL&lt;br /&gt;&amp;diams; PETROHOL&lt;br /&gt;&amp;diams; DIMETHYLCARBINOL&lt;br /&gt;&amp;diams; PROPYL ALCOHOL, SEC-</t>
  </si>
  <si>
    <t xml:space="preserve"> 75-31-0</t>
  </si>
  <si>
    <t xml:space="preserve"> ISOPROPYLAMINE</t>
  </si>
  <si>
    <t xml:space="preserve"> &amp;diams; ISOPROPYLAMINE&lt;br /&gt;&amp;diams; 2-AMINOPROPANE</t>
  </si>
  <si>
    <t xml:space="preserve"> 939-48-0</t>
  </si>
  <si>
    <t xml:space="preserve"> ISOPROPYL BENZOATE</t>
  </si>
  <si>
    <t xml:space="preserve"> &amp;diams; ISOPROPYL BENZOATE&lt;br /&gt;&amp;diams; 1-METHYLETHYL BENZOATE&lt;br /&gt;&amp;diams; BENZOIC ACID, 1-METHYLETHYL ESTER&lt;br /&gt;&amp;diams; BENZOIC ACID, ISOPROPYL ESTER</t>
  </si>
  <si>
    <t xml:space="preserve"> 536-60-7</t>
  </si>
  <si>
    <t xml:space="preserve"> P-ISOPROPYLBENZYL ALCOHOL</t>
  </si>
  <si>
    <t xml:space="preserve"> &amp;diams; CUMIC ALCOHOL&lt;br /&gt;&amp;diams; CUMINIC ALCOHOL&lt;br /&gt;&amp;diams; P-CYMEN-7-OL&lt;br /&gt;&amp;diams; ISOPROPYLBENZYL ALCOHOL, P-&lt;br /&gt;&amp;diams; CUMYL ALCOHOL&lt;br /&gt;&amp;diams; CUMINYL ALCOHOL&lt;br /&gt;&amp;diams; CUMINOL&lt;br /&gt;&amp;diams; 4-ISOPROPYLBENZYL ALCOHOL&lt;br /&gt;&amp;diams; BENZENEMETHANOL, 4-(1-METHYLETHYL)-&lt;br /&gt;&amp;diams; 4-(1-METHYLETHYL)BENZENEMETHANOL</t>
  </si>
  <si>
    <t xml:space="preserve"> 638-11-9</t>
  </si>
  <si>
    <t xml:space="preserve"> ISOPROPYL BUTYRATE</t>
  </si>
  <si>
    <t xml:space="preserve"> &amp;diams; ISOPROPYL BUTYRATE&lt;br /&gt;&amp;diams; ISOPROPYL BUTANOATE&lt;br /&gt;&amp;diams; BUTANOIC ACID, 1-METHYLETHYL ESTER&lt;br /&gt;&amp;diams; 1-METHYLETHYL BUTANOATE&lt;br /&gt;&amp;diams; BUTYRIC ACID, ISOPROPYL ESTER</t>
  </si>
  <si>
    <t xml:space="preserve"> 7780-06-5</t>
  </si>
  <si>
    <t xml:space="preserve"> ISOPROPYL CINNAMATE</t>
  </si>
  <si>
    <t xml:space="preserve"> &amp;diams; ISOPROPYL CINNAMATE&lt;br /&gt;&amp;diams; ISOPROPYL 3-PHENYLPROPENOATE&lt;br /&gt;&amp;diams; 1-METHYLETHYL 3-PHENYLPROPENOATE&lt;br /&gt;&amp;diams; 2-PROPENOIC ACID, 3-PHENYL-, 1-METHYLETHYL ESTER&lt;br /&gt;&amp;diams; 1-METHYLETHYL 3-PHENYL-2-PROPENOATE&lt;br /&gt;&amp;diams; CINNAMIC ACID, ISOPROPYL ESTER</t>
  </si>
  <si>
    <t xml:space="preserve"> 39413-05-3</t>
  </si>
  <si>
    <t xml:space="preserve"> ISOPROPYL CITRATE</t>
  </si>
  <si>
    <t xml:space="preserve"> &amp;diams; ISOPROPYL CITRATE&lt;br /&gt;&amp;diams; 1,2,3-PROPANETRICARBOXYLIC ACID, 2-HYDROXY-, 1-METHYLETHYL ESTER&lt;br /&gt;&amp;diams; 1-METHYLETHYL 2-HYDROXY-1,2,3-PROPANETRICARBOXYLATE</t>
  </si>
  <si>
    <t xml:space="preserve"> 500-02-7</t>
  </si>
  <si>
    <t xml:space="preserve"> ISOPROPYL-2-CYCLOHEXENONE</t>
  </si>
  <si>
    <t xml:space="preserve"> &amp;diams; 4-ISOPROPYL-2-CYCLOHEXEN-1-ONE&lt;br /&gt;&amp;diams; CRYPTONE&lt;br /&gt;&amp;diams; CRYPTON&lt;br /&gt;&amp;diams; KRYPTONE, DL-&lt;br /&gt;&amp;diams; 2-CYCLOHEXEN-1-ONE, 4-(1-METHYLETHYL)-&lt;br /&gt;&amp;diams; 2-CYCLOHEXEN-1-ONE, 4-ISOPROPYL-&lt;br /&gt;&amp;diams; 4-(1-METHYLETHYL)-2-CYCLOHEXEN-1-ONE&lt;br /&gt;&amp;diams; 4-ISOPROPYL-2-CYCLOHEXENONE&lt;br /&gt;&amp;diams; 4-ISOPROPYLCYCLOHEX-2-ENONE</t>
  </si>
  <si>
    <t xml:space="preserve"> 1120363-98-5</t>
  </si>
  <si>
    <t xml:space="preserve"> 5-ISOPROPYL-2,6-DIETHYL-2-METHYLTETRAHYDRO-2H-PYRAN</t>
  </si>
  <si>
    <t xml:space="preserve"> &amp;diams; 2,6-DIETHYLTETRAHYDRO-5-ISOPROYPL-2-METHYL-2H-PYRAN&lt;br /&gt;&amp;diams; 2,6-diethyltetrahydro-2-methyl-5-(1-methylethyl)-2H-pyran&lt;br /&gt;&amp;diams; 2,6-dimethyl-5-isopropyl-2-methyltetrahydro-2H-pyran&lt;br /&gt;&amp;diams; 2H-pyran, 2,6-diethyltetrahydro-2-methyl-5-(1-methylethyl)-&lt;br /&gt;&amp;diams; 5-isopropyl-2,6-diethyl-2-methyltetrahydro-2H-pyran</t>
  </si>
  <si>
    <t xml:space="preserve"> 977161-99-1</t>
  </si>
  <si>
    <t xml:space="preserve"> 2(4)-ISOPROPYL-4(2),6-DIMETHYLDIHYDRO-4H-1,3,5-DITHIAZINE</t>
  </si>
  <si>
    <t xml:space="preserve"> &amp;diams; DIHYDRO-2(OR 6)-ISOPROPYL-4,6(OR 2)-DIMETHYL-4H-1,3,5-DITHIAZINE&lt;br /&gt;&amp;diams; DIHYDRO-4,6(OR 2)-DIMETHYL-2(OR 6)-(1-METHYLETHYL)-4H-1,3,5-DITHIAZINE&lt;br /&gt;&amp;diams; DIMETHYLISOPROPYLDIHYDRO-1,3,5-DITHIAZINE&lt;br /&gt;&amp;diams; DIHYDRO-4,6(OR 2)-DIMETHYL-2(OR 6)-ISOPROPYL-4H-1,3,5-DITHIAZINE&lt;br /&gt;&amp;diams; 2(OR 4)-ISOPROPYL-4(OR 2),6-DIMETHYLDIHYDRO-4H-1,3,5-DITHIAZINE</t>
  </si>
  <si>
    <t xml:space="preserve"> 625-55-8</t>
  </si>
  <si>
    <t xml:space="preserve"> ISOPROPYL FORMATE</t>
  </si>
  <si>
    <t xml:space="preserve"> &amp;diams; ISOPROPYL FORMATE&lt;br /&gt;&amp;diams; ISOPROPYL METHANOATE&lt;br /&gt;&amp;diams; FORMIC ACID, 1-METHYLETHYL ESTER&lt;br /&gt;&amp;diams; 1-METHYLETHYL FORMATE&lt;br /&gt;&amp;diams; FORMIC ACID, ISOPROPYL ESTER</t>
  </si>
  <si>
    <t xml:space="preserve"> 2311-46-8</t>
  </si>
  <si>
    <t xml:space="preserve"> ISOPROPYL HEXANOATE</t>
  </si>
  <si>
    <t xml:space="preserve"> &amp;diams; ISOPROPYL HEXANOATE&lt;br /&gt;&amp;diams; ISOPROPYL CAPROATE&lt;br /&gt;&amp;diams; ISOPROPYL CAPRONATE&lt;br /&gt;&amp;diams; ISOPROPYL HEXYLATE&lt;br /&gt;&amp;diams; HEXANOIC ACID, 1-METHYLETHYL ESTER&lt;br /&gt;&amp;diams; 1-METHYLETHYL HEXANOATE&lt;br /&gt;&amp;diams; HEXANOIC ACID, ISOPROPYL ESTER</t>
  </si>
  <si>
    <t xml:space="preserve"> 172201-58-0</t>
  </si>
  <si>
    <t xml:space="preserve"> ISOPROPYLIDENEGLYCERYL 5-HYDROXYDECANOATE</t>
  </si>
  <si>
    <t xml:space="preserve"> &amp;diams; (2,2-DIMETHYL-1,3-DIOXOLAN-4-YL)METHYL 5-HYDROXYDECANOATE&lt;br /&gt;&amp;diams; decanoic acid, 5-hydroxy-, (2,2-dimethyl-1,3-dioxolan-4-yl)methyl ester&lt;br /&gt;&amp;diams; isopropylideneglyceryl 5-hydroxydecanoate</t>
  </si>
  <si>
    <t xml:space="preserve"> 617-50-5</t>
  </si>
  <si>
    <t xml:space="preserve"> ISOPROPYL ISOBUTYRATE</t>
  </si>
  <si>
    <t xml:space="preserve"> &amp;diams; ISOPROPYL ISOBUTYRATE&lt;br /&gt;&amp;diams; ISOPROPYL 2-METHYLPROPANOATE&lt;br /&gt;&amp;diams; ISOBUTYRIC ACID, ISOPROPYL ESTER&lt;br /&gt;&amp;diams; PROPANOIC ACID, 2-METHYL-, 1-METHYLETHYL ESTER&lt;br /&gt;&amp;diams; 1-METHYLETHYL 2-METHYLPROPANOATE</t>
  </si>
  <si>
    <t xml:space="preserve"> 2253-73-8</t>
  </si>
  <si>
    <t xml:space="preserve"> ISOPROPYL ISOTHIOCYANATE</t>
  </si>
  <si>
    <t xml:space="preserve"> &amp;diams; ISOPROPYL ISOTHIOCYANATE&lt;br /&gt;&amp;diams; propane, 2-isothiocyanato-&lt;br /&gt;&amp;diams; 2-isothiocyanatopropane&lt;br /&gt;&amp;diams; isothiocyanic acid, isopropyl ester&lt;br /&gt;&amp;diams; InChI=1S/C4H7NS/c1-4(2)5-3-6/h4H,1-2H3&lt;br /&gt;&amp;diams; InChIKey: VHBFEIBMZHEWSX-UHFFFAOYSA-N</t>
  </si>
  <si>
    <t xml:space="preserve"> 32665-23-9</t>
  </si>
  <si>
    <t xml:space="preserve"> ISOPROPYL ISOVALERATE</t>
  </si>
  <si>
    <t xml:space="preserve"> &amp;diams; ISOPROPYL ISOVALERATE&lt;br /&gt;&amp;diams; BUTANOIC ACID, 3-METHYL-, 1-METHYLETHYL ESTER&lt;br /&gt;&amp;diams; ISOPROPYL ISOVALIANATE&lt;br /&gt;&amp;diams; ISOPROPYL ISOPENTANOATE&lt;br /&gt;&amp;diams; ISOPROPYL 3-METHYLBUTANOATE&lt;br /&gt;&amp;diams; ISOPROPYL 3-METHYLBUTYRATE&lt;br /&gt;&amp;diams; ISOVALERIC ACID, ISOPROPYL ESTER&lt;br /&gt;&amp;diams; 1-METHYLETHYL 3-METHYLBUTANOATE</t>
  </si>
  <si>
    <t xml:space="preserve"> 34365-79-2</t>
  </si>
  <si>
    <t xml:space="preserve"> S-ISOPROPYL 3-METHYLBUT-2-ENETHIOATE</t>
  </si>
  <si>
    <t xml:space="preserve"> &amp;diams; S-ISOPROPYL 3-METHYL-2-BUTENETHIOATE&lt;br /&gt;&amp;diams; 2-butenethioic acid, 3-methyl-, S-(1-methylethyl) ester&lt;br /&gt;&amp;diams; S-(1-methylethyl) 3-methyl-2-butenethioate&lt;br /&gt;&amp;diams; crotonic acid, 3-methylthio-, S-isopropyl ester&lt;br /&gt;&amp;diams; S-isopropyl 3-methylthiocrotonate&lt;br /&gt;&amp;diams; InChI=1S/C8H14OS/c1-6(2)5-8(9)10-7(3)4/h5,7H,1-4H3&lt;br /&gt;&amp;diams; InChIKey: IZVXTRDVESJRTA-UHFFFAOYSA-N</t>
  </si>
  <si>
    <t xml:space="preserve"> 66576-71-4</t>
  </si>
  <si>
    <t xml:space="preserve"> ISOPROPYL 2-METHYLBUTYRATE</t>
  </si>
  <si>
    <t xml:space="preserve"> &amp;diams; ISOPROPYL 2-METHYLBUTYRATE&lt;br /&gt;&amp;diams; BUTANOIC ACID, 2-METHYL-, 1-METHYLETHYL ESTER&lt;br /&gt;&amp;diams; ISOPROPYL 2-METHYLBUTANOATE&lt;br /&gt;&amp;diams; 1-METHYLETHYL 2-METHYLBUTANOATE</t>
  </si>
  <si>
    <t xml:space="preserve"> 35158-25-9</t>
  </si>
  <si>
    <t xml:space="preserve"> 2-ISOPROPYL-5-METHYL-2-HEXENAL</t>
  </si>
  <si>
    <t xml:space="preserve"> &amp;diams; 2-ISOPROPYL-5-METHYL-2-HEXENAL&lt;br /&gt;&amp;diams; ALPHA-ISOPROPYL-BETA-ISOBUTYLACROLEIN&lt;br /&gt;&amp;diams; ISODIHYDROAVANDULYL ALDEHYDE&lt;br /&gt;&amp;diams; 2-HEXENAL, 5-METHYL-2-(1-METHYLETHYL)-&lt;br /&gt;&amp;diams; 2-HEXENAL, 2-ISOPROPYL-5-METHYL-&lt;br /&gt;&amp;diams; 5-METHYL-2-(1-METHYLETHYL)-2-HEXENAL</t>
  </si>
  <si>
    <t xml:space="preserve"> 2278-53-7</t>
  </si>
  <si>
    <t xml:space="preserve"> (+/-)-[R-(E)]-5-ISOPROPYL-8-METHYLNONA-6,8-DIEN-2-ONE</t>
  </si>
  <si>
    <t xml:space="preserve"> &amp;diams; 5-ISOPROPYL-8-METHYL-6,8-NONADIEN-2-ONE, (R-TRANS)-&lt;br /&gt;&amp;diams; 6,8-nonadien-2-one, 8-methyl-5-(1-methylethyl)-, (R-(E))-&lt;br /&gt;&amp;diams; 8-methyl-5-(1-methylethyl)-6,8-nonadien-2-one, (R-(E))-&lt;br /&gt;&amp;diams; 6,8-nonadien-2-one, 5-isopropyl-8-methyl-, (R)-(E)-&lt;br /&gt;&amp;diams; 5-isopropyl-8-methyl-6,8-nonadien-2-one, (R)-(E)-&lt;br /&gt;&amp;diams; InChI=1S/C13H22O/c1-10(2)6-8-13(11(3)4)9-7-12(5)14/h6,8,11,13H,1,7,9H2,2-5H3/b8-6+&lt;br /&gt;&amp;diams; InChIKey: PQDRXUSSKFWCFA-SOFGYWHQSA-N</t>
  </si>
  <si>
    <t xml:space="preserve"> 15679-13-7</t>
  </si>
  <si>
    <t xml:space="preserve"> 2-ISOPROPYL-4-METHYLTHIAZOLE</t>
  </si>
  <si>
    <t xml:space="preserve"> &amp;diams; 2-ISOPROPYL-4-METHYLTHIAZOLE&lt;br /&gt;&amp;diams; THIAZOLE, 4-METHYL-2-(1-METHYLETHYL)-&lt;br /&gt;&amp;diams; THIAZOLE, 2-ISOPROPYL-4-METHYL-&lt;br /&gt;&amp;diams; 4-METHYL-2-(1-METHYLETHYL)THIAZOLE</t>
  </si>
  <si>
    <t xml:space="preserve"> 110-27-0</t>
  </si>
  <si>
    <t xml:space="preserve"> ISOPROPYL MYRISTATE</t>
  </si>
  <si>
    <t xml:space="preserve"> &amp;diams; ISOPROPYL MYRISTATE&lt;br /&gt;&amp;diams; ISOPROPYL TETRADECANOATE&lt;br /&gt;&amp;diams; TETRADECANOIC ACID, 1-METHYLETHYL ESTER&lt;br /&gt;&amp;diams; 1-METHYLETHYL TETRADECANOATE&lt;br /&gt;&amp;diams; MYRISTIC ACID, ISOPROPYL ESTER</t>
  </si>
  <si>
    <t xml:space="preserve"> 142-91-6</t>
  </si>
  <si>
    <t xml:space="preserve"> ISOPROPYL PALMITATE</t>
  </si>
  <si>
    <t xml:space="preserve"> &amp;diams; ISOPROPYL PALMITATE&lt;br /&gt;&amp;diams; 1-METHYLETHYL HEXADECANOATE&lt;br /&gt;&amp;diams; ISOPROPYL HEXADECANOATE&lt;br /&gt;&amp;diams; HEXADECANOIC ACID, 1-METHYLETHYL ESTER&lt;br /&gt;&amp;diams; PALMITIC ACID, ISOPROPYL ESTER</t>
  </si>
  <si>
    <t xml:space="preserve"> 88-69-7</t>
  </si>
  <si>
    <t xml:space="preserve"> 2-ISOPROPYLPHENOL</t>
  </si>
  <si>
    <t xml:space="preserve"> &amp;diams; ISOPROPYLPHENOL, O-&lt;br /&gt;&amp;diams; 2-(1-METHYLETHYL)PHENOL&lt;br /&gt;&amp;diams; 2-ISOPROPYLPHENOL&lt;br /&gt;&amp;diams; CUMENOL, O-&lt;br /&gt;&amp;diams; 1-HYDROXY-2-ISOPROPYLBENZENE&lt;br /&gt;&amp;diams; PHENOL, 2-(1-METHYLETHYL)-&lt;br /&gt;&amp;diams; PHENOL, O-ISOPROPYL-</t>
  </si>
  <si>
    <t xml:space="preserve"> 4395-92-0</t>
  </si>
  <si>
    <t xml:space="preserve"> P-ISOPROPYLPHENYLACETALDEHYDE</t>
  </si>
  <si>
    <t xml:space="preserve"> &amp;diams; ISOPROPYLPHENYLACETALDEHYDE, P-&lt;br /&gt;&amp;diams; BENZENEACETALDEHYDE, 4-(1-METHYLETHYL)-&lt;br /&gt;&amp;diams; ACETALDEHYDE, (P-ISOPROPYLPHENYL)-&lt;br /&gt;&amp;diams; (P-ISOPROPYLPHENYL)ACETALDEHYDE&lt;br /&gt;&amp;diams; CORTEXAL&lt;br /&gt;&amp;diams; CUMYLACETALDEHYDE&lt;br /&gt;&amp;diams; P-CYMENE-7-CARBOXALDEHYDE&lt;br /&gt;&amp;diams; 4-(1-METHYLETHYL)BENZENEACETALDEHYDE</t>
  </si>
  <si>
    <t xml:space="preserve"> 4861-85-2</t>
  </si>
  <si>
    <t xml:space="preserve"> ISOPROPYL PHENYLACETATE</t>
  </si>
  <si>
    <t xml:space="preserve"> &amp;diams; ISOPROPYL PHENYLACETATE&lt;br /&gt;&amp;diams; BENZENEACETIC ACID, 1-METHYLETHYL ESTER&lt;br /&gt;&amp;diams; ACETIC ACID, PHENYL-, ISOPROPYL ESTER&lt;br /&gt;&amp;diams; ISOPROPYL ALPHA-TOLUATE&lt;br /&gt;&amp;diams; 1-METHYLETHYL BENZENEACETATE</t>
  </si>
  <si>
    <t xml:space="preserve"> 7775-00-0</t>
  </si>
  <si>
    <t xml:space="preserve"> 3-(P-ISOPROPYLPHENYL)PROPIONALDEHYDE</t>
  </si>
  <si>
    <t xml:space="preserve"> &amp;diams; CUMINACETALDEHYDE&lt;br /&gt;&amp;diams; 3-P-CUMENYLPROPIONALDEHYDE&lt;br /&gt;&amp;diams; 4-(1-METHYLETHYL)BENZENEPROPANAL&lt;br /&gt;&amp;diams; 3-(P-ISOPROPYLPHENYL)PROPIONALDEYDE&lt;br /&gt;&amp;diams; CYMYLPROPANAL, P-&lt;br /&gt;&amp;diams; ISOPROPYLHYDROCINNAMALDEHYDE, P-&lt;br /&gt;&amp;diams; CUMINYL ACETALDEHYDE&lt;br /&gt;&amp;diams; BENZENEPROPANAL, 4-(1-METHYLETHYL)-&lt;br /&gt;&amp;diams; PROPIONALDEHYDE, 3-P-CUMENYL-</t>
  </si>
  <si>
    <t xml:space="preserve"> 637-78-5</t>
  </si>
  <si>
    <t xml:space="preserve"> ISOPROPYL PROPIONATE</t>
  </si>
  <si>
    <t xml:space="preserve"> &amp;diams; ISOPROPYL PROPIONATE&lt;br /&gt;&amp;diams; ISOPROPYL PROPANOATE&lt;br /&gt;&amp;diams; PROPANOIC ACID, 1-METHYLETHYL ESTER&lt;br /&gt;&amp;diams; 1-METHYLETHYL PROPANOATE&lt;br /&gt;&amp;diams; PROPIONIC ACID, ISOPROPYL ESTER</t>
  </si>
  <si>
    <t xml:space="preserve"> 29460-90-0</t>
  </si>
  <si>
    <t xml:space="preserve"> 2-ISOPROPYLPYRAZINE</t>
  </si>
  <si>
    <t xml:space="preserve"> &amp;diams; ISOPROPYLPYRAZINE&lt;br /&gt;&amp;diams; 2-ISOPROPYLPYRAZINE&lt;br /&gt;&amp;diams; PYRAZINE, ISOPROPYL-&lt;br /&gt;&amp;diams; PYRAZINE, (1-METHYLETHYL)-&lt;br /&gt;&amp;diams; (1-METHYLETHYL)PYRAZINE</t>
  </si>
  <si>
    <t xml:space="preserve"> 1733-25-1</t>
  </si>
  <si>
    <t xml:space="preserve"> ISOPROPYL TIGLATE</t>
  </si>
  <si>
    <t xml:space="preserve"> &amp;diams; ISOPROPYL TIGLATE&lt;br /&gt;&amp;diams; ISOPROPYL ALPHA-METHYLCROTONATE&lt;br /&gt;&amp;diams; 2-BUTENOIC ACID, 2-METHYL-, 1-METHYLETHYL ESTER, (E)-&lt;br /&gt;&amp;diams; 1-METHYLETHYL 2-METHYL-2-BUTENOATE, (E)-</t>
  </si>
  <si>
    <t xml:space="preserve"> 51115-67-4</t>
  </si>
  <si>
    <t xml:space="preserve"> 2-ISOPROPYL-N,2,3-TRIMETHYLBUTYRAMIDE</t>
  </si>
  <si>
    <t xml:space="preserve"> &amp;diams; 2-ISOPROPYL-N,2,3-TRIMETHYLBUTANAMIDE&lt;br /&gt;&amp;diams; BUTANAMIDE, N,2,3-TRIMETHYL-2-(1-METHYLETHYL)-&lt;br /&gt;&amp;diams; METHYL DIISOPROPYL PROPIONAMIDE&lt;br /&gt;&amp;diams; N,2,3-TRIMETHYL-2-(1-METHYLETHYL)BUTANAMIDE&lt;br /&gt;&amp;diams; N,2,3-TRIMETHYL-2-ISOPROPYLBUTANAMIDE&lt;br /&gt;&amp;diams; 2-ISOPROPYL-N,2,3-TRIMETHYLBUTYRAMIDE</t>
  </si>
  <si>
    <t xml:space="preserve"> 89-79-2</t>
  </si>
  <si>
    <t xml:space="preserve"> ISOPULEGOL</t>
  </si>
  <si>
    <t xml:space="preserve"> &amp;diams; ISOPULEGOL&lt;br /&gt;&amp;diams; P-MENTH-8-EN-3-OL&lt;br /&gt;&amp;diams; 1-METHYL-4-ISOPROPENYLCYCLOHEXAN-3-OL&lt;br /&gt;&amp;diams; P-8(9)-MENTHEN-3-OL&lt;br /&gt;&amp;diams; CYCLOHEXANOL, 5-METHYL-2-(1-METHYLETHENYL)-, (1R-(1ALPHA,2BETA,5ALPHA))-&lt;br /&gt;&amp;diams; 5-METHYL-2-(1-METHYLETHENYL)CYCLOHEXANOL, (1R-(1ALPHA,2BETA,5ALPHA))-&lt;br /&gt;&amp;diams; P-MENTH-8-EN-3-OL, (1R,3R,4S)-(-)-</t>
  </si>
  <si>
    <t xml:space="preserve"> 29606-79-9</t>
  </si>
  <si>
    <t xml:space="preserve"> ISOPULEGONE</t>
  </si>
  <si>
    <t xml:space="preserve"> &amp;diams; ISOPULEGONE&lt;br /&gt;&amp;diams; P-MENTH-8-EN-3-ONE, TRANS-&lt;br /&gt;&amp;diams; 1-METHYL-4-ISOPROPENYL-3-CYCLOHEXANONE&lt;br /&gt;&amp;diams; 8(9)-P-MENTHEN-3-ONE, DELTA-&lt;br /&gt;&amp;diams; 1-ISOPROPYL-4-METHYL-2-CYCLOHEXANONE&lt;br /&gt;&amp;diams; CYCLOHEXANONE, 5-METHYL-2-(1-METHYLETHENYL)-, TRANS-&lt;br /&gt;&amp;diams; 5-METHYL-2-(1-METHYLETHENYL)CYCLOHEXANONE, TRANS-</t>
  </si>
  <si>
    <t xml:space="preserve"> 89-49-6</t>
  </si>
  <si>
    <t xml:space="preserve"> ISOPULEGYL ACETATE</t>
  </si>
  <si>
    <t xml:space="preserve"> &amp;diams; ISOPULEGYL ACETATE&lt;br /&gt;&amp;diams; 1-METHYL-4-ISOPROPENYLCYCLOHEXAN-3-YL ACETATE&lt;br /&gt;&amp;diams; P-MENTH-8-EN-3-YL ACETATE&lt;br /&gt;&amp;diams; ISOPROPENYLCYCLOHEXAN-3-YL ACETATE&lt;br /&gt;&amp;diams; CYCLOHEXANOL, 5-METHYL-2-(1-METHYLETHENYL), ACETATE&lt;br /&gt;&amp;diams; 5-METHYL-2-(1-METHYLETHENYL)CYCLOHEXYL ACETATE</t>
  </si>
  <si>
    <t xml:space="preserve"> 977187-64-6</t>
  </si>
  <si>
    <t xml:space="preserve"> ISOQUERCITRIN, ENZYMATICALLY MODIFIED</t>
  </si>
  <si>
    <t xml:space="preserve"> &amp;diams; ISOQUERCITRIN, ENZYMATICALLY MODIFIED&lt;br /&gt;&amp;diams; InChI=1S/C21H20O12/c22-6-12(27)19-16(29)17(30)21(32-19)33-20-15(28)14-11(26)4-8(23)5-13(14)31-18(20)7-1-2-9(24)10(25)3-7/h1-5,12,16-17,19,21-27,29-30H,6H2/t12-,16-,17-,19-,21+/m1/s1&lt;br /&gt;&amp;diams; InChiKey=OPJZLUXFQFQYAI-GNPVFZCLSA-N&lt;br /&gt;&amp;diams; alpha-glycosyl isoquercitrin&lt;br /&gt;&amp;diams; Sanmelin AO 1007</t>
  </si>
  <si>
    <t xml:space="preserve"> 119-65-3</t>
  </si>
  <si>
    <t xml:space="preserve"> ISOQUINOLINE</t>
  </si>
  <si>
    <t xml:space="preserve"> &amp;diams; ISOQUINOLINE&lt;br /&gt;&amp;diams; 2-BENZAZINE&lt;br /&gt;&amp;diams; BENZO(C)PYRIDINE&lt;br /&gt;&amp;diams; 3,4-BENZOPYRIDINE&lt;br /&gt;&amp;diams; 2-AZANAPHTHALENE&lt;br /&gt;&amp;diams; BENZOPYRIDINE&lt;br /&gt;&amp;diams; QUINOLINE, BETA-</t>
  </si>
  <si>
    <t xml:space="preserve"> 3842-03-3</t>
  </si>
  <si>
    <t xml:space="preserve"> ISOVALERALDEHYDE DIETHYL ACETAL</t>
  </si>
  <si>
    <t xml:space="preserve"> &amp;diams; 3-METHYLBUTYRALDEHYDE DIETHYL ACETAL&lt;br /&gt;&amp;diams; butane, 1,1-diethoxy-3-methyl-&lt;br /&gt;&amp;diams; 1,1-diethoxy-3-methylbutane&lt;br /&gt;&amp;diams; isovaleraldehyde, diethyl acetal&lt;br /&gt;&amp;diams; isovaleraldehyde diethyl acetal&lt;br /&gt;&amp;diams; InChI=1S/C9H20O2/c1-5-10-9(11-6-2)7-8(3)4/h8-9H,5-7H2,1-4H3&lt;br /&gt;&amp;diams; InChIKey: DDGBOLJFAMEBOE-UHFFFAOYSA-N</t>
  </si>
  <si>
    <t xml:space="preserve"> 977188-22-9</t>
  </si>
  <si>
    <t xml:space="preserve"> ISOVALERALDEHYDE GLYCERYL ACETAL</t>
  </si>
  <si>
    <t xml:space="preserve"> &amp;diams; 3-METHYLBUTYRALDEHYDE GLYCERYL ACETAL&lt;br /&gt;&amp;diams; isovaleraldehyde glyceryl acetal</t>
  </si>
  <si>
    <t xml:space="preserve"> 503-74-2</t>
  </si>
  <si>
    <t xml:space="preserve"> ISOVALERIC ACID</t>
  </si>
  <si>
    <t xml:space="preserve"> &amp;diams; ISOVALERIC ACID&lt;br /&gt;&amp;diams; ISOPROPYLACETIC ACID&lt;br /&gt;&amp;diams; 3-METHYLBUTANOIC ACID&lt;br /&gt;&amp;diams; ISOPENTANOIC ACID&lt;br /&gt;&amp;diams; DELPHINIC ACID&lt;br /&gt;&amp;diams; BETA-METHYLBUTYRIC ACID&lt;br /&gt;&amp;diams; ISOVALERIANIC ACID&lt;br /&gt;&amp;diams; ISOBUTYLFORMIC ACID&lt;br /&gt;&amp;diams; 3-METHYLBUTYRIC ACID&lt;br /&gt;&amp;diams; BUTANOIC ACID, 3-METHYL-</t>
  </si>
  <si>
    <t xml:space="preserve"> 977091-61-4</t>
  </si>
  <si>
    <t xml:space="preserve"> IVA (ACHILLEA MOSCHATA JACQ.)</t>
  </si>
  <si>
    <t xml:space="preserve"> &amp;diams; IVA&lt;br /&gt;&amp;diams; ACHILLEA MOSCHATA&lt;br /&gt;&amp;diams; MUSK YARROW</t>
  </si>
  <si>
    <t xml:space="preserve"> 977091-62-5</t>
  </si>
  <si>
    <t xml:space="preserve"> IVA, EXTRACT (ACHILLEA MOSCHATA JACQ.)</t>
  </si>
  <si>
    <t xml:space="preserve"> &amp;diams; IVA EXTRACT&lt;br /&gt;&amp;diams; ACHILLEA MOSCHATA EXTRACT</t>
  </si>
  <si>
    <t xml:space="preserve"> 977162-66-5</t>
  </si>
  <si>
    <t xml:space="preserve"> JAMBU OLEORESIN</t>
  </si>
  <si>
    <t xml:space="preserve"> &amp;diams; PARA CRESS OLEORESIN&lt;br /&gt;&amp;diams; SPILANTHES ACMELLA OLEORESIN&lt;br /&gt;&amp;diams; JAMBU OLEORESIN</t>
  </si>
  <si>
    <t xml:space="preserve"> 8001-39-6</t>
  </si>
  <si>
    <t xml:space="preserve"> JAPAN WAX</t>
  </si>
  <si>
    <t xml:space="preserve"> &amp;diams; JAPAN WAX&lt;br /&gt;&amp;diams; VEGETABLE WAX&lt;br /&gt;&amp;diams; JAPAN TALLOW&lt;br /&gt;&amp;diams; SUMAC WAX</t>
  </si>
  <si>
    <t xml:space="preserve"> TEXTURIZER</t>
  </si>
  <si>
    <t xml:space="preserve"> 977146-68-1</t>
  </si>
  <si>
    <t xml:space="preserve"> JASMINE, ABSOLUTE (JASMINUM SPP.)</t>
  </si>
  <si>
    <t xml:space="preserve"> &amp;diams; JASMINE ABSOLUTE&lt;br /&gt;&amp;diams; JASMINUM GRANDIFLORUM ABSOLUTE</t>
  </si>
  <si>
    <t xml:space="preserve"> 977125-38-4</t>
  </si>
  <si>
    <t xml:space="preserve"> JASMINE, CONCRETE (JASMINUM SPP.)</t>
  </si>
  <si>
    <t xml:space="preserve"> &amp;diams; JASMINE CONCRETE&lt;br /&gt;&amp;diams; JASMINUM GRANDIFLORUM CONCRETE</t>
  </si>
  <si>
    <t xml:space="preserve"> 8022-96-6</t>
  </si>
  <si>
    <t xml:space="preserve"> JASMINE, OIL (JASMINUM GRANDIFLORUM L.)</t>
  </si>
  <si>
    <t xml:space="preserve"> &amp;diams; JASMINE OIL&lt;br /&gt;&amp;diams; OILS, JASMINE&lt;br /&gt;&amp;diams; JASMINUM GRANDIFLORUM OIL&lt;br /&gt;&amp;diams; JASMINUM OFFICINALE OIL</t>
  </si>
  <si>
    <t xml:space="preserve"> 977038-79-1</t>
  </si>
  <si>
    <t xml:space="preserve"> JASMINE, SPIRITUS (JASMINUM GRANDIFLORUM L.)</t>
  </si>
  <si>
    <t xml:space="preserve"> &amp;diams; JASMINE SPIRIT&lt;br /&gt;&amp;diams; JASMINE, SPIRITUS&lt;br /&gt;&amp;diams; JASMINUM GRANDIFLORUM SPIRIT</t>
  </si>
  <si>
    <t xml:space="preserve"> 488-10-8</t>
  </si>
  <si>
    <t xml:space="preserve"> JASMONE, CIS-</t>
  </si>
  <si>
    <t xml:space="preserve"> &amp;diams; JASMONE&lt;br /&gt;&amp;diams; 3-METHYL-2-(2-PENTENYL)-2-CYCLOPENTEN-1-ONE, (Z)-&lt;br /&gt;&amp;diams; JASMONE, CIS-&lt;br /&gt;&amp;diams; 2-CYCLOPENTEN-1-ONE, 3-METHYL-2-(2-PENTENYL)-, (Z)-&lt;br /&gt;&amp;diams; 2-CYCLOPENTEN-1-ONE, 3-METHYL-2-(2Z)-2-PENTENYL-&lt;br /&gt;&amp;diams; 3-METHYL-2-(2Z)-2-PENTENYL-2-CYCLOPENTEN-1-ONE&lt;br /&gt;&amp;diams; JASMONE, (Z)-</t>
  </si>
  <si>
    <t xml:space="preserve"> 977011-44-1</t>
  </si>
  <si>
    <t xml:space="preserve"> JELUTONG (DYERA COSTULATA HOOK, F. AND D. LOWII HOOK, F.)</t>
  </si>
  <si>
    <t xml:space="preserve"> &amp;diams; JELUTONG</t>
  </si>
  <si>
    <t xml:space="preserve"> MASTICATORY SUBSTANCE,&lt;br /&gt; WASHING OR SURFACE REMOVAL AGENT</t>
  </si>
  <si>
    <t xml:space="preserve"> 977038-80-4</t>
  </si>
  <si>
    <t xml:space="preserve"> JUNIPER (BERRIES) (JUNIPERUS COMMUNIS L.)</t>
  </si>
  <si>
    <t xml:space="preserve"> &amp;diams; JUNIPER BERRY&lt;br /&gt;&amp;diams; JUNIPERUS COMMUNIS BERRY</t>
  </si>
  <si>
    <t xml:space="preserve"> 84603-69-0</t>
  </si>
  <si>
    <t xml:space="preserve"> JUNIPER, EXTRACT (JUNIPERUS COMMUNIS L.)</t>
  </si>
  <si>
    <t xml:space="preserve"> &amp;diams; JUNIPER EXTRACT&lt;br /&gt;&amp;diams; JUNIPERUS COMMUNIS EXTRACT&lt;br /&gt;&amp;diams; JUNIPER, JUNIPERUS COMMUNIS, EXT.</t>
  </si>
  <si>
    <t xml:space="preserve"> 8002-68-4</t>
  </si>
  <si>
    <t xml:space="preserve"> JUNIPER OIL (JUNIPERUS COMMUNIS L.)</t>
  </si>
  <si>
    <t xml:space="preserve"> &amp;diams; JUNIPER OIL&lt;br /&gt;&amp;diams; OILS, JUNIPER&lt;br /&gt;&amp;diams; JUNIPERUS COMMUNIS OIL</t>
  </si>
  <si>
    <t xml:space="preserve"> 977001-75-4</t>
  </si>
  <si>
    <t xml:space="preserve"> KELP</t>
  </si>
  <si>
    <t xml:space="preserve"> &amp;diams; KELP&lt;br /&gt;&amp;diams; VARECH (LAMINARIA SPP.)</t>
  </si>
  <si>
    <t xml:space="preserve"> 34619-12-0</t>
  </si>
  <si>
    <t xml:space="preserve"> 2-KETO-4-BUTANETHIOL</t>
  </si>
  <si>
    <t xml:space="preserve"> &amp;diams; 4-MERCAPTO-2-BUTANONE&lt;br /&gt;&amp;diams; 2-KETO-4-BUTANETHIOL&lt;br /&gt;&amp;diams; 2-BUTANONE, 4-MERCAPTO-</t>
  </si>
  <si>
    <t xml:space="preserve"> 600-18-0</t>
  </si>
  <si>
    <t xml:space="preserve"> ALPHA-KETOBUTYRIC ACID</t>
  </si>
  <si>
    <t xml:space="preserve"> &amp;diams; 2-OXOBUTYRIC ACID&lt;br /&gt;&amp;diams; ALPHA-KETOBUTYRIC ACID&lt;br /&gt;&amp;diams; 2-KETOBUTYRIC ACID&lt;br /&gt;&amp;diams; BUTANOIC ACID, 2-OXO-&lt;br /&gt;&amp;diams; BUTYRIC ACID, 2-OXO-&lt;br /&gt;&amp;diams; ALPHA-OXOBUTYRIC ACID&lt;br /&gt;&amp;diams; 2-OXOBUTANOIC ACID&lt;br /&gt;&amp;diams; 3-METHYLPYRUVIC ACID</t>
  </si>
  <si>
    <t xml:space="preserve"> 68916-19-8</t>
  </si>
  <si>
    <t xml:space="preserve"> KOLA NUT, EXTRACT (COLA ACUMINATA SCHOTT ET ENDL.)</t>
  </si>
  <si>
    <t xml:space="preserve"> &amp;diams; KOLA NUT EXTRACT&lt;br /&gt;&amp;diams; KOLA EXTRACT&lt;br /&gt;&amp;diams; COLA EXTRACT&lt;br /&gt;&amp;diams; COLA (GENUS), EXT.</t>
  </si>
  <si>
    <t xml:space="preserve"> 977046-98-2</t>
  </si>
  <si>
    <t xml:space="preserve"> LABDANUM, ABSOLUTE (CISTUS SPP.)</t>
  </si>
  <si>
    <t xml:space="preserve"> &amp;diams; LABDANUM ABSOLUTE&lt;br /&gt;&amp;diams; CISTUS ABSOLUTE</t>
  </si>
  <si>
    <t xml:space="preserve"> 8016-26-0</t>
  </si>
  <si>
    <t xml:space="preserve"> LABDANUM, OIL (CISTUS SPP.)</t>
  </si>
  <si>
    <t xml:space="preserve"> &amp;diams; LABDANUM OIL&lt;br /&gt;&amp;diams; CISTOL&lt;br /&gt;&amp;diams; CISTUS OIL&lt;br /&gt;&amp;diams; RESIN CISTUS LABDANUM&lt;br /&gt;&amp;diams; OILS, LABDANUM&lt;br /&gt;&amp;diams; AMBREINE OIL</t>
  </si>
  <si>
    <t xml:space="preserve"> 977092-72-0</t>
  </si>
  <si>
    <t xml:space="preserve"> LABDANUM, OLEORESIN (CISTUS SPP.)</t>
  </si>
  <si>
    <t xml:space="preserve"> &amp;diams; LABDANUM OLEORESIN&lt;br /&gt;&amp;diams; CISTUS OLEORESIN</t>
  </si>
  <si>
    <t xml:space="preserve"> 9013-90-5</t>
  </si>
  <si>
    <t xml:space="preserve"> LACTALBUMIN</t>
  </si>
  <si>
    <t xml:space="preserve"> &amp;diams; LACTALBUMIN&lt;br /&gt;&amp;diams; LACTALBUMINS</t>
  </si>
  <si>
    <t xml:space="preserve"> FORMULATION AID,&lt;br /&gt; NUTRIENT SUPPLEMENT,&lt;br /&gt; PH CONTROL AGENT</t>
  </si>
  <si>
    <t xml:space="preserve"> 977051-00-5</t>
  </si>
  <si>
    <t xml:space="preserve"> LACTALBUMIN PHOSPHATE</t>
  </si>
  <si>
    <t xml:space="preserve"> &amp;diams; LACTALBUMIN PHOSPHATE</t>
  </si>
  <si>
    <t xml:space="preserve"> 977090-10-0</t>
  </si>
  <si>
    <t xml:space="preserve"> LACTASE FROM SACCHAROMYCES FRAGILIS</t>
  </si>
  <si>
    <t xml:space="preserve"> &amp;diams; BETA-D-GALACTOSIDASE, KLUYVEROMYCES FRAGILIS&lt;br /&gt;&amp;diams; LACTASE, SACCHAROMYCES FRAGILIS&lt;br /&gt;&amp;diams; LACTASE, KLUYVEROMYCES FRAGILIS&lt;br /&gt;&amp;diams; KLUYVEROMYCES FRAGILIS BETA-D-GALACTOSIDASE</t>
  </si>
  <si>
    <t xml:space="preserve"> 977090-11-1</t>
  </si>
  <si>
    <t xml:space="preserve"> LACTASE FROM SACCHAROMYCES (KLUYVEROMYCES) LACTIS</t>
  </si>
  <si>
    <t xml:space="preserve"> &amp;diams; BETA-D-GALACTOSIDASE, KLUYVEROMYCES MARXIANUS VAR. LACTIS&lt;br /&gt;&amp;diams; BETA-D-GALACTOSIDASE, KLUYVEROMYCES LACTIS&lt;br /&gt;&amp;diams; BETA-D-GALACTOSIDASE, SACCHAROMYCES LACTIS&lt;br /&gt;&amp;diams; GALACTOSIDE GALACTOHYDROLASE, BETA-D-, KLUYVEROMYCES LACTIS&lt;br /&gt;&amp;diams; LACTASE, SACCHAROMYCES LACTIS&lt;br /&gt;&amp;diams; LACTASE, KLUYVEROMYCES LACTIS&lt;br /&gt;&amp;diams; LACTASE, KLUYVEROMYCES MARXIANUS VAR. LACTIS&lt;br /&gt;&amp;diams; KLUYVEROMYCES MARXIANUS VAR. LACTIS BETA-D-GALACTOSIDASE</t>
  </si>
  <si>
    <t xml:space="preserve"> 977166-26-9</t>
  </si>
  <si>
    <t xml:space="preserve"> LACTASE PREPARATION, CANDIDA PSEUDOTROPICALIS</t>
  </si>
  <si>
    <t xml:space="preserve"> &amp;diams; BETA-D-GALACTOSIDASE, CANDIDA KEFYR&lt;br /&gt;&amp;diams; BETA-GALACTOSIDASE, CANDIDA KEFYR&lt;br /&gt;&amp;diams; BETA-D-GALACTOSIDASE, CANDIDA PSEUDOTROPICALIS&lt;br /&gt;&amp;diams; CANDIDA KEFYR LACTASE&lt;br /&gt;&amp;diams; CANDIDA KEFYR BETA-D-GALACTOSIDASE&lt;br /&gt;&amp;diams; GALACTOSIDASE, BETA-, CANDIDA KEFYR&lt;br /&gt;&amp;diams; LACTASE, CANDIDA PSEUDOTROPICALIS&lt;br /&gt;&amp;diams; LACTASE, CANDIDA KEFYR</t>
  </si>
  <si>
    <t xml:space="preserve"> 63-42-3</t>
  </si>
  <si>
    <t xml:space="preserve"> LACTOSE</t>
  </si>
  <si>
    <t xml:space="preserve"> &amp;diams; LACTOSE&lt;br /&gt;&amp;diams; MILK SUGAR&lt;br /&gt;&amp;diams; LACTOSE, ANHYDROUS&lt;br /&gt;&amp;diams; 4-O-BETA-D-GALACTOPYRANOSYL-D-GLUCOSE&lt;br /&gt;&amp;diams; LACTOSE, D-(+)-&lt;br /&gt;&amp;diams; D-GLUCOSE, 4-O-BETA-D-GALACTOPYRANOSYL-</t>
  </si>
  <si>
    <t xml:space="preserve"> FLAVOR ENHANCER,&lt;br /&gt; FLAVORING AGENT OR ADJUVANT,&lt;br /&gt; FORMULATION AID,&lt;br /&gt; LUBRICANT OR RELEASE AGENT,&lt;br /&gt; MALTING OR FERMENTING AID,&lt;br /&gt; NUTRITIVE SWEETENER,&lt;br /&gt; OXIDIZING OR REDUCING AGENT,&lt;br /&gt; SOLVENT OR VEHICLE,&lt;br /&gt; STABILIZER OR THICKENER,&lt;br /&gt; SURFACE-ACTIVE AGENT</t>
  </si>
  <si>
    <t xml:space="preserve"> 131.112,  131.170,  131.200,  131.203,  131.206,  168.122,  169.179,  169.182</t>
  </si>
  <si>
    <t xml:space="preserve"> 977126-93-4</t>
  </si>
  <si>
    <t xml:space="preserve"> LACTOSE, HYDROLYZED</t>
  </si>
  <si>
    <t xml:space="preserve"> &amp;diams; HYDROLYZED LACTOSE&lt;br /&gt;&amp;diams; LACTOSE, HYDROLYZED</t>
  </si>
  <si>
    <t xml:space="preserve"> 133.124 ,  133.178 ,  133.179</t>
  </si>
  <si>
    <t xml:space="preserve"> 5422-34-4</t>
  </si>
  <si>
    <t xml:space="preserve"> N-LACTOYL ETHANOLAMINE</t>
  </si>
  <si>
    <t xml:space="preserve"> &amp;diams; MONOETHANOLAMINE LACTAMIDE&lt;br /&gt;&amp;diams; MONOETHANOLAMINE 2-HYDROXYPROPANAMIDE&lt;br /&gt;&amp;diams; LACTAMIDE, N-(2-HYDROXYETHYL)-&lt;br /&gt;&amp;diams; PROPANAMIDE, 2-HYDROXY-N-(2-HYDROXYETHYL)-&lt;br /&gt;&amp;diams; N-(2-HYDROXYETHYL) LACTAMIDE&lt;br /&gt;&amp;diams; N-(BETA-HYDROXYETHYL)-2-HYDROXYPROPIONAMIDE&lt;br /&gt;&amp;diams; N-(BETA-HYDROXYETHYL) LACTAMIDE&lt;br /&gt;&amp;diams; 2-HYDROXY-N-(2-HYDROXYETHYL)PROPANAMIDE&lt;br /&gt;&amp;diams; 2-HYDROXY-N-(2-HYDROXYETHYL)PROPANAMIDE, (+-)</t>
  </si>
  <si>
    <t xml:space="preserve"> 782498-03-7</t>
  </si>
  <si>
    <t xml:space="preserve"> N-LACTOYL ETHANOLAMINE PHOSPHATE</t>
  </si>
  <si>
    <t xml:space="preserve"> 977050-66-0</t>
  </si>
  <si>
    <t xml:space="preserve"> LACTYLATED FATTY ACID ESTERS OF GLYCEROL AND PROPYLENE GLYCOL</t>
  </si>
  <si>
    <t xml:space="preserve"> &amp;diams; FATTY ACIDS, GLYCEROL AND PROPYLENE GLYCOL ESTERS, LACTYLATED&lt;br /&gt;&amp;diams; LACTYLATED FATTY ACID ESTERS OF GLYCEROL AND PROPYLENE GLYCOL</t>
  </si>
  <si>
    <t xml:space="preserve"> EMULSIFIER OR EMULSIFIER SALT,&lt;br /&gt; FORMULATION AID,&lt;br /&gt; SURFACE-ACTIVE AGENT</t>
  </si>
  <si>
    <t xml:space="preserve"> 977050-67-1</t>
  </si>
  <si>
    <t xml:space="preserve"> LACTYLIC ESTERS OF FATTY ACIDS</t>
  </si>
  <si>
    <t xml:space="preserve"> &amp;diams; FATTY ACIDS, LACTYLIC ESTERS&lt;br /&gt;&amp;diams; LACTYLIC FATTY ACID ESTERS</t>
  </si>
  <si>
    <t xml:space="preserve"> 8020-84-6</t>
  </si>
  <si>
    <t xml:space="preserve"> LANOLIN</t>
  </si>
  <si>
    <t xml:space="preserve"> &amp;diams; LANOLIN&lt;br /&gt;&amp;diams; WOOL WAX</t>
  </si>
  <si>
    <t xml:space="preserve"> 61789-99-9</t>
  </si>
  <si>
    <t xml:space="preserve"> LARD</t>
  </si>
  <si>
    <t xml:space="preserve"> &amp;diams; LARD&lt;br /&gt;&amp;diams; FAT, LARD</t>
  </si>
  <si>
    <t xml:space="preserve"> EMULSIFIER OR EMULSIFIER SALT,&lt;br /&gt; FORMULATION AID,&lt;br /&gt; TEXTURIZER</t>
  </si>
  <si>
    <t xml:space="preserve"> 8016-28-2</t>
  </si>
  <si>
    <t xml:space="preserve"> LARD OIL</t>
  </si>
  <si>
    <t xml:space="preserve"> &amp;diams; LARD OIL&lt;br /&gt;&amp;diams; LARD, OIL&lt;br /&gt;&amp;diams; OIL, LARD</t>
  </si>
  <si>
    <t xml:space="preserve"> 977051-01-6</t>
  </si>
  <si>
    <t xml:space="preserve"> LAUREL BERRIES (LAURUS NOBILIS L.)</t>
  </si>
  <si>
    <t xml:space="preserve"> &amp;diams; BAY BERRY, SWEET&lt;br /&gt;&amp;diams; BAY LAUREL BERRY&lt;br /&gt;&amp;diams; LAUREL BERRY&lt;br /&gt;&amp;diams; LAURUS NOBILIS BERRY</t>
  </si>
  <si>
    <t xml:space="preserve"> 143-07-7</t>
  </si>
  <si>
    <t xml:space="preserve"> LAURIC ACID</t>
  </si>
  <si>
    <t xml:space="preserve"> &amp;diams; LAURIC ACID&lt;br /&gt;&amp;diams; DODECANOIC ACID&lt;br /&gt;&amp;diams; C12 FATTY ACID&lt;br /&gt;&amp;diams; LAUROSTEARIC ACID&lt;br /&gt;&amp;diams; DODECOIC ACID&lt;br /&gt;&amp;diams; 1-UNDECANECARBOXYLIC ACID&lt;br /&gt;&amp;diams; NSC-5026</t>
  </si>
  <si>
    <t xml:space="preserve"> 112-54-9</t>
  </si>
  <si>
    <t xml:space="preserve"> LAURIC ALDEHYDE</t>
  </si>
  <si>
    <t xml:space="preserve"> &amp;diams; LAURYL ALDEHYDE&lt;br /&gt;&amp;diams; ALDEHYDE C-12&lt;br /&gt;&amp;diams; DODECANAL&lt;br /&gt;&amp;diams; LAURALDEHYDE&lt;br /&gt;&amp;diams; LAURIC ALDEHYDE&lt;br /&gt;&amp;diams; C12 ALDEHYDE&lt;br /&gt;&amp;diams; DODECYL ALDEHYDE&lt;br /&gt;&amp;diams; 1-DODECANAL</t>
  </si>
  <si>
    <t xml:space="preserve"> 120-40-1</t>
  </si>
  <si>
    <t xml:space="preserve"> LAUROYL DIETHANOLAMIDE</t>
  </si>
  <si>
    <t xml:space="preserve"> &amp;diams; LAUROYL DIETHANOLAMIDE&lt;br /&gt;&amp;diams; BIS(2-HYDROXYETHYL)LAURAMIDE&lt;br /&gt;&amp;diams; DIALKANOLAMIDE (METHYL LAURATE CONDENSED WITH DIETHANOLAMINE)&lt;br /&gt;&amp;diams; DODECANAMIDE, N,N-BIS(2-HYDROXYETHYL)-&lt;br /&gt;&amp;diams; LAURIC DIETHANOLAMIDE&lt;br /&gt;&amp;diams; METHYL LAURATE-DIETHANOLAMINE CONDENSATE&lt;br /&gt;&amp;diams; LAURYL DIETHANOLAMIDE&lt;br /&gt;&amp;diams; N,N-BIS(2-HYDROXYETHYL)DODECANAMIDE&lt;br /&gt;&amp;diams; N,N-BIS(HYDROXYETHYL)LAURAMIDE</t>
  </si>
  <si>
    <t xml:space="preserve"> 112-66-3</t>
  </si>
  <si>
    <t xml:space="preserve"> LAURYL ACETATE</t>
  </si>
  <si>
    <t xml:space="preserve"> &amp;diams; LAURYL ACETATE&lt;br /&gt;&amp;diams; DODECYL ACETATE&lt;br /&gt;&amp;diams; DODECANYL ACETATE&lt;br /&gt;&amp;diams; DODECANYL ETHANOATE&lt;br /&gt;&amp;diams; LAURYL ETHANOATE&lt;br /&gt;&amp;diams; ACETIC ACID, DODECYL ESTER&lt;br /&gt;&amp;diams; ACETATE C-12</t>
  </si>
  <si>
    <t xml:space="preserve"> 112-53-8</t>
  </si>
  <si>
    <t xml:space="preserve"> LAURYL ALCOHOL</t>
  </si>
  <si>
    <t xml:space="preserve"> &amp;diams; LAURYL ALCOHOL&lt;br /&gt;&amp;diams; ALCOHOL(C12)&lt;br /&gt;&amp;diams; DODECYL ALCOHOL&lt;br /&gt;&amp;diams; 1-DODECANOL&lt;br /&gt;&amp;diams; LAUROYL ALCOHOL&lt;br /&gt;&amp;diams; UNDECYL CARBINOL&lt;br /&gt;&amp;diams; C12 ALCOHOL&lt;br /&gt;&amp;diams; FATTY ALCOHOL(C12)&lt;br /&gt;&amp;diams; DODECANOL (1-DODECANOL)</t>
  </si>
  <si>
    <t xml:space="preserve"> 977183-98-4</t>
  </si>
  <si>
    <t xml:space="preserve"> LAVANDIN ABSOLUTE</t>
  </si>
  <si>
    <t xml:space="preserve"> &amp;diams; LAVANDIN ABSOLUTE</t>
  </si>
  <si>
    <t xml:space="preserve"> 977183-99-5</t>
  </si>
  <si>
    <t xml:space="preserve"> LAVANDIN, CONCRETE</t>
  </si>
  <si>
    <t xml:space="preserve"> &amp;diams; LAVANDIN CONCRETE</t>
  </si>
  <si>
    <t xml:space="preserve"> 8022-15-9</t>
  </si>
  <si>
    <t xml:space="preserve"> LAVANDIN, OIL</t>
  </si>
  <si>
    <t xml:space="preserve"> &amp;diams; LAVANDIN OIL&lt;br /&gt;&amp;diams; LAVANDULA HYBRIDA OIL&lt;br /&gt;&amp;diams; OILS, LAVANDIN</t>
  </si>
  <si>
    <t xml:space="preserve"> 977126-26-3</t>
  </si>
  <si>
    <t xml:space="preserve"> LAVENDER, ABSOLUTE (LAVANDULA OFFICINALIS CHAIX)</t>
  </si>
  <si>
    <t xml:space="preserve"> &amp;diams; LAVENDER ABSOLUTE&lt;br /&gt;&amp;diams; LAVANDULA OFFICINALIS ABSOLUTE</t>
  </si>
  <si>
    <t xml:space="preserve"> 977089-32-9</t>
  </si>
  <si>
    <t xml:space="preserve"> LAVENDER, CONCRETE (LAVANDULA OFFICINALIS CHAIX)</t>
  </si>
  <si>
    <t xml:space="preserve"> &amp;diams; LAVENDER CONCRETE&lt;br /&gt;&amp;diams; LAVANDULA OFFICINALIS CONCRETE</t>
  </si>
  <si>
    <t xml:space="preserve"> 977001-82-3</t>
  </si>
  <si>
    <t xml:space="preserve"> LAVENDER (LAVANDULA OFFICINALIS CHAIX)</t>
  </si>
  <si>
    <t xml:space="preserve"> &amp;diams; LAVENDER&lt;br /&gt;&amp;diams; LAVANDULA SPP.&lt;br /&gt;&amp;diams; LAVANDULA OFFICINALIS&lt;br /&gt;&amp;diams; GARDEN LAVENDER&lt;br /&gt;&amp;diams; TRUE LAVENDER&lt;br /&gt;&amp;diams; alfazema</t>
  </si>
  <si>
    <t xml:space="preserve"> 8000-28-0</t>
  </si>
  <si>
    <t xml:space="preserve"> LAVENDER, OIL (LAVANDULA OFFICINALIS CHAIX)</t>
  </si>
  <si>
    <t xml:space="preserve"> &amp;diams; LAVENDER OIL&lt;br /&gt;&amp;diams; LAVANDULA OFFICINALIS OIL&lt;br /&gt;&amp;diams; LAVENDER FLOWER OIL&lt;br /&gt;&amp;diams; OILS, LAVENDER</t>
  </si>
  <si>
    <t xml:space="preserve"> 977051-05-0</t>
  </si>
  <si>
    <t xml:space="preserve"> LAVENDER, SPIKE (LAVANDULA LATIFOLIA BILL.)</t>
  </si>
  <si>
    <t xml:space="preserve"> &amp;diams; LAVENDER, SPIKE&lt;br /&gt;&amp;diams; SPIKE LAVENDER&lt;br /&gt;&amp;diams; LAVANDULA LATIFOLIA&lt;br /&gt;&amp;diams; BROADLEAVED LAVENDER&lt;br /&gt;&amp;diams; SPIKE (HERB)</t>
  </si>
  <si>
    <t xml:space="preserve"> 8016-78-2</t>
  </si>
  <si>
    <t xml:space="preserve"> LAVENDER, SPIKE, OIL (LAVANDULA SPP.)</t>
  </si>
  <si>
    <t xml:space="preserve"> &amp;diams; SPIKE LAVENDER OIL&lt;br /&gt;&amp;diams; LAVENDER, SPIKE, OIL&lt;br /&gt;&amp;diams; LAVENDER OIL, SPIKE&lt;br /&gt;&amp;diams; OILS, SPIKE&lt;br /&gt;&amp;diams; LAVANDULA LATIFOLIA OIL</t>
  </si>
  <si>
    <t xml:space="preserve"> 977011-45-2</t>
  </si>
  <si>
    <t xml:space="preserve"> LECHE CASPI (COUMA MACROCARPA BARB. RODR.)</t>
  </si>
  <si>
    <t xml:space="preserve"> &amp;diams; LECHE CASPI&lt;br /&gt;&amp;diams; SORVA</t>
  </si>
  <si>
    <t xml:space="preserve"> 977011-46-3</t>
  </si>
  <si>
    <t xml:space="preserve"> LECHE DE VACA (BROSIMUM UTILE (H.B.K.) PITTIER, AND POULSENIA SPP.)</t>
  </si>
  <si>
    <t xml:space="preserve"> &amp;diams; LECHE DE VACA</t>
  </si>
  <si>
    <t xml:space="preserve"> 977092-75-3</t>
  </si>
  <si>
    <t xml:space="preserve"> LECITHIN, BENZOYL PEROXIDE MODIFIED</t>
  </si>
  <si>
    <t xml:space="preserve"> &amp;diams; LECITHIN, BENZOYL PEROXIDE MODIFIED</t>
  </si>
  <si>
    <t xml:space="preserve"> ANTIOXIDANT,&lt;br /&gt; EMULSIFIER OR EMULSIFIER SALT</t>
  </si>
  <si>
    <t xml:space="preserve"> 977101-55-5</t>
  </si>
  <si>
    <t xml:space="preserve"> LECITHIN, ENZYME-MODIFIED</t>
  </si>
  <si>
    <t xml:space="preserve"> &amp;diams; LECITHIN, ENZYME-MODIFIED</t>
  </si>
  <si>
    <t xml:space="preserve"> 977092-76-4</t>
  </si>
  <si>
    <t xml:space="preserve"> LECITHIN, HYDROGEN PEROXIDE MODIFIED</t>
  </si>
  <si>
    <t xml:space="preserve"> &amp;diams; LECITHIN, HYDROGEN PEROXIDE MODIFIED</t>
  </si>
  <si>
    <t xml:space="preserve"> EMULSIFIER OR EMULSIFIER SALT,&lt;br /&gt; LUBRICANT OR RELEASE AGENT</t>
  </si>
  <si>
    <t xml:space="preserve"> 977092-24-2</t>
  </si>
  <si>
    <t xml:space="preserve"> LECITHIN (VEGETABLE)</t>
  </si>
  <si>
    <t xml:space="preserve"> &amp;diams; LECITHIN, VEGETABLE&lt;br /&gt;&amp;diams; PHYTOLECITHIN</t>
  </si>
  <si>
    <t xml:space="preserve"> ANTIOXIDANT,&lt;br /&gt; DRYING AGENT</t>
  </si>
  <si>
    <t xml:space="preserve"> 977089-43-2</t>
  </si>
  <si>
    <t xml:space="preserve"> LEEK OIL</t>
  </si>
  <si>
    <t xml:space="preserve"> &amp;diams; LEEK OIL</t>
  </si>
  <si>
    <t xml:space="preserve"> 977091-76-1</t>
  </si>
  <si>
    <t xml:space="preserve"> LEMON ESSENCE</t>
  </si>
  <si>
    <t xml:space="preserve"> &amp;diams; LEMON ESSENCE</t>
  </si>
  <si>
    <t xml:space="preserve"> 84929-31-7</t>
  </si>
  <si>
    <t xml:space="preserve"> LEMON, EXTRACT (CITRUS LIMON (L.) BURM. F.)</t>
  </si>
  <si>
    <t xml:space="preserve"> &amp;diams; LEMON EXTRACT&lt;br /&gt;&amp;diams; LEMON, EXT.&lt;br /&gt;&amp;diams; CITRUS MEDICA VAR. LIMONUM EXTRACT</t>
  </si>
  <si>
    <t xml:space="preserve"> 8007-02-1</t>
  </si>
  <si>
    <t xml:space="preserve"> LEMON GRASS, OIL (CYMBOPOGON CITRATUS DC. AND CYMBOPOGON FLEXUOSUSSTAPF)</t>
  </si>
  <si>
    <t xml:space="preserve"> &amp;diams; LEMON GRASS OIL&lt;br /&gt;&amp;diams; OILS, LEMONGRASS&lt;br /&gt;&amp;diams; CYMBOPOGON CITRATUS OIL&lt;br /&gt;&amp;diams; CYMBOPOGON FLEXUOSUS OIL</t>
  </si>
  <si>
    <t xml:space="preserve"> 8008-56-8</t>
  </si>
  <si>
    <t xml:space="preserve"> LEMON, OIL (CITRUS LIMON (L.) BURM. F.)</t>
  </si>
  <si>
    <t xml:space="preserve"> &amp;diams; LEMON OIL&lt;br /&gt;&amp;diams; OILS, LEMON&lt;br /&gt;&amp;diams; OIL, LEMON&lt;br /&gt;&amp;diams; CITRUS MEDICA VAR. LIMONUM OIL</t>
  </si>
  <si>
    <t xml:space="preserve"> 146.114 ,  146.120 ,  161.190</t>
  </si>
  <si>
    <t xml:space="preserve"> 68648-39-5</t>
  </si>
  <si>
    <t xml:space="preserve"> LEMON, OIL, TERPENELESS (CITRUS LIMON (L.) BURM. F.)</t>
  </si>
  <si>
    <t xml:space="preserve"> &amp;diams; LEMON OIL, TERPENELESS&lt;br /&gt;&amp;diams; CEDRO OIL&lt;br /&gt;&amp;diams; OILS, LEMON, TERPENE-FREE</t>
  </si>
  <si>
    <t xml:space="preserve"> 977091-77-2</t>
  </si>
  <si>
    <t xml:space="preserve"> LEMON PEEL EXTRACT</t>
  </si>
  <si>
    <t xml:space="preserve"> &amp;diams; LEMON PEEL EXTRACT</t>
  </si>
  <si>
    <t xml:space="preserve"> 977001-83-4</t>
  </si>
  <si>
    <t xml:space="preserve"> LEMON PEEL GRANULES</t>
  </si>
  <si>
    <t xml:space="preserve"> &amp;diams; LEMON PEEL</t>
  </si>
  <si>
    <t xml:space="preserve"> 68917-33-9</t>
  </si>
  <si>
    <t xml:space="preserve"> LEMON TERPENES</t>
  </si>
  <si>
    <t xml:space="preserve"> &amp;diams; LEMON TERPENE&lt;br /&gt;&amp;diams; TERPENES AND TERPENOIDS, LEMON-OIL</t>
  </si>
  <si>
    <t xml:space="preserve"> 977047-96-3</t>
  </si>
  <si>
    <t xml:space="preserve"> LEMON-VERBENA (LIPPIA CITRIODORA HBK.)</t>
  </si>
  <si>
    <t xml:space="preserve"> &amp;diams; LEMON VERBENA&lt;br /&gt;&amp;diams; ALOYSIA CITRIODORA&lt;br /&gt;&amp;diams; LIPPIA CITRIODORA&lt;br /&gt;&amp;diams; ALOYSIA TRIPHYLLA&lt;br /&gt;&amp;diams; VERBENA, LEMON</t>
  </si>
  <si>
    <t xml:space="preserve"> 8024-12-2</t>
  </si>
  <si>
    <t xml:space="preserve"> LEMON VERBENA, OIL (LIPPIA CITRIODORA)</t>
  </si>
  <si>
    <t xml:space="preserve"> &amp;diams; LEMON VERBENA OIL&lt;br /&gt;&amp;diams; VERBENA OIL&lt;br /&gt;&amp;diams; OILS, VERBENA&lt;br /&gt;&amp;diams; LIPPIA CITRIODORA OIL&lt;br /&gt;&amp;diams; ALOYSIA TRIPHYLLA OIL</t>
  </si>
  <si>
    <t xml:space="preserve"> 491-35-0</t>
  </si>
  <si>
    <t xml:space="preserve"> LEPIDINE</t>
  </si>
  <si>
    <t xml:space="preserve"> &amp;diams; LEPIDINE&lt;br /&gt;&amp;diams; 4-METHYLQUINOLINE&lt;br /&gt;&amp;diams; CINCHOLEPIDINE&lt;br /&gt;&amp;diams; QUINOLINE, 4-METHYL-&lt;br /&gt;&amp;diams; 4-LEPIDINE&lt;br /&gt;&amp;diams; LEPIDIN&lt;br /&gt;&amp;diams; GAMMA-METHYLQUINOLINE</t>
  </si>
  <si>
    <t xml:space="preserve"> 61-90-5</t>
  </si>
  <si>
    <t xml:space="preserve"> L-LEUCINE</t>
  </si>
  <si>
    <t xml:space="preserve"> &amp;diams; LEUCINE, L-&lt;br /&gt;&amp;diams; L-LEUCINE&lt;br /&gt;&amp;diams; 2-AMINO-4-METHYLPENTANOIC ACID, (S)-&lt;br /&gt;&amp;diams; ALPHA-AMINOISOCAPROIC ACID&lt;br /&gt;&amp;diams; 2-AMINO-4-METHYLVALERIC ACID</t>
  </si>
  <si>
    <t xml:space="preserve"> 123-76-2</t>
  </si>
  <si>
    <t xml:space="preserve"> LEVULINIC ACID</t>
  </si>
  <si>
    <t xml:space="preserve"> &amp;diams; LEVULINIC ACID&lt;br /&gt;&amp;diams; 4-OXOPENTANOIC ACID&lt;br /&gt;&amp;diams; BETA-ACETYLPROPIONIC ACID&lt;br /&gt;&amp;diams; 3-KETOBUTANE-1-CARBOXYLIC ACID&lt;br /&gt;&amp;diams; PENTANOIC ACID, 4-OXO-&lt;br /&gt;&amp;diams; GAMMA-KETOVALERIC ACID&lt;br /&gt;&amp;diams; 3-ACETYLPROPIONIC ACID&lt;br /&gt;&amp;diams; 4-OXOVALERIC ACID&lt;br /&gt;&amp;diams; 4-KETOVALERIC ACID</t>
  </si>
  <si>
    <t xml:space="preserve"> 57-48-7</t>
  </si>
  <si>
    <t xml:space="preserve"> LEVULOSE</t>
  </si>
  <si>
    <t xml:space="preserve"> &amp;diams; FRUCTOSE&lt;br /&gt;&amp;diams; LEVULOSE&lt;br /&gt;&amp;diams; ARABINO-HEXULOSE, D-&lt;br /&gt;&amp;diams; FRUCTOSE, D-&lt;br /&gt;&amp;diams; D-FRUCTOSE&lt;br /&gt;&amp;diams; FRUIT SUGAR</t>
  </si>
  <si>
    <t xml:space="preserve"> FLAVOR ENHANCER,&lt;br /&gt; FLAVORING AGENT OR ADJUVANT,&lt;br /&gt; FORMULATION AID,&lt;br /&gt; NUTRITIVE SWEETENER,&lt;br /&gt; PROCESSING AID,&lt;br /&gt; SOLVENT OR VEHICLE,&lt;br /&gt; STABILIZER OR THICKENER,&lt;br /&gt; TEXTURIZER</t>
  </si>
  <si>
    <t xml:space="preserve"> 101.9 ,  131.111 ,  131.112 ,  131.170 ,  131.200 ,  131.203 ,  131.206 ,  133.179 ,  146.132 ,  155.170</t>
  </si>
  <si>
    <t xml:space="preserve"> 7787-20-4</t>
  </si>
  <si>
    <t xml:space="preserve"> L-FENCHONE</t>
  </si>
  <si>
    <t xml:space="preserve"> &amp;diams; FENCHONE, L-&lt;br /&gt;&amp;diams; bicyclo(2.2.1)-2-one, 1,3,3-trimethyl-, (1R,4S)-&lt;br /&gt;&amp;diams; 2-norbornanone, 1,3,3-trimethyl-, (1R,4S)-(-)&lt;br /&gt;&amp;diams; 1,3,3-trimethyl-bicyclo(2.2.1)heptan-2-one, (1R,4S)-&lt;br /&gt;&amp;diams; 1,3,3-trimethyl-2-norbornanone, (1R,4S)-(-)-&lt;br /&gt;&amp;diams; InChI=1S/C10H16O/c1-9(2)7-4-5-10(3,6-7)8(9)11/h7H,4-6H2,1-3H3/t7-,10+/m0/s1&lt;br /&gt;&amp;diams; InChIKey: LHXDLQBQYFFVNW-OIBJUYFYSA-N</t>
  </si>
  <si>
    <t xml:space="preserve"> 68916-91-6</t>
  </si>
  <si>
    <t xml:space="preserve"> LICORICE EXTRACT (GLYCYRRHIZA SPP.)</t>
  </si>
  <si>
    <t xml:space="preserve"> &amp;diams; LICORICE EXTRACT&lt;br /&gt;&amp;diams; LICORICE, EXT.&lt;br /&gt;&amp;diams; EXTRACT, LICORICE</t>
  </si>
  <si>
    <t xml:space="preserve"> 977070-62-4</t>
  </si>
  <si>
    <t xml:space="preserve"> LICORICE EXTRACT POWDER (GLYCYRRHIZA SPP.)</t>
  </si>
  <si>
    <t xml:space="preserve"> &amp;diams; LICORICE EXTRACT, POWDERED&lt;br /&gt;&amp;diams; GLYCYRRHIZA EXTRACT, POWDERED&lt;br /&gt;&amp;diams; LICORICE EXTRACT POWDER</t>
  </si>
  <si>
    <t xml:space="preserve"> FLAVORING AGENT OR ADJUVANT,&lt;br /&gt; NON-NUTRITIVE SWEETENER</t>
  </si>
  <si>
    <t xml:space="preserve"> 977004-31-1</t>
  </si>
  <si>
    <t xml:space="preserve"> LICORICE (GLYCYRRHIZA SPP.)</t>
  </si>
  <si>
    <t xml:space="preserve"> &amp;diams; LICORICE&lt;br /&gt;&amp;diams; GLYCYRRHIZA&lt;br /&gt;&amp;diams; GLYCYRRHIZA GLABRA&lt;br /&gt;&amp;diams; LICORICE ROOT&lt;br /&gt;&amp;diams; LIQUORICE&lt;br /&gt;&amp;diams; SWEETWOOD</t>
  </si>
  <si>
    <t xml:space="preserve"> 9005-53-2</t>
  </si>
  <si>
    <t xml:space="preserve"> LIGNIN</t>
  </si>
  <si>
    <t xml:space="preserve"> &amp;diams; LIGNIN</t>
  </si>
  <si>
    <t xml:space="preserve"> 8061-51-6</t>
  </si>
  <si>
    <t xml:space="preserve"> LIGNIN SODIUM SULFONATE</t>
  </si>
  <si>
    <t xml:space="preserve"> &amp;diams; SODIUM LIGNOSULFONATE&lt;br /&gt;&amp;diams; LIGNIN SODIUM SULFONATE&lt;br /&gt;&amp;diams; LIGNOSULFONIC ACID, SODIUM SALT&lt;br /&gt;&amp;diams; POLIGNATE SODIUM&lt;br /&gt;&amp;diams; SODIUM POLIGNATE&lt;br /&gt;&amp;diams; SODIUM LIGNIN SULFONATE</t>
  </si>
  <si>
    <t xml:space="preserve"> 8062-15-5</t>
  </si>
  <si>
    <t xml:space="preserve"> LIGNOSULFONIC ACID</t>
  </si>
  <si>
    <t xml:space="preserve"> &amp;diams; LIGNOSULFONIC ACID&lt;br /&gt;&amp;diams; LIGNOSULFONATE&lt;br /&gt;&amp;diams; LIGNIN SULFONATE&lt;br /&gt;&amp;diams; LIGNIN SULFATE</t>
  </si>
  <si>
    <t xml:space="preserve"> 977164-71-8</t>
  </si>
  <si>
    <t xml:space="preserve"> LIME, ESSENCE</t>
  </si>
  <si>
    <t xml:space="preserve"> &amp;diams; LIME ESSENCE</t>
  </si>
  <si>
    <t xml:space="preserve"> 977091-78-3</t>
  </si>
  <si>
    <t xml:space="preserve"> LIME JUICE, DEHYDRATED</t>
  </si>
  <si>
    <t xml:space="preserve"> &amp;diams; LIME JUICE, DEHYDRATED</t>
  </si>
  <si>
    <t xml:space="preserve"> 8008-26-2</t>
  </si>
  <si>
    <t xml:space="preserve"> LIME OIL, DISTILLED</t>
  </si>
  <si>
    <t xml:space="preserve"> &amp;diams; LIME OIL, DISTILLED&lt;br /&gt;&amp;diams; OILS, LIME&lt;br /&gt;&amp;diams; OIL, LIME&lt;br /&gt;&amp;diams; CITRUS AURANTIFOLIA OIL, DISTILLED</t>
  </si>
  <si>
    <t xml:space="preserve"> 977059-80-5</t>
  </si>
  <si>
    <t xml:space="preserve"> LIME OIL, EXPRESSED</t>
  </si>
  <si>
    <t xml:space="preserve"> &amp;diams; LIME OIL, EXPRESSED&lt;br /&gt;&amp;diams; EXTRACT, LIME OIL&lt;br /&gt;&amp;diams; LIME OIL, COLDPRESSED</t>
  </si>
  <si>
    <t xml:space="preserve"> 68916-84-7</t>
  </si>
  <si>
    <t xml:space="preserve"> LIME, OIL, TERPENELESS (CITRUS AURANTIFOLIA (CHRISTMAN) SWINGLE)</t>
  </si>
  <si>
    <t xml:space="preserve"> &amp;diams; LIME OIL, TERPENELESS&lt;br /&gt;&amp;diams; CITRUS AURANTIFOLIA OIL, TERPENELESS&lt;br /&gt;&amp;diams; OILS, LIME, TERPENE-FREE</t>
  </si>
  <si>
    <t xml:space="preserve"> 5989-27-5</t>
  </si>
  <si>
    <t xml:space="preserve"> D-LIMONENE</t>
  </si>
  <si>
    <t xml:space="preserve"> &amp;diams; LIMONENE, D-&lt;br /&gt;&amp;diams; CAJEPUTENE&lt;br /&gt;&amp;diams; CARVENE&lt;br /&gt;&amp;diams; CYCLOHEXENE, 1-METHYL-4-(1-METHYLETHENYL)-, (R)-&lt;br /&gt;&amp;diams; 1-METHYL-4-(1-METHYLETHENYL)CYCLOHEXENE, (R)-&lt;br /&gt;&amp;diams; P-MENTHA-1,8-DIENE, (R)-(+)-&lt;br /&gt;&amp;diams; LIMONENE, (+)-&lt;br /&gt;&amp;diams; D-limonene</t>
  </si>
  <si>
    <t xml:space="preserve"> 7705-14-8</t>
  </si>
  <si>
    <t xml:space="preserve"> DL-LIMONENE</t>
  </si>
  <si>
    <t xml:space="preserve"> &amp;diams; LIMONENE, DL-&lt;br /&gt;&amp;diams; CYCLOHEXENE, 1-METHYL-4-(1-METHYLETHENYL)-, (+-)-&lt;br /&gt;&amp;diams; 1-METHYL-4-(1-METHYLETHENYL)CYCLOHEXENE, (+-)-&lt;br /&gt;&amp;diams; P-MENTHA-1,8-DIENE, (+-)-</t>
  </si>
  <si>
    <t xml:space="preserve"> 5989-54-8</t>
  </si>
  <si>
    <t xml:space="preserve"> L-LIMONENE</t>
  </si>
  <si>
    <t xml:space="preserve"> &amp;diams; LIMONENE, L-&lt;br /&gt;&amp;diams; CYCLOHEXENE, 1-METHYL-4-(1-METHYLETHENYL)-, (S)-&lt;br /&gt;&amp;diams; 1-METHYL-4-(1-METHYLETHENYL)CYCLOHEXENE, (S)-&lt;br /&gt;&amp;diams; P-MENTHA-1,8-DIENE, (S)-(-)-</t>
  </si>
  <si>
    <t xml:space="preserve"> 977051-12-9</t>
  </si>
  <si>
    <t xml:space="preserve"> LINALOE WOOD, OIL (BURSERA DELPECHIANA POISS. AND OTHER BURSERA SPP.)</t>
  </si>
  <si>
    <t xml:space="preserve"> &amp;diams; LINALOE WOOD OIL&lt;br /&gt;&amp;diams; BURSERA WOOD OIL</t>
  </si>
  <si>
    <t xml:space="preserve"> 78-70-6</t>
  </si>
  <si>
    <t xml:space="preserve"> LINALOOL</t>
  </si>
  <si>
    <t xml:space="preserve"> &amp;diams; LINALOOL&lt;br /&gt;&amp;diams; 3,7-DIMETHYL-1,6-OCTADIEN-3-OL&lt;br /&gt;&amp;diams; LINALOL&lt;br /&gt;&amp;diams; LINALYL ALCOHOL&lt;br /&gt;&amp;diams; 1,6-OCTADIEN-3-OL, 3,7-DIMETHYL-&lt;br /&gt;&amp;diams; 2,6-DIMETHYL-2,7-OCTADIEN-6-OL&lt;br /&gt;&amp;diams; LINALOOL, BETA-</t>
  </si>
  <si>
    <t xml:space="preserve"> 60047-17-8</t>
  </si>
  <si>
    <t xml:space="preserve"> LINALOOL OXIDE</t>
  </si>
  <si>
    <t xml:space="preserve"> &amp;diams; LINALOOL OXIDE&lt;br /&gt;&amp;diams; 2-METHYL-2-VINYL-5-(2-HYDROXY-2-PROPYL)TETRAHYDROFURAN&lt;br /&gt;&amp;diams; 2-VINYL-2-METHYL-5-(1'-HYDROXY-1'-METHYLETHYL)TETRAHYDROFURAN&lt;br /&gt;&amp;diams; 2-FURANMETHANOL, 5-ETHENYLTETRAHYDRO-ALPHA,ALPHA,5-TRIMETHYL-&lt;br /&gt;&amp;diams; ALPHA,ALPHA,5-TRIMETHYL-5-VINYLTETRAHYDROFURFURYL ALCOHOL&lt;br /&gt;&amp;diams; 5-ETHENYLTETRAHYDRO-ALPHA,ALPHA,5-TRIMETHYL-2-FURANMETHANOL&lt;br /&gt;&amp;diams; EPOXYLINALOOL&lt;br /&gt;&amp;diams; LINALOOL OXIDE, FURANOID</t>
  </si>
  <si>
    <t xml:space="preserve"> 14049-11-7</t>
  </si>
  <si>
    <t xml:space="preserve"> LINALOOL OXIDE PYRANOID</t>
  </si>
  <si>
    <t xml:space="preserve"> &amp;diams; LINALOOL OXIDE, PYRANOID&lt;br /&gt;&amp;diams; 2H-pyran-3-ol, 6-ethenyltetrahydro-2,2,6-trimethyl-&lt;br /&gt;&amp;diams; 6-ethenyltetrahydro-2,2,6-trimethyl-2H-pyran-3-ol&lt;br /&gt;&amp;diams; 2H-pyran-3-ol, tetrahydro-2,2,6-trimethyl-6-vinyl-&lt;br /&gt;&amp;diams; tetrahydro-2,2,6-trimethyl-6-vinyl-2H-pyran-3-ol&lt;br /&gt;&amp;diams; pyran-3-ol, tetrahydro-2,2,6-trimethyl-6-vinyl-&lt;br /&gt;&amp;diams; tetrahydro-2,2,6-trimethyl-6-vinylpyran-3-ol</t>
  </si>
  <si>
    <t xml:space="preserve"> 115-95-7</t>
  </si>
  <si>
    <t xml:space="preserve"> LINALYL ACETATE</t>
  </si>
  <si>
    <t xml:space="preserve"> &amp;diams; LINALYL ACETATE&lt;br /&gt;&amp;diams; BERGAMOL&lt;br /&gt;&amp;diams; 3,7-DIMETHYL-1,6-OCTADIEN-3-YL ACETATE&lt;br /&gt;&amp;diams; 1,6-OCTADIEN-3-OL, 3,7-DIMETHYL-, ACETATE</t>
  </si>
  <si>
    <t xml:space="preserve"> 7149-26-0</t>
  </si>
  <si>
    <t xml:space="preserve"> LINALYL ANTHRANILATE</t>
  </si>
  <si>
    <t xml:space="preserve"> &amp;diams; LINALYL ANTHRANILATE&lt;br /&gt;&amp;diams; 3,7-DIMETHYL-1,6-OCTADIEN-3-YL 2-AMINOBENZOATE&lt;br /&gt;&amp;diams; 3,7-DIMETHYL-1,6-OCTADIEN-3-YL ANTHRANILATE&lt;br /&gt;&amp;diams; LINALYL O-AMINOBENZOATE&lt;br /&gt;&amp;diams; LINALYL 2-AMINOBENZOATE&lt;br /&gt;&amp;diams; 1,6-OCTADIEN-3-OL, 3,7-DIMETHYL-, 2-AMINOBENZOATE&lt;br /&gt;&amp;diams; ANTHRANILIC ACID, 1,5-DIMETHYL-1-VINYL-4-HEXENYL ESTER&lt;br /&gt;&amp;diams; 1,5-DIMETHYL-1-VINYL-4-HEXENYL ANTHRANILATE&lt;br /&gt;&amp;diams; ANTHRANILIC ACID, LINALYL ESTER</t>
  </si>
  <si>
    <t xml:space="preserve"> 126-64-7</t>
  </si>
  <si>
    <t xml:space="preserve"> LINALYL BENZOATE</t>
  </si>
  <si>
    <t xml:space="preserve"> &amp;diams; LINALYL BENZOATE&lt;br /&gt;&amp;diams; 3,7-DIMETHYL-1,6-OCTADIEN-3-YL BENZOATE&lt;br /&gt;&amp;diams; 1,6-OCTADIEN-3-OL, 3,7-DIMETHYL-, BENZOATE</t>
  </si>
  <si>
    <t xml:space="preserve"> 78-36-4</t>
  </si>
  <si>
    <t xml:space="preserve"> LINALYL BUTYRATE</t>
  </si>
  <si>
    <t xml:space="preserve"> &amp;diams; LINALYL BUTYRATE&lt;br /&gt;&amp;diams; 3,7-DIMETHYL-1,6-OCTADIEN-3-YL BUTANOATE&lt;br /&gt;&amp;diams; 3,7-DIMETHYL-1,6-OCTADIEN-3-YL BUTYRATE&lt;br /&gt;&amp;diams; BUTANOIC ACID, 1-ETHENYL-1,5-DIMETHYL-4-HEXENYL ESTER&lt;br /&gt;&amp;diams; 1-ETHENYL-1,5-DIMETHYL-4-HEXENYL BUTANOATE&lt;br /&gt;&amp;diams; BUTYRIC ACID, 1,5-DIMETHYL-1-VINYL-4-HEXENYL ESTER&lt;br /&gt;&amp;diams; 1,5-DIMETHYL-1-VINYL-4-HEXENYL BUTYRATE&lt;br /&gt;&amp;diams; 1,6-OCTADIEN-3-OL, 3,7-DIMETHYL-, BUTYRATE&lt;br /&gt;&amp;diams; LINALYL BUTANOATE&lt;br /&gt;&amp;diams; BUTYRIC ACID LINALYL ESTER</t>
  </si>
  <si>
    <t xml:space="preserve"> 78-37-5</t>
  </si>
  <si>
    <t xml:space="preserve"> LINALYL CINNAMATE</t>
  </si>
  <si>
    <t xml:space="preserve"> &amp;diams; LINALYL CINNAMATE&lt;br /&gt;&amp;diams; 3,7-DIMETHYL-1,6-OCTADIEN-3-YL CINNAMATE&lt;br /&gt;&amp;diams; 3,7-DIMETHYL-1,6-OCTADIEN-3-YL BETA-PHENYLACRYLATE&lt;br /&gt;&amp;diams; 3,7-DIMETHYL-1,6-OCTADIEN-3-YL 3-PHENYLPROPENOATE&lt;br /&gt;&amp;diams; LINALYL 3-PHENYLPROPENOATE&lt;br /&gt;&amp;diams; 2-PROPENOIC ACID, 3-PHENYL-, 1-ETHENYL-1,5-DIMETHYL-4-HEXENYL ESTER&lt;br /&gt;&amp;diams; 1-ETHENYL-1,5-DIMETHYL-4-HEXENYL 3-PHENYL-2-PROPENOATE&lt;br /&gt;&amp;diams; CINNAMIC ACID, 1,5-DIMETHYL-1-VINYL-4-HEXENYL ESTER&lt;br /&gt;&amp;diams; 1,5-DIMETHYL-1-VINYL-4-HEXENYL CINNAMATE</t>
  </si>
  <si>
    <t xml:space="preserve"> 115-99-1</t>
  </si>
  <si>
    <t xml:space="preserve"> LINALYL FORMATE</t>
  </si>
  <si>
    <t xml:space="preserve"> &amp;diams; LINALYL FORMATE&lt;br /&gt;&amp;diams; 3,7-DIMETHYL-1,6-OCTADIEN-3-YL FORMATE&lt;br /&gt;&amp;diams; 1,6-OCTADIEN-3-OL, 3,7-DIMETHYL-, FORMATE</t>
  </si>
  <si>
    <t xml:space="preserve"> 7779-23-9</t>
  </si>
  <si>
    <t xml:space="preserve"> LINALYL HEXANOATE</t>
  </si>
  <si>
    <t xml:space="preserve"> &amp;diams; LINALYL HEXANOATE&lt;br /&gt;&amp;diams; 3,7-DIMETHYL-1,6-OCTADIEN-3-YL HEXANOATE&lt;br /&gt;&amp;diams; LINALYL CAPROATE&lt;br /&gt;&amp;diams; LINALYL CAPRONATE&lt;br /&gt;&amp;diams; LINALYL HEXOATE&lt;br /&gt;&amp;diams; HEXANOIC ACID, 1-ETHENYL-1,5-DIMETHYL-4-HEXENYL ESTER&lt;br /&gt;&amp;diams; 1-ETHENYL-1,5-DIMETHYL-4-HEXENYL HEXANOATE&lt;br /&gt;&amp;diams; HEXANOIC ACID, 1,5-DIMETHYL-1-VINYL-4-HEXENYL ESTER&lt;br /&gt;&amp;diams; 1,5-DIMETHYL-1-VINYL-4-HEXENYL HEXANOATE</t>
  </si>
  <si>
    <t xml:space="preserve"> 78-35-3</t>
  </si>
  <si>
    <t xml:space="preserve"> LINALYL ISOBUTYRATE</t>
  </si>
  <si>
    <t xml:space="preserve"> &amp;diams; LINALYL ISOBUTYRATE&lt;br /&gt;&amp;diams; 3,7-DIMETHYL-1,6-OCTADIEN-3-YL ISOBUTANOATE&lt;br /&gt;&amp;diams; 3,7-DIMETHYL-1,6-OCTADIEN-3-YL 2-METHYLPROPANOATE&lt;br /&gt;&amp;diams; LINALYL 2-METHYLPROPANOATE&lt;br /&gt;&amp;diams; PROPANOIC ACID, 2-METHYL-, 1-ETHENYL-1,5-DIMETHYL-4-HEXENYL ESTER&lt;br /&gt;&amp;diams; 1-ETHENYL-1,5-DIMETHYL-4-HEXENYL 2-METHYLPROPANOATE&lt;br /&gt;&amp;diams; ISOBUTYRIC ACID, 1,5-DIMETHYL-1-VINYL-4-HEXENYL ESTER&lt;br /&gt;&amp;diams; 1,5-DIMETHYL-1-VINYL-4-HEXENYL ISOBUTYRATE&lt;br /&gt;&amp;diams; ISOBUTYRIC ACID, LINALYL ESTER</t>
  </si>
  <si>
    <t xml:space="preserve"> 1118-27-0</t>
  </si>
  <si>
    <t xml:space="preserve"> LINALYL ISOVALERATE</t>
  </si>
  <si>
    <t xml:space="preserve"> &amp;diams; LINALYL ISOVALERATE&lt;br /&gt;&amp;diams; 3,7-DIMETHYL-1,6-OCTADIEN-3-YL ISOVALERATE&lt;br /&gt;&amp;diams; 3,7-DIMETHYL-1,6-OCTADIEN-3-YL 3-METHYLBUTANOATE&lt;br /&gt;&amp;diams; LINALYL ISOVALERIANATE&lt;br /&gt;&amp;diams; LINALYL ISOPENTANOATE&lt;br /&gt;&amp;diams; LINALYL 3-METHYLBUTANOATE&lt;br /&gt;&amp;diams; BUTANOIC ACID, 3-METHYL-, 1-ETHENYL-1,5-DIMETHYL-4-HEXENYL ESTER&lt;br /&gt;&amp;diams; 1-ETHENYL-1,5-DIMETHYL-4-HEXENYL 3-METHYLBUTANOATE&lt;br /&gt;&amp;diams; ISOVALERIC ACID, 1,5-DIMETHYL-1-VINYL-4-HEXENYL ESTER&lt;br /&gt;&amp;diams; 1,5-DIMETHYL-1-VINYL-4-HEXENYL ISOVALERATE&lt;br /&gt;&amp;diams; ISOVALERIC ACID, LINALYL ESTER</t>
  </si>
  <si>
    <t xml:space="preserve"> 10024-64-3</t>
  </si>
  <si>
    <t xml:space="preserve"> LINALYL OCTANOATE</t>
  </si>
  <si>
    <t xml:space="preserve"> &amp;diams; LINALYL OCTANOATE&lt;br /&gt;&amp;diams; 3,7-DIMETHYL-1,6-OCTADIEN-3-YL OCTANOATE&lt;br /&gt;&amp;diams; LINALYL CAPRYLATE&lt;br /&gt;&amp;diams; LINALYL OCTOATE&lt;br /&gt;&amp;diams; OCTANOIC ACID, 1-ETHENYL-1,5-DIMETHYL-4-HEXENYL ESTER&lt;br /&gt;&amp;diams; 1-ETHENYL-1,5-DIMETHYL-4-HEXENYL OCTANOATE&lt;br /&gt;&amp;diams; OCTANOIC ACID, 1,5-DIMETHYL-1-VINYL-4-HEXENYL ESTER&lt;br /&gt;&amp;diams; 1,5-DIMETHYL-1-VINYL-4-HEXENYL OCTANOATE</t>
  </si>
  <si>
    <t xml:space="preserve"> 7143-69-3</t>
  </si>
  <si>
    <t xml:space="preserve"> LINALYL PHENYLACETATE</t>
  </si>
  <si>
    <t xml:space="preserve"> &amp;diams; LINALYL PHENYLACETATE&lt;br /&gt;&amp;diams; BENZENEACETIC ACID, 1-ETHENYL-1,5-DIMETHYL-4-HEXENYL ESTER&lt;br /&gt;&amp;diams; ACETIC ACID, PHENYL-, 1,5-DIMETHYL-1-VINYL-4-HEXENYL ESTER&lt;br /&gt;&amp;diams; LINALYL ALPHA-TOLUATE&lt;br /&gt;&amp;diams; 3,7-DIMETHYL-1,6-OCTADIEN-3-YL PHENYLACETATE&lt;br /&gt;&amp;diams; 1-ETHENYL-1,5-DIMETHYL-4-HEXENYL BENZENEACETATE&lt;br /&gt;&amp;diams; 1,5-DIMETHYL-1-VINYL-4-HEXENYL PHENYLACETATE</t>
  </si>
  <si>
    <t xml:space="preserve"> 144-39-8</t>
  </si>
  <si>
    <t xml:space="preserve"> LINALYL PROPIONATE</t>
  </si>
  <si>
    <t xml:space="preserve"> &amp;diams; LINALYL PROPIONATE&lt;br /&gt;&amp;diams; 3,7-DIMETHYL-1,6-OCTADIEN-3-YL PROPANOATE&lt;br /&gt;&amp;diams; 3,7-DIMETHYL-1,6-OCTADIEN-3-YL PROPIONATE&lt;br /&gt;&amp;diams; 1,6-OCTADIEN-3-OL, 3,7-DIMETHYL-, PROPANOATE&lt;br /&gt;&amp;diams; 1,6-OCTADIEN-3-OL, 3,7-DIMETHYL-, PROPIONATE&lt;br /&gt;&amp;diams; LINALYL PROPANOATE&lt;br /&gt;&amp;diams; PROPIONIC ACID, LINALYL ESTER</t>
  </si>
  <si>
    <t xml:space="preserve"> 84929-52-2</t>
  </si>
  <si>
    <t xml:space="preserve"> LINDEN FLOWERS, EXTRACT (TILIA SPP.)</t>
  </si>
  <si>
    <t xml:space="preserve"> &amp;diams; LINDEN FLOWER EXTRACT&lt;br /&gt;&amp;diams; LINDEN, TILLIA CORDATA, EXT.&lt;br /&gt;&amp;diams; TILIA EXTRACT&lt;br /&gt;&amp;diams; TILIA CORDATA EXTRACT</t>
  </si>
  <si>
    <t xml:space="preserve"> 977009-77-0</t>
  </si>
  <si>
    <t xml:space="preserve"> LINDEN FLOWERS (TILIA GLABRA VENT.)</t>
  </si>
  <si>
    <t xml:space="preserve"> &amp;diams; LINDEN FLOWER&lt;br /&gt;&amp;diams; LIME FLOWER&lt;br /&gt;&amp;diams; TILIA&lt;br /&gt;&amp;diams; LINDEN FLOWERS (TILIA FLOWERS)</t>
  </si>
  <si>
    <t xml:space="preserve"> 977073-42-9</t>
  </si>
  <si>
    <t xml:space="preserve"> LINDEN LEAVES (TILLIA SPP.)</t>
  </si>
  <si>
    <t xml:space="preserve"> &amp;diams; LINDEN LEAF&lt;br /&gt;&amp;diams; LIME LEAF</t>
  </si>
  <si>
    <t xml:space="preserve"> 60-33-3</t>
  </si>
  <si>
    <t xml:space="preserve"> LINOLEIC ACID</t>
  </si>
  <si>
    <t xml:space="preserve"> &amp;diams; LINOLEIC ACID&lt;br /&gt;&amp;diams; LINOLEIC ACID, CIS,CIS-&lt;br /&gt;&amp;diams; 9,12-OCTADECADIENOIC ACID, CIS,CIS-&lt;br /&gt;&amp;diams; LINOLIC ACID&lt;br /&gt;&amp;diams; OCTADECADIENOIC ACID, CIS-9,CIS-12-&lt;br /&gt;&amp;diams; 9-CIS,12-CIS-OCTADECADIENOIC ACID&lt;br /&gt;&amp;diams; 9,12-OCTADECADIENOIC ACID (9Z,12Z)-&lt;br /&gt;&amp;diams; 9,12-OCTADECADIENOIC ACID (Z,Z)-</t>
  </si>
  <si>
    <t xml:space="preserve"> 9001-62-1</t>
  </si>
  <si>
    <t xml:space="preserve"> LIPASE</t>
  </si>
  <si>
    <t xml:space="preserve"> &amp;diams; TRIACYLGLYCEROL LIPASE</t>
  </si>
  <si>
    <t xml:space="preserve"> 977033-78-5</t>
  </si>
  <si>
    <t xml:space="preserve"> LIPASE FROM ANIMAL TISSUE</t>
  </si>
  <si>
    <t xml:space="preserve"> &amp;diams; LIPASE, ANIMAL&lt;br /&gt;&amp;diams; ANIMAL LIPASE</t>
  </si>
  <si>
    <t xml:space="preserve"> 977031-56-3</t>
  </si>
  <si>
    <t xml:space="preserve"> LIPASE FROM ASPERGILLUS NIGER</t>
  </si>
  <si>
    <t xml:space="preserve"> &amp;diams; LIPASE, ASPERGILLUS NIGER&lt;br /&gt;&amp;diams; ASPERGILLUS NIGER LIPASE</t>
  </si>
  <si>
    <t xml:space="preserve"> 977031-68-7</t>
  </si>
  <si>
    <t xml:space="preserve"> LIPASE FROM ASPERGILLUS ORYZAE</t>
  </si>
  <si>
    <t xml:space="preserve"> &amp;diams; LIPASE, ASPERGILLUS ORYZAE&lt;br /&gt;&amp;diams; ASPERGILLUS ORYZAE LIPASE</t>
  </si>
  <si>
    <t xml:space="preserve"> 977169-69-9</t>
  </si>
  <si>
    <t xml:space="preserve"> LIPASE FROM RHIZOPUS NIVEUS</t>
  </si>
  <si>
    <t xml:space="preserve"> &amp;diams; LIPASE ENZYME PREPARATION, RHIZOPUS NIVEUS&lt;br /&gt;&amp;diams; RHIZOPUS NIVEUS LIPASE ENZYME PREPARATION&lt;br /&gt;&amp;diams; TRIACYLGLYCEROL LIPASE ENZYME PREPARATION, RHIZOPUS NIVEUS</t>
  </si>
  <si>
    <t xml:space="preserve"> 977188-21-8</t>
  </si>
  <si>
    <t xml:space="preserve"> LISTERIA-SPECIFIC BACTERIOPHAGE PREPARATION</t>
  </si>
  <si>
    <t xml:space="preserve"> &amp;diams; LISTERIA-SPECIFIC BACTERIOPHAGE PREPARATION&lt;br /&gt;&amp;diams; bacteriophage preparation, Listeria monocytogenes-specific&lt;br /&gt;&amp;diams; Listeria monocytogenes bacteriophage mixture</t>
  </si>
  <si>
    <t xml:space="preserve"> 68855-99-2</t>
  </si>
  <si>
    <t xml:space="preserve"> LITSEA CUBEBA BERRY OIL</t>
  </si>
  <si>
    <t xml:space="preserve"> &amp;diams; LITSEA CUBEBA BERRY OIL&lt;br /&gt;&amp;diams; MAY CHANG&lt;br /&gt;&amp;diams; OILS, LITSEA CUBEBA</t>
  </si>
  <si>
    <t xml:space="preserve"> 68366-64-3</t>
  </si>
  <si>
    <t xml:space="preserve"> L-MENTHYL BUTYRATE</t>
  </si>
  <si>
    <t xml:space="preserve"> &amp;diams; L-METHYL BUTYRATE&lt;br /&gt;&amp;diams; butanoic acid, (1R,2S,5R)-5-methyl-2-(1-methylethyl) cyclohexyl ester&lt;br /&gt;&amp;diams; 5-methyl-2-(1-methylethyl)cyclohexyl butanoate, (1R,2S,5R)</t>
  </si>
  <si>
    <t xml:space="preserve"> 977091-63-6</t>
  </si>
  <si>
    <t xml:space="preserve"> LOVAGE, EXTRACT (LEVISTICUM OFFICINALE KOCH)</t>
  </si>
  <si>
    <t xml:space="preserve"> &amp;diams; LOVAGE EXTRACT&lt;br /&gt;&amp;diams; SMELLAGE EXTRACT&lt;br /&gt;&amp;diams; SMALLAGE EXTRACT&lt;br /&gt;&amp;diams; LEVISTICUM OFFICINALE EXTRACT</t>
  </si>
  <si>
    <t xml:space="preserve"> 977048-47-7</t>
  </si>
  <si>
    <t xml:space="preserve"> LOVAGE (LEVISTICUM OFFICINALE KOCH)</t>
  </si>
  <si>
    <t xml:space="preserve"> &amp;diams; LOVAGE&lt;br /&gt;&amp;diams; ANGELICA LEVISTICUM&lt;br /&gt;&amp;diams; LEVISTICUM OFFICINALE&lt;br /&gt;&amp;diams; SMALLAGE&lt;br /&gt;&amp;diams; SMELLAGE</t>
  </si>
  <si>
    <t xml:space="preserve"> 8016-31-7</t>
  </si>
  <si>
    <t xml:space="preserve"> LOVAGE, OIL (LEVISTICUM OFFICINALE KOCH)</t>
  </si>
  <si>
    <t xml:space="preserve"> &amp;diams; LOVAGE OIL&lt;br /&gt;&amp;diams; LEVISTICUM&lt;br /&gt;&amp;diams; SMELLAGE OIL&lt;br /&gt;&amp;diams; SMALLAGE OIL&lt;br /&gt;&amp;diams; OILS, LOVAGE&lt;br /&gt;&amp;diams; LEVISTICUM OFFICINALE OIL</t>
  </si>
  <si>
    <t xml:space="preserve"> 203719-53-3</t>
  </si>
  <si>
    <t xml:space="preserve"> L-8-P-MENTHENE-1,2-EPOXIDE</t>
  </si>
  <si>
    <t xml:space="preserve"> &amp;diams; LIMONENE OXIDE, L-&lt;br /&gt;&amp;diams; 7-oxabicyclo(4.1.0)heptane, 1-methyl-4-(1-methylethenyl)-, (4S)-&lt;br /&gt;&amp;diams; 1-methyl-4-(1-methylethenyl)-7-oxabicyclo(4.1.0)heptane, (4S)-&lt;br /&gt;&amp;diams; 8-p-menthene-1,2-epoxide, L-&lt;br /&gt;&amp;diams; limonene epoxide, L-&lt;br /&gt;&amp;diams; limonene 1,2-epoxide, L-</t>
  </si>
  <si>
    <t xml:space="preserve"> 977022-85-7</t>
  </si>
  <si>
    <t xml:space="preserve"> LUNGMOSS (STICTA PULMONACEA ACH.)</t>
  </si>
  <si>
    <t xml:space="preserve"> &amp;diams; LUNGMOSS&lt;br /&gt;&amp;diams; LUNGWORT, TREE&lt;br /&gt;&amp;diams; LOBARIA PULMONARIA&lt;br /&gt;&amp;diams; STICTA PULMONARIA&lt;br /&gt;&amp;diams; TREE LUNGWORT</t>
  </si>
  <si>
    <t xml:space="preserve"> 977188-77-4</t>
  </si>
  <si>
    <t xml:space="preserve"> LUO HAN FRUIT CONCENTRATE</t>
  </si>
  <si>
    <t xml:space="preserve"> &amp;diams; LUO HAN GUO FRUIT CONCENTRATE&lt;br /&gt;&amp;diams; luo han fruit extract&lt;br /&gt;&amp;diams; Siraitia grosvenorii fruit concentrate&lt;br /&gt;&amp;diams; Monk's fruit concentrate</t>
  </si>
  <si>
    <t xml:space="preserve"> 977051-13-0</t>
  </si>
  <si>
    <t xml:space="preserve"> LUPULIN (HUMULUS LUPULUS L.)</t>
  </si>
  <si>
    <t xml:space="preserve"> &amp;diams; LUPULIN</t>
  </si>
  <si>
    <t xml:space="preserve"> 56-87-1</t>
  </si>
  <si>
    <t xml:space="preserve"> L-LYSINE</t>
  </si>
  <si>
    <t xml:space="preserve"> &amp;diams; LYSINE, L-&lt;br /&gt;&amp;diams; L-LYSINE&lt;br /&gt;&amp;diams; 2,6-DIAMINOHEXANOIC ACID, (S)-&lt;br /&gt;&amp;diams; LYSINE, L-(+)-&lt;br /&gt;&amp;diams; ALPHA,EPSILON-DIAMINOCAPROIC ACID, (S)-</t>
  </si>
  <si>
    <t xml:space="preserve"> 977051-14-1</t>
  </si>
  <si>
    <t xml:space="preserve"> MACE (MYRISTICA FRAGRANS HOUTT.)</t>
  </si>
  <si>
    <t xml:space="preserve"> &amp;diams; MACE&lt;br /&gt;&amp;diams; MACIS (MYRISTICA FRAGRANS)</t>
  </si>
  <si>
    <t xml:space="preserve"> FLAVORING AGENT OR ADJUVANT,&lt;br /&gt; TEXTURIZER</t>
  </si>
  <si>
    <t xml:space="preserve"> 977051-15-2</t>
  </si>
  <si>
    <t xml:space="preserve"> MACE, OIL (MYRISTICA FRAGRANS HOUTT.)</t>
  </si>
  <si>
    <t xml:space="preserve"> &amp;diams; MACE OIL</t>
  </si>
  <si>
    <t xml:space="preserve"> 977010-60-8</t>
  </si>
  <si>
    <t xml:space="preserve"> MACE, OLEORESIN (MYRISTICA FRAGRANS HOUTT.)</t>
  </si>
  <si>
    <t xml:space="preserve"> &amp;diams; MACE OLEORESIN</t>
  </si>
  <si>
    <t xml:space="preserve"> 42966-30-3</t>
  </si>
  <si>
    <t xml:space="preserve"> MAGNESIUM CAPRATE</t>
  </si>
  <si>
    <t xml:space="preserve"> &amp;diams; MAGNESIUM DECANOATE&lt;br /&gt;&amp;diams; MAGNESIUM CAPRATE&lt;br /&gt;&amp;diams; DECANOIC ACID, MAGNESIUM SALT</t>
  </si>
  <si>
    <t xml:space="preserve"> 3386-57-0</t>
  </si>
  <si>
    <t xml:space="preserve"> MAGNESIUM CAPRYLATE</t>
  </si>
  <si>
    <t xml:space="preserve"> &amp;diams; MAGNESIUM OCTANOATE&lt;br /&gt;&amp;diams; OCTANOIC ACID, MAGNESIUM SALT&lt;br /&gt;&amp;diams; MAGNESIUM CAPRYLATE&lt;br /&gt;&amp;diams; MAGNESIUM OCTYLATE&lt;br /&gt;&amp;diams; MAGNESIUM OCTOATE</t>
  </si>
  <si>
    <t xml:space="preserve"> 39409-82-0</t>
  </si>
  <si>
    <t xml:space="preserve"> MAGNESIUM CARBONATE</t>
  </si>
  <si>
    <t xml:space="preserve"> &amp;diams; MAGNESIUM CARBONATE HYDROXIDE&lt;br /&gt;&amp;diams; CARBONIC ACID, MAGNESIUM SALT (1:1), MIXT. WITH MAGNESIUM HYDROXIDE (MG(OH)2), HYDRATE</t>
  </si>
  <si>
    <t xml:space="preserve"> ANTICAKING AGENT OR FREE-FLOW AGENT,&lt;br /&gt; DRYING AGENT,&lt;br /&gt; FLAVOR ENHANCER,&lt;br /&gt; FLAVORING AGENT OR ADJUVANT,&lt;br /&gt; FORMULATION AID,&lt;br /&gt; HUMECTANT,&lt;br /&gt; LUBRICANT OR RELEASE AGENT,&lt;br /&gt; NUTRIENT SUPPLEMENT,&lt;br /&gt; PH CONTROL AGENT,&lt;br /&gt; PROCESSING AID</t>
  </si>
  <si>
    <t xml:space="preserve"> 133.102 ,  133.106 ,  133.111 ,  133.141 ,  133.165 ,  133.181 ,  133.183 ,  133.195 ,  137.105 ,  155.170 ,  163.110 ,  163.111 ,  163.112</t>
  </si>
  <si>
    <t xml:space="preserve"> 7786-30-3</t>
  </si>
  <si>
    <t xml:space="preserve"> MAGNESIUM CHLORIDE</t>
  </si>
  <si>
    <t xml:space="preserve"> &amp;diams; MAGNESIUM CHLORIDE&lt;br /&gt;&amp;diams; MAGNESIUM CHLORIDE, ANHYDROUS&lt;br /&gt;&amp;diams; MAGNESIUM DICHLORIDE&lt;br /&gt;&amp;diams; MAGNESIUM CHLORIDE (MGCL2)</t>
  </si>
  <si>
    <t xml:space="preserve"> COLOR OR COLORING ADJUNCT,&lt;br /&gt; FIRMING AGENT,&lt;br /&gt; FLAVORING AGENT OR ADJUVANT,&lt;br /&gt; NUTRIENT SUPPLEMENT</t>
  </si>
  <si>
    <t xml:space="preserve"> 7757-85-9</t>
  </si>
  <si>
    <t xml:space="preserve"> MAGNESIUM CYCLAMATE--PROHIBITED</t>
  </si>
  <si>
    <t xml:space="preserve"> &amp;diams; MAGNESIUM CYCLAMATE&lt;br /&gt;&amp;diams; MAGNESIUM CYCLOHEXYLSULFAMATE&lt;br /&gt;&amp;diams; SULFAMIC ACID, CYCLOHEXYL-, MAGNESIUM SALT (2:1)&lt;br /&gt;&amp;diams; CYCLAMATE MAGNESIUM&lt;br /&gt;&amp;diams; CYCLOHEXANESULFAMIC ACID, MAGNESIUM SALT (2:1)&lt;br /&gt;&amp;diams; MAGNESIUM CYCLOHEXANESULFAMATE</t>
  </si>
  <si>
    <t xml:space="preserve"> 7704-71-4</t>
  </si>
  <si>
    <t xml:space="preserve"> MAGNESIUM FUMARATE</t>
  </si>
  <si>
    <t xml:space="preserve"> &amp;diams; MAGNESIUM FUMARATE&lt;br /&gt;&amp;diams; MAGNESIUM 2-BUTENEDIOATE, (E)-,&lt;br /&gt;&amp;diams; FUMARIC ACID, MAGNESIUM SALT&lt;br /&gt;&amp;diams; 2-BUTENEDIOIC ACID (E)-, MAGNESIUM SALT</t>
  </si>
  <si>
    <t xml:space="preserve"> 3632-91-5</t>
  </si>
  <si>
    <t xml:space="preserve"> MAGNESIUM GLUCONATE</t>
  </si>
  <si>
    <t xml:space="preserve"> &amp;diams; MAGNESIUM GLUCONATE&lt;br /&gt;&amp;diams; D-GLUCONIC ACID, MAGNESIUM SALT (2:1)&lt;br /&gt;&amp;diams; MAGNESIUM D-GLUCONATE (1:2)&lt;br /&gt;&amp;diams; GLUCONIC ACID, MAGNESIUM SALT (2:1), D-</t>
  </si>
  <si>
    <t xml:space="preserve"> 927-20-8</t>
  </si>
  <si>
    <t xml:space="preserve"> MAGNESIUM GLYCEROPHOSPHATE</t>
  </si>
  <si>
    <t xml:space="preserve"> &amp;diams; MAGNESIUM GLYCEROPHOSPHATE&lt;br /&gt;&amp;diams; GLYCEROL, 1-(DIHYDROGEN PHOSPHATE), MAGNESIUM SALT (1:1)&lt;br /&gt;&amp;diams; MAGNESIUM ALPHA-GLYCEROPHOSPHATE&lt;br /&gt;&amp;diams; MAGNESIUM 1,2,3-PROPANETRIOL 1-(DIHYDROGEN PHOSPHATE) (1:1)&lt;br /&gt;&amp;diams; MAGNESIUM GLYCEROL 1-(DIHYDROGEN PHOSPHATE) (1:1)&lt;br /&gt;&amp;diams; 1,2,3-PROPANETRIOL, 1-(DIHYDROGEN PHOSPHATE), MAGNESIUM SALT (1:1)</t>
  </si>
  <si>
    <t xml:space="preserve"> 1309-42-8</t>
  </si>
  <si>
    <t xml:space="preserve"> MAGNESIUM HYDROXIDE</t>
  </si>
  <si>
    <t xml:space="preserve"> &amp;diams; MAGNESIUM HYDROXIDE&lt;br /&gt;&amp;diams; MAGNESIUM HYDROXIDE (MG(OH)2)</t>
  </si>
  <si>
    <t xml:space="preserve"> COLOR OR COLORING ADJUNCT,&lt;br /&gt; DRYING AGENT,&lt;br /&gt; NUTRIENT SUPPLEMENT,&lt;br /&gt; PH CONTROL AGENT,&lt;br /&gt; PROCESSING AID</t>
  </si>
  <si>
    <t xml:space="preserve"> 4040-48-6</t>
  </si>
  <si>
    <t xml:space="preserve"> MAGNESIUM LAURATE</t>
  </si>
  <si>
    <t xml:space="preserve"> &amp;diams; MAGNESIUM LAURATE&lt;br /&gt;&amp;diams; DODECANOIC ACID, MAGNESIUM SALT&lt;br /&gt;&amp;diams; MAGNESIUM DODECANOATE&lt;br /&gt;&amp;diams; LAURIC ACID, MAGNESIUM SALT</t>
  </si>
  <si>
    <t xml:space="preserve"> 4086-70-8</t>
  </si>
  <si>
    <t xml:space="preserve"> MAGNESIUM MYRISTATE</t>
  </si>
  <si>
    <t xml:space="preserve"> &amp;diams; MAGNESIUM MYRISTATE&lt;br /&gt;&amp;diams; TETRADECANOIC ACID, MAGNESIUM SALT&lt;br /&gt;&amp;diams; MAGNESIUM TETRADECANOATE&lt;br /&gt;&amp;diams; MYRISTIC ACID, MAGNESIUM SALT&lt;br /&gt;&amp;diams; MAGNESIUM BIS(TETRADECANOATE)</t>
  </si>
  <si>
    <t xml:space="preserve"> 1555-53-9</t>
  </si>
  <si>
    <t xml:space="preserve"> MAGNESIUM OLEATE</t>
  </si>
  <si>
    <t xml:space="preserve"> &amp;diams; MAGNESIUM OLEATE&lt;br /&gt;&amp;diams; 9-OCTADECENOIC ACID (Z), MAGNESIUM SALT&lt;br /&gt;&amp;diams; MAGNESIUM 9-OCTADECENOATE, (Z)-&lt;br /&gt;&amp;diams; OLEIC ACID, MAGNESIUM SALT</t>
  </si>
  <si>
    <t xml:space="preserve"> 1309-48-4</t>
  </si>
  <si>
    <t xml:space="preserve"> MAGNESIUM OXIDE</t>
  </si>
  <si>
    <t xml:space="preserve"> &amp;diams; MAGNESIUM OXIDE&lt;br /&gt;&amp;diams; CALCINED MAGNESIA&lt;br /&gt;&amp;diams; MAGNESIUM OXIDE (MGO)</t>
  </si>
  <si>
    <t xml:space="preserve"> ANTICAKING AGENT OR FREE-FLOW AGENT,&lt;br /&gt; DRYING AGENT,&lt;br /&gt; FLAVOR ENHANCER,&lt;br /&gt; FLAVORING AGENT OR ADJUVANT,&lt;br /&gt; FORMULATION AID,&lt;br /&gt; HUMECTANT,&lt;br /&gt; NUTRIENT SUPPLEMENT,&lt;br /&gt; PH CONTROL AGENT,&lt;br /&gt; PROCESSING AID</t>
  </si>
  <si>
    <t xml:space="preserve"> 155.170 ,  163.110 ,  163.111 ,  163.112</t>
  </si>
  <si>
    <t xml:space="preserve"> 2601-98-1</t>
  </si>
  <si>
    <t xml:space="preserve"> MAGNESIUM PALMITATE</t>
  </si>
  <si>
    <t xml:space="preserve"> &amp;diams; MAGNESIUM PALMITATE&lt;br /&gt;&amp;diams; HEXADECANOIC ACID, MAGNESIUM SALT&lt;br /&gt;&amp;diams; MAGNESIUM HEXADECANOATE&lt;br /&gt;&amp;diams; PALMITIC ACID, MAGNESIUM SALT</t>
  </si>
  <si>
    <t xml:space="preserve"> 7782-75-4</t>
  </si>
  <si>
    <t xml:space="preserve"> MAGNESIUM PHOSPHATE, DIBASIC</t>
  </si>
  <si>
    <t xml:space="preserve"> &amp;diams; MAGNESIUM PHOSPHATE, DIBASIC&lt;br /&gt;&amp;diams; MAGNESIUM PHOSPHATE, DIBASIC, TRIHYDRATE&lt;br /&gt;&amp;diams; MAGNESIUM PHOSPHATE (1:1), TRIHYDRATE&lt;br /&gt;&amp;diams; MAGNESIUM DIBASIC PHOSPHATE TRIHYDRATE&lt;br /&gt;&amp;diams; MAGNESIUM HYDROGEN PHOSPHATE TRIHYDRATE&lt;br /&gt;&amp;diams; MAGNESIUM PHOSPHATE (MGHPO4) TRIHYDRATE&lt;br /&gt;&amp;diams; PHOSPHORIC ACID, MAGNESIUM SALT (1:1), TRIHYDRATE</t>
  </si>
  <si>
    <t xml:space="preserve"> NUTRIENT SUPPLEMENT,&lt;br /&gt; PH CONTROL AGENT,&lt;br /&gt; STABILIZER OR THICKENER</t>
  </si>
  <si>
    <t xml:space="preserve"> 7757-87-1</t>
  </si>
  <si>
    <t xml:space="preserve"> MAGNESIUM PHOSPHATE, TRIBASIC</t>
  </si>
  <si>
    <t xml:space="preserve"> &amp;diams; MAGNESIUM PHOSPHATE, TRIBASIC, ANHYDROUS&lt;br /&gt;&amp;diams; MAGNESIUM PHOSPHATE (3:2)&lt;br /&gt;&amp;diams; MAGNESIUM PHOSPHATE (MG3(PO4)2)&lt;br /&gt;&amp;diams; MAGNESIUM ORTHOPHOSPHATE&lt;br /&gt;&amp;diams; PHOSPHORIC ACID, MAGNESIUM SALT (2:3)&lt;br /&gt;&amp;diams; TRIMAGNESIUM PHOSPHATE, ANHYDROUS&lt;br /&gt;&amp;diams; TRIMAGNESIUM PHOSPHATE&lt;br /&gt;&amp;diams; TRIMAGNESIUM DIPHOSPHATE&lt;br /&gt;&amp;diams; TRIMAGNESIUM DIORTHOPHOSPHATE</t>
  </si>
  <si>
    <t xml:space="preserve"> 977093-38-1</t>
  </si>
  <si>
    <t xml:space="preserve"> MAGNESIUM SALTS OF FATTY ACIDS</t>
  </si>
  <si>
    <t xml:space="preserve"> &amp;diams; FATTY ACIDS, MAGNESIUM SALTS&lt;br /&gt;&amp;diams; MAGNESIUM SALTS OF FATTY ACIDS&lt;br /&gt;&amp;diams; MAGNESIUM SOAP&lt;br /&gt;&amp;diams; MAGNESIUM FATTY ACID SOAP&lt;br /&gt;&amp;diams; SOAP, MAGNESIUM</t>
  </si>
  <si>
    <t xml:space="preserve"> 1343-88-0</t>
  </si>
  <si>
    <t xml:space="preserve"> MAGNESIUM SILICATE</t>
  </si>
  <si>
    <t xml:space="preserve"> &amp;diams; MAGNESIUM SILICATE&lt;br /&gt;&amp;diams; SILICIC ACID, MAGNESIUM SALT</t>
  </si>
  <si>
    <t xml:space="preserve"> ANTICAKING AGENT OR FREE-FLOW AGENT,&lt;br /&gt; FORMULATION AID</t>
  </si>
  <si>
    <t xml:space="preserve"> 557-04-0</t>
  </si>
  <si>
    <t xml:space="preserve"> MAGNESIUM STEARATE</t>
  </si>
  <si>
    <t xml:space="preserve"> &amp;diams; MAGNESIUM STEARATE&lt;br /&gt;&amp;diams; OCTADECANOIC ACID, MAGNESIUM SALT&lt;br /&gt;&amp;diams; MAGNESIUM OCTADECANOATE&lt;br /&gt;&amp;diams; STEARIC ACID, MAGNESIUM SALT</t>
  </si>
  <si>
    <t xml:space="preserve"> ANTICAKING AGENT OR FREE-FLOW AGENT,&lt;br /&gt; DRYING AGENT,&lt;br /&gt; FORMULATION AID,&lt;br /&gt; HUMECTANT</t>
  </si>
  <si>
    <t xml:space="preserve"> 10034-99-8</t>
  </si>
  <si>
    <t xml:space="preserve"> MAGNESIUM SULFATE</t>
  </si>
  <si>
    <t xml:space="preserve"> &amp;diams; MAGNESIUM SULFATE&lt;br /&gt;&amp;diams; EPSOM SALT&lt;br /&gt;&amp;diams; MAGNESIUM SULFATE HEPTAHYDRATE&lt;br /&gt;&amp;diams; SULFURIC ACID MAGNESIUM SALT (1:1), HEPTAHYDRATE&lt;br /&gt;&amp;diams; MAGNESIUM SULFATE (1:1), HEPTAHYDRATE</t>
  </si>
  <si>
    <t xml:space="preserve"> ANTICAKING AGENT OR FREE-FLOW AGENT,&lt;br /&gt; EMULSIFIER OR EMULSIFIER SALT,&lt;br /&gt; FORMULATION AID,&lt;br /&gt; LUBRICANT OR RELEASE AGENT,&lt;br /&gt; MALTING OR FERMENTING AID,&lt;br /&gt; NUTRIENT SUPPLEMENT,&lt;br /&gt; PH CONTROL AGENT,&lt;br /&gt; PROCESSING AID,&lt;br /&gt; STABILIZER OR THICKENER</t>
  </si>
  <si>
    <t xml:space="preserve"> 528-43-8</t>
  </si>
  <si>
    <t xml:space="preserve"> MAGNOLOL</t>
  </si>
  <si>
    <t xml:space="preserve"> &amp;diams; MAGNOLOL&lt;br /&gt;&amp;diams; (1,1'-biphenyl)-2,2'-diol, 5,5'-di-2-propen-1-yl-&lt;br /&gt;&amp;diams; 5,5'-di-2-propen-1-yl-(1,1'-biphenyl)-2,2'-diol&lt;br /&gt;&amp;diams; (1,1'-biphenyl)-2,2'-diol, 5,5'-di-2-propenyl-&lt;br /&gt;&amp;diams; 5,5'-di-2-propenyl-(1,1'-biphenyl)-2,2'-diol&lt;br /&gt;&amp;diams; 2,2'-biphenyldiol, 5,5'-diallyl-&lt;br /&gt;&amp;diams; 5,5'-diallyl-2,2'-biphenyldiol&lt;br /&gt;&amp;diams; 2,2'-bichavicol&lt;br /&gt;&amp;diams; InChI=1S/C18H18O2/c1-3-5-13-7-9-17(19)15(11-13)16-12-14(6-4-2)8-10-18(16)20/h3-4,7-12,19-20H,1-2,5-6H2&lt;br /&gt;&amp;diams; InChIKey: VVOAZFWZEDHOOU-UHFFFAOYSA-N</t>
  </si>
  <si>
    <t xml:space="preserve"> 977070-30-6</t>
  </si>
  <si>
    <t xml:space="preserve"> MAIDENHAIR FERN (ADIANTUM CAPILLUS-VENERIS L.)</t>
  </si>
  <si>
    <t xml:space="preserve"> &amp;diams; MAIDENHAIR FERN&lt;br /&gt;&amp;diams; ROCK FERN&lt;br /&gt;&amp;diams; ADIANTUM&lt;br /&gt;&amp;diams; ADIANTUM CAPILLUS-VENERIS&lt;br /&gt;&amp;diams; ADIANTUM PEDATUM&lt;br /&gt;&amp;diams; AMERICAN MAIDENHAIR&lt;br /&gt;&amp;diams; FIVE FINGER FERN&lt;br /&gt;&amp;diams; NORTHERN MAIDENHAIR&lt;br /&gt;&amp;diams; MAIDENHAIR, AMERICAN</t>
  </si>
  <si>
    <t xml:space="preserve"> 617-48-1</t>
  </si>
  <si>
    <t xml:space="preserve"> MALIC ACID</t>
  </si>
  <si>
    <t xml:space="preserve"> &amp;diams; MALIC ACID, DL-&lt;br /&gt;&amp;diams; BUTANEDIOIC ACID, HYDROXY-, (+-)-&lt;br /&gt;&amp;diams; HYDROXYBUTANEDIOIC ACID, (+-)-</t>
  </si>
  <si>
    <t xml:space="preserve"> FLAVOR ENHANCER,&lt;br /&gt; FLAVORING AGENT OR ADJUVANT,&lt;br /&gt; PH CONTROL AGENT,&lt;br /&gt; SYNERGIST</t>
  </si>
  <si>
    <t xml:space="preserve"> 977023-73-6</t>
  </si>
  <si>
    <t xml:space="preserve"> MALT</t>
  </si>
  <si>
    <t xml:space="preserve"> &amp;diams; MALT</t>
  </si>
  <si>
    <t xml:space="preserve"> 9050-36-6</t>
  </si>
  <si>
    <t xml:space="preserve"> MALTODEXTRIN</t>
  </si>
  <si>
    <t xml:space="preserve"> &amp;diams; MALTODEXTRIN</t>
  </si>
  <si>
    <t xml:space="preserve"> ANTICAKING AGENT OR FREE-FLOW AGENT,&lt;br /&gt; FLAVORING AGENT OR ADJUVANT,&lt;br /&gt; HUMECTANT,&lt;br /&gt; NUTRIENT SUPPLEMENT,&lt;br /&gt; NUTRITIVE SWEETENER,&lt;br /&gt; SOLVENT OR VEHICLE,&lt;br /&gt; STABILIZER OR THICKENER,&lt;br /&gt; SURFACE-ACTIVE AGENT,&lt;br /&gt; TEXTURIZER</t>
  </si>
  <si>
    <t xml:space="preserve"> 118-71-8</t>
  </si>
  <si>
    <t xml:space="preserve"> MALTOL</t>
  </si>
  <si>
    <t xml:space="preserve"> &amp;diams; MALTOL&lt;br /&gt;&amp;diams; CORPS PRALINE&lt;br /&gt;&amp;diams; 3-HYDROXY-2-METHYL-4H-PYRAN-4-ONE&lt;br /&gt;&amp;diams; 3-HYDROXY-2-METHYL-GAMMA-PYRONE&lt;br /&gt;&amp;diams; LARIXINIC ACID&lt;br /&gt;&amp;diams; 3-HYDROXY-2-METHYL-4-PYRONE&lt;br /&gt;&amp;diams; 2-METHYLPYROMECONIC ACID&lt;br /&gt;&amp;diams; 4H-PYRAN-4-ONE, 3-HYDROXY-2-METHYL-</t>
  </si>
  <si>
    <t xml:space="preserve"> FLAVORING AGENT OR ADJUVANT,&lt;br /&gt; NUTRITIVE SWEETENER,&lt;br /&gt; PROCESSING AID</t>
  </si>
  <si>
    <t xml:space="preserve"> 68555-63-5</t>
  </si>
  <si>
    <t xml:space="preserve"> MALTOL PROPIONATE</t>
  </si>
  <si>
    <t xml:space="preserve"> &amp;diams; MALTYL PROPIONATE&lt;br /&gt;&amp;diams; 4H-PYRAN-4-ONE, 2-METHYL-3-(1-OXOPROPOXY)-&lt;br /&gt;&amp;diams; 2-METHYL-3-(1-OXOPROPOXY)-4H-PYRAN-4-ONE</t>
  </si>
  <si>
    <t xml:space="preserve"> 69-79-4</t>
  </si>
  <si>
    <t xml:space="preserve"> MALTOSE</t>
  </si>
  <si>
    <t xml:space="preserve"> &amp;diams; MALTOSE&lt;br /&gt;&amp;diams; MALTOSE, D-&lt;br /&gt;&amp;diams; MALT SUGAR&lt;br /&gt;&amp;diams; D-GLUCOSE, 4-O-ALPHA-D-GLUCOPYRANOSYL-&lt;br /&gt;&amp;diams; 4-O-ALPHA-D-GLUCOPYRANOSYL-D-GLUCOSE</t>
  </si>
  <si>
    <t xml:space="preserve"> 131.112 ,  131.170 ,  131.200 ,  131.203 ,  131.206 ,  133.124 ,  133.178 ,  133.179</t>
  </si>
  <si>
    <t xml:space="preserve"> 8002-48-0</t>
  </si>
  <si>
    <t xml:space="preserve"> MALT SYRUP (MALT EXTRACT)</t>
  </si>
  <si>
    <t xml:space="preserve"> &amp;diams; MALT EXTRACT&lt;br /&gt;&amp;diams; MALT EXTRACT, BARLEY&lt;br /&gt;&amp;diams; MALT SYRUP&lt;br /&gt;&amp;diams; MALT, EXT.&lt;br /&gt;&amp;diams; SYRUP, MALT&lt;br /&gt;&amp;diams; EXTRACT, MALTED BARLEY</t>
  </si>
  <si>
    <t xml:space="preserve"> COLOR OR COLORING ADJUNCT,&lt;br /&gt; FLAVOR ENHANCER,&lt;br /&gt; FLAVORING AGENT OR ADJUVANT,&lt;br /&gt; MALTING OR FERMENTING AID,&lt;br /&gt; NUTRIENT SUPPLEMENT,&lt;br /&gt; NUTRITIVE SWEETENER,&lt;br /&gt; TEXTURIZER</t>
  </si>
  <si>
    <t xml:space="preserve"> 131.111 ,  131.112 ,  131.124 ,  131.170 ,  131.200 ,  131.203 ,  131.206 ,  133.124 ,  133.178 ,  133.179</t>
  </si>
  <si>
    <t xml:space="preserve"> 65416-14-0</t>
  </si>
  <si>
    <t xml:space="preserve"> MALTYL ISOBUTYRATE</t>
  </si>
  <si>
    <t xml:space="preserve"> &amp;diams; MALTYL ISOBUTYRATE&lt;br /&gt;&amp;diams; MALTYL 2-METHYLPROPANOATE&lt;br /&gt;&amp;diams; 2-METHYL-4-PYRON-3-YL 2-METHYLPROPANOATE&lt;br /&gt;&amp;diams; PROPANOIC ACID, 2-METHYL-, 2-METHYL-4-OXO-4H-PYRAN-3-YL ESTER&lt;br /&gt;&amp;diams; 2-METHYL-4-OXO-4H-PYRAN-3-YL 2-METHYLPROPANOATE</t>
  </si>
  <si>
    <t xml:space="preserve"> 8008-31-9</t>
  </si>
  <si>
    <t xml:space="preserve"> MANDARIN, OIL (CITRUS RETICULATA BLANCO)</t>
  </si>
  <si>
    <t xml:space="preserve"> &amp;diams; MANDARIN OIL, EXPRESSED&lt;br /&gt;&amp;diams; CITRUS RETICULATA OIL&lt;br /&gt;&amp;diams; CITRUS NOBILIS OIL&lt;br /&gt;&amp;diams; MANDARIN OIL&lt;br /&gt;&amp;diams; MANDARIN ORANGE OIL&lt;br /&gt;&amp;diams; MANDARIN OIL, COLDPRESSED&lt;br /&gt;&amp;diams; OILS, MANDARIN</t>
  </si>
  <si>
    <t xml:space="preserve"> 13446-34-9</t>
  </si>
  <si>
    <t xml:space="preserve"> MANGANESE CHLORIDE</t>
  </si>
  <si>
    <t xml:space="preserve"> &amp;diams; MANGANESE CHLORIDE TETRAHYDRATE&lt;br /&gt;&amp;diams; MANGANESE CHLORIDE (MNCL2), TETRAHYDRATE&lt;br /&gt;&amp;diams; MANGANOUS CHLORIDE TETRAHYDRATE&lt;br /&gt;&amp;diams; MANGANESE DICHLORIDE TETRAHYDRATE&lt;br /&gt;&amp;diams; MANGANESE(II) CHLORIDE TETRAHYDRATE</t>
  </si>
  <si>
    <t xml:space="preserve"> 10024-66-5</t>
  </si>
  <si>
    <t xml:space="preserve"> MANGANESE CITRATE</t>
  </si>
  <si>
    <t xml:space="preserve"> &amp;diams; MANGANESE CITRATE&lt;br /&gt;&amp;diams; 1,2,3-PROPANETRICARBOXYLIC ACID, 2-HYDROXY-, MANGANESE SALT&lt;br /&gt;&amp;diams; MANGANESE 2-HYDROXY-1,2,3-PROPANETRICARBOXYLATE&lt;br /&gt;&amp;diams; CITRIC ACID, MANGANESE SALT&lt;br /&gt;&amp;diams; MANGANESE(II) CITRATE&lt;br /&gt;&amp;diams; MANGANOUS(II) CITRATE</t>
  </si>
  <si>
    <t xml:space="preserve"> 6485-39-8</t>
  </si>
  <si>
    <t xml:space="preserve"> MANGANESE GLUCONATE</t>
  </si>
  <si>
    <t xml:space="preserve"> &amp;diams; MANGANESE GLUCONATE&lt;br /&gt;&amp;diams; MANGANESE, BIS(D-GLUCONATO-O1,O2)-, (T-4)-&lt;br /&gt;&amp;diams; MANGANESE D-GLUCONATE&lt;br /&gt;&amp;diams; GLUCONIC ACID, MANGANESE SALT (2:1)&lt;br /&gt;&amp;diams; MANGANESE(II) GLUCONATE&lt;br /&gt;&amp;diams; BIS(D-GLUCONATO-O1,O)MANGANESE, (T-4)-</t>
  </si>
  <si>
    <t xml:space="preserve"> FLAVORING AGENT OR ADJUVANT,&lt;br /&gt; FUMIGANT</t>
  </si>
  <si>
    <t xml:space="preserve"> 1320-46-3</t>
  </si>
  <si>
    <t xml:space="preserve"> MANGANESE GLYCEROPHOSPHATE</t>
  </si>
  <si>
    <t xml:space="preserve"> &amp;diams; MANGANESE GLYCEROPHOSPHATE&lt;br /&gt;&amp;diams; GLYCEROL, DIHYDROGEN PHOSPHATE, MANGANESE(2+) SALT (1:1)&lt;br /&gt;&amp;diams; MANGANESE(2+) 1,2,3-PROPANETRIOL MONO(DIHYDROGEN PHOSPHATE) (1:1)&lt;br /&gt;&amp;diams; MANGANESE(2+) GLYCEROL DIHYDROGEN PHOSPHATE (1:1)&lt;br /&gt;&amp;diams; 1,2,3-PROPANETRIOL, MONO(DIHYDROGEN PHOSPATE), MANGANESE(2+) SALT (1:1)</t>
  </si>
  <si>
    <t xml:space="preserve"> 10043-84-2</t>
  </si>
  <si>
    <t xml:space="preserve"> MANGANESE HYPOPHOSPHITE</t>
  </si>
  <si>
    <t xml:space="preserve"> &amp;diams; MANGANESE HYPOPHOSPHITE&lt;br /&gt;&amp;diams; MANGANESE(2+) HYPOPHOSPHITE (1:2)&lt;br /&gt;&amp;diams; PHOSPHINIC ACID, MANGANESE(2+) SALT (2:1)</t>
  </si>
  <si>
    <t xml:space="preserve"> 10034-96-5</t>
  </si>
  <si>
    <t xml:space="preserve"> MANGANESE SULFATE</t>
  </si>
  <si>
    <t xml:space="preserve"> &amp;diams; MANGANESE SULFATE&lt;br /&gt;&amp;diams; MANGANESE SULFATE MONOHYDRATE&lt;br /&gt;&amp;diams; SULFURIC ACID, MANGANESE(2+) SALT (1:1), MONOHYDRATE&lt;br /&gt;&amp;diams; MANGANOUS SULFATE MONOHYDRATE&lt;br /&gt;&amp;diams; MANGANESE(II) SULFATE MONOHYDRATE&lt;br /&gt;&amp;diams; MANGANESE(2+) SULFATE (1:1) MONOHYDRATE</t>
  </si>
  <si>
    <t xml:space="preserve"> 1344-43-0</t>
  </si>
  <si>
    <t xml:space="preserve"> MANGANOUS OXIDE</t>
  </si>
  <si>
    <t xml:space="preserve"> &amp;diams; MANGANESE OXIDE&lt;br /&gt;&amp;diams; MANGANOUS OXIDE&lt;br /&gt;&amp;diams; MANGANESE OXIDE (MNO)&lt;br /&gt;&amp;diams; C.I. 77726</t>
  </si>
  <si>
    <t xml:space="preserve"> 69-65-8</t>
  </si>
  <si>
    <t xml:space="preserve"> MANNITOL</t>
  </si>
  <si>
    <t xml:space="preserve"> &amp;diams; MANNITOL&lt;br /&gt;&amp;diams; MANNITOL, D-&lt;br /&gt;&amp;diams; MANNITE&lt;br /&gt;&amp;diams; 1,2,3,4,5,6-HEXANEHEXOL&lt;br /&gt;&amp;diams; D-MANNITOL&lt;br /&gt;&amp;diams; CORDYCEPIC ACID</t>
  </si>
  <si>
    <t xml:space="preserve"> ANTICAKING AGENT OR FREE-FLOW AGENT,&lt;br /&gt; FLAVOR ENHANCER,&lt;br /&gt; FLAVORING AGENT OR ADJUVANT,&lt;br /&gt; FORMULATION AID,&lt;br /&gt; LUBRICANT OR RELEASE AGENT,&lt;br /&gt; NON-NUTRITIVE SWEETENER,&lt;br /&gt; SOLVENT OR VEHICLE</t>
  </si>
  <si>
    <t xml:space="preserve"> 100.130 ,  101.80 ,  101.9</t>
  </si>
  <si>
    <t xml:space="preserve"> 977001-93-6</t>
  </si>
  <si>
    <t xml:space="preserve"> MARIGOLD, POT (CALENDULA OFFICINALIS L.)</t>
  </si>
  <si>
    <t xml:space="preserve"> &amp;diams; CALENDULA&lt;br /&gt;&amp;diams; MARIGOLD&lt;br /&gt;&amp;diams; MARIGOLD, DRIED&lt;br /&gt;&amp;diams; MARIGOLD, POT&lt;br /&gt;&amp;diams; TAGETES&lt;br /&gt;&amp;diams; CALENDULA OFFICINALIS&lt;br /&gt;&amp;diams; POET'S MARIGOLD&lt;br /&gt;&amp;diams; POT MARIGOLD&lt;br /&gt;&amp;diams; MARY BUD&lt;br /&gt;&amp;diams; GOLD BLOOM&lt;br /&gt;&amp;diams; HOLLIGOLD&lt;br /&gt;&amp;diams; GARDEN MARIGOLD&lt;br /&gt;&amp;diams; SCOTCH MARIGOLD</t>
  </si>
  <si>
    <t xml:space="preserve"> 977038-85-9</t>
  </si>
  <si>
    <t xml:space="preserve"> MARJORAM, OLEORESIN (MARJORANA HORTENSIS MOENCH (ORIGANUM MAJORANA L.))</t>
  </si>
  <si>
    <t xml:space="preserve"> &amp;diams; SWEET MARJORAM OLEORESIN&lt;br /&gt;&amp;diams; MARJORAM OLEORESIN&lt;br /&gt;&amp;diams; MARJORAM OLEORESIN, SWEET&lt;br /&gt;&amp;diams; MAJORANA HORTENSIS OLEORESIN</t>
  </si>
  <si>
    <t xml:space="preserve"> 977051-22-1</t>
  </si>
  <si>
    <t xml:space="preserve"> MARJORAM, POT (MAJORANA ONITES (L.) BENTH. (ORIGANUM VULGARE L.))</t>
  </si>
  <si>
    <t xml:space="preserve"> &amp;diams; MARJORAM, POT&lt;br /&gt;&amp;diams; POT MARJORAM&lt;br /&gt;&amp;diams; ORIGANUM HERACLEOTICUM&lt;br /&gt;&amp;diams; ORIGANUM ONITES&lt;br /&gt;&amp;diams; MARJOLAINE CULTIVE REGION MEDITERRANEENNE (ORIGANUM ONITES)&lt;br /&gt;&amp;diams; MAJORANA ONITES</t>
  </si>
  <si>
    <t xml:space="preserve"> 977038-86-0</t>
  </si>
  <si>
    <t xml:space="preserve"> MARJORAM SEED (MAJORANA HORTENSIS MOENCH (ORIGANUM MAJORANA L.))</t>
  </si>
  <si>
    <t xml:space="preserve"> &amp;diams; SWEET MARJORAM SEED&lt;br /&gt;&amp;diams; MARJORAM SEED&lt;br /&gt;&amp;diams; MARJORAM SEED, SWEET&lt;br /&gt;&amp;diams; MAJORANA HORTENSIS SEED</t>
  </si>
  <si>
    <t xml:space="preserve"> 977051-23-2</t>
  </si>
  <si>
    <t xml:space="preserve"> MARJORAM, SWEET (MAJORANA HORTENSIS MOENCH (ORIGANUM MAJORANA L.))</t>
  </si>
  <si>
    <t xml:space="preserve"> &amp;diams; SWEET MARJORAM&lt;br /&gt;&amp;diams; ORIGANUM MAJORANA&lt;br /&gt;&amp;diams; MARJOLAINE (ORIGANUM HORTENSIS OU MAJORANA)&lt;br /&gt;&amp;diams; MAJORANA HORTENSIS</t>
  </si>
  <si>
    <t xml:space="preserve"> 8015-01-8</t>
  </si>
  <si>
    <t xml:space="preserve"> MARJORAM, SWEET, OIL (MAJORANA HORTENSIS MOENCH (ORIGANUM MAJORANA L.))</t>
  </si>
  <si>
    <t xml:space="preserve"> &amp;diams; SWEET MARJORAM OIL&lt;br /&gt;&amp;diams; MARJORAM OIL, SWEET&lt;br /&gt;&amp;diams; MARJORAM, SWEET, OIL&lt;br /&gt;&amp;diams; MAJORANA HORTENSIS OIL&lt;br /&gt;&amp;diams; ORIGANUM MAJORANA OIL&lt;br /&gt;&amp;diams; OILS, MARJORAM, SWEET</t>
  </si>
  <si>
    <t xml:space="preserve"> 977011-47-4</t>
  </si>
  <si>
    <t xml:space="preserve"> MASSARANDUBA BALATA (MANILKARA HUBERI (DUCKE) CHEVALIER)</t>
  </si>
  <si>
    <t xml:space="preserve"> &amp;diams; MASSARANDUBA BALATA</t>
  </si>
  <si>
    <t xml:space="preserve"> 977044-53-3</t>
  </si>
  <si>
    <t xml:space="preserve"> MASSARANDUBA BALATA, SOLVENT-FREE RESIN EXTRACT</t>
  </si>
  <si>
    <t xml:space="preserve"> &amp;diams; MASSARANDUBA BALATA SOLVENT-FREE RESIN EXTRACT</t>
  </si>
  <si>
    <t xml:space="preserve"> 8029-83-2</t>
  </si>
  <si>
    <t xml:space="preserve"> MASSARANDUBA CHOCOLATE (MANILKARA SOLIMOESENSIS GILLY)</t>
  </si>
  <si>
    <t xml:space="preserve"> &amp;diams; MASSARANDUBA CHOCOLATE&lt;br /&gt;&amp;diams; MASSARANDUBA CHOCOLATE RESIN&lt;br /&gt;&amp;diams; RESINS, MASSARANDUBA CHOCOLATE</t>
  </si>
  <si>
    <t xml:space="preserve"> 977103-80-2</t>
  </si>
  <si>
    <t xml:space="preserve"> MASSOIA BARK OIL</t>
  </si>
  <si>
    <t xml:space="preserve"> &amp;diams; MASSOIA BARK OIL&lt;br /&gt;&amp;diams; CRYPTOCARYA MASSOIA OIL&lt;br /&gt;&amp;diams; MASSOI BARK OIL</t>
  </si>
  <si>
    <t xml:space="preserve"> 61789-92-2</t>
  </si>
  <si>
    <t xml:space="preserve"> MASTIC GUM</t>
  </si>
  <si>
    <t xml:space="preserve"> &amp;diams; MASTIC&lt;br /&gt;&amp;diams; MASTIC GUM&lt;br /&gt;&amp;diams; MASTIX&lt;br /&gt;&amp;diams; MASTIC (RESIN)&lt;br /&gt;&amp;diams; MISTKI&lt;br /&gt;&amp;diams; MUSTICA</t>
  </si>
  <si>
    <t xml:space="preserve"> 977146-67-0</t>
  </si>
  <si>
    <t xml:space="preserve"> MATE, ABSOLUTE (ILEX PARAGUARIENSIS ST. HIL.)</t>
  </si>
  <si>
    <t xml:space="preserve"> &amp;diams; MATE ABSOLUTE</t>
  </si>
  <si>
    <t xml:space="preserve"> 977051-24-3</t>
  </si>
  <si>
    <t xml:space="preserve"> MATE, LEAVES</t>
  </si>
  <si>
    <t xml:space="preserve"> &amp;diams; MATE&lt;br /&gt;&amp;diams; PARAGUAY TEA&lt;br /&gt;&amp;diams; MATE LEAF&lt;br /&gt;&amp;diams; ILEX PARAGUARIENSIS&lt;br /&gt;&amp;diams; YERBA MATE&lt;br /&gt;&amp;diams; ST. BARTHOLOMEW'S TEA&lt;br /&gt;&amp;diams; YERBA-DE-MATE&lt;br /&gt;&amp;diams; TEA, PARAGUAY</t>
  </si>
  <si>
    <t xml:space="preserve"> 131-13-5</t>
  </si>
  <si>
    <t xml:space="preserve"> MENADIOL SODIUM DIPHOSPHATE</t>
  </si>
  <si>
    <t xml:space="preserve"> &amp;diams; MENADIOL SODIUM DIPHOSPHATE&lt;br /&gt;&amp;diams; MENADIOL TETRASODIUM DIPHOSPHATE&lt;br /&gt;&amp;diams; SODIUM MENADIONE DIPHOSPHATE&lt;br /&gt;&amp;diams; TETRASODIUM 2-METHYL-1,4-NAPHTHOHYDROQUINONE DIPHOSPHATE&lt;br /&gt;&amp;diams; TETRASODIUM 2-METHYL-1,4-NAPHTHALENEDIOL BIS(DIHYDOGEN PHOSPHATE)&lt;br /&gt;&amp;diams; TETRASODIUM 2-METHYL-1,4-NAPHTHALENEDIOL DIPHOSPHATE&lt;br /&gt;&amp;diams; 1,4-NAPHTHALENEDIOL, 2-METHYL-, BIS(DIHYDROGEN PHOSPHATE), TETRASODIUM SALT&lt;br /&gt;&amp;diams; 1,4-NAPHTHALENEDIOL, 2-METHYL-, DIPHOSPHATE, TETRASODIUM SALT</t>
  </si>
  <si>
    <t xml:space="preserve"> 8002-50-4</t>
  </si>
  <si>
    <t xml:space="preserve"> MENHADEN OIL</t>
  </si>
  <si>
    <t xml:space="preserve"> &amp;diams; MENHADEN OIL&lt;br /&gt;&amp;diams; OILS, MENHADEN&lt;br /&gt;&amp;diams; MOSSBUNKER OIL&lt;br /&gt;&amp;diams; POGY OIL&lt;br /&gt;&amp;diams; BREVOORTIA OIL</t>
  </si>
  <si>
    <t xml:space="preserve"> 93572-53-3</t>
  </si>
  <si>
    <t xml:space="preserve"> MENHADEN OIL, HYDROGENATED</t>
  </si>
  <si>
    <t xml:space="preserve"> &amp;diams; MENHADEN OIL, HYDROGENATED&lt;br /&gt;&amp;diams; OILS, MENHADEN, HYDROGENATED</t>
  </si>
  <si>
    <t xml:space="preserve"> 977131-05-7</t>
  </si>
  <si>
    <t xml:space="preserve"> MENHADEN OIL, PARTIALLY HYDROGENATED</t>
  </si>
  <si>
    <t xml:space="preserve"> &amp;diams; MENHADEN OIL, PARTIALLY HYDROGENATED</t>
  </si>
  <si>
    <t xml:space="preserve"> 3269-90-7</t>
  </si>
  <si>
    <t xml:space="preserve"> MENTHADIENOL</t>
  </si>
  <si>
    <t xml:space="preserve"> &amp;diams; P-MENTHA-1,8(10)-DIEN-9-OL&lt;br /&gt;&amp;diams; MENTHADIENOL&lt;br /&gt;&amp;diams; 1,8-P-MENTHADIEN-9-OL&lt;br /&gt;&amp;diams; 1,8-P-MENTHADIEN-10-OL&lt;br /&gt;&amp;diams; 3-CYCLOHEXENE-1-ETHANOL, 4-METHYL-BETA-METHYLENE-&lt;br /&gt;&amp;diams; 4-METHYL-BETA-METHYLENE-3-CYCLOHEXENE-1-ETHANOL</t>
  </si>
  <si>
    <t xml:space="preserve"> FLAVORING AGENT OR ADJUVANT,&lt;br /&gt; MASTICATORY SUBSTANCE</t>
  </si>
  <si>
    <t xml:space="preserve"> 22771-44-4</t>
  </si>
  <si>
    <t xml:space="preserve"> D-2,8-P-MENTHADIEN-1-OL</t>
  </si>
  <si>
    <t xml:space="preserve"> &amp;diams; P-MENTHA-2,8-DIEN-1-OL&lt;br /&gt;&amp;diams; 2-CYCLOHEXEN-1-OL, 1-METHYL-4-(1-METHYLETHENYL)-&lt;br /&gt;&amp;diams; 1-METHYL-4-(1-METHYLETHENYL)-2-CYCLOHEXEN-1-OL</t>
  </si>
  <si>
    <t xml:space="preserve"> 536-59-4</t>
  </si>
  <si>
    <t xml:space="preserve"> P-MENTHA-1,8-DIEN-7-OL</t>
  </si>
  <si>
    <t xml:space="preserve"> &amp;diams; P-MENTHA-1,8-DIEN-7-OL&lt;br /&gt;&amp;diams; DIHYDROCUMINIC ALCOHOL&lt;br /&gt;&amp;diams; HYDROCUMIN ALCOHOL&lt;br /&gt;&amp;diams; ISOCARVEOL&lt;br /&gt;&amp;diams; MENTHADIEN-7-CARBINOL&lt;br /&gt;&amp;diams; PERILLYL ALCOHOL&lt;br /&gt;&amp;diams; PERILLOL&lt;br /&gt;&amp;diams; PERILLA ALCOHOL&lt;br /&gt;&amp;diams; 1-HYDROXYMETHYL-4-ISOPROPENYL-1-CYCLOHEXENE&lt;br /&gt;&amp;diams; 1-CYCLOHEXENE-1-METHANOL, 4-(1-METHYLETHENYL)-&lt;br /&gt;&amp;diams; 4-ISOPROPENYL-1-CYCLOHEXENE CARBINOL&lt;br /&gt;&amp;diams; 4-(1-METHYLETHENYL)-1-CYCLOHEXENE-1-METHANOL</t>
  </si>
  <si>
    <t xml:space="preserve"> 15111-97-4</t>
  </si>
  <si>
    <t xml:space="preserve"> CIS- AND TRANS-P-1(7),8-MENTHADIEN-2-YL ACETATE</t>
  </si>
  <si>
    <t xml:space="preserve"> &amp;diams; P-MENTHA-1,8(10)-DIEN-9-YL ACETATE&lt;br /&gt;&amp;diams; LIMONEN-10-YL ACETATE&lt;br /&gt;&amp;diams; MENTHADIENYL ACETATE&lt;br /&gt;&amp;diams; P-MENTHA-1,8(10)-DIEN-9-OL, ACETATE&lt;br /&gt;&amp;diams; P-MENTHA-1,8(10)-DIEN-9-YL ACETATE, (E,Z)-&lt;br /&gt;&amp;diams; 1,8-P-MENTHADIEN-9-YL ACETATE&lt;br /&gt;&amp;diams; 3-CYCLOHEXENE-1-ETHANOL, 4-METHYL-BETA-METHYLENE-, ACETATE&lt;br /&gt;&amp;diams; 4-METHYL-BETA-METHYLENE-3-CYCLOHEXENE-1-ETHYL ACETATE</t>
  </si>
  <si>
    <t xml:space="preserve"> 499-70-7</t>
  </si>
  <si>
    <t xml:space="preserve"> P-MENTHAN-2-ONE</t>
  </si>
  <si>
    <t xml:space="preserve"> &amp;diams; P-MENTHAN-2-ONE&lt;br /&gt;&amp;diams; CARVOMENTHONE&lt;br /&gt;&amp;diams; TETRAHYDROCARVONE&lt;br /&gt;&amp;diams; CYCLOHEXANONE, 2-METHYL-5-(1-METHYLETHYL)-, TRANS-&lt;br /&gt;&amp;diams; 2-METHYL-5-(1-METHYLETHYL)CYCLOHEXANONE, TRANS-&lt;br /&gt;&amp;diams; P-MENTHAN-2-ONE, TRANS-&lt;br /&gt;&amp;diams; 5-ISOPROPYL-2-METHYLCYCLOHEXANONE, TRANS-</t>
  </si>
  <si>
    <t xml:space="preserve"> 38462-22-5</t>
  </si>
  <si>
    <t xml:space="preserve"> P-MENTHA-8-THIOL-3-ONE</t>
  </si>
  <si>
    <t xml:space="preserve"> &amp;diams; P-MENTHA-8-THIOL-3-ONE&lt;br /&gt;&amp;diams; CYCLOHEXANONE, 2-(1-MERCAPTO-1-METHYLETHYL)-5-METHYL-&lt;br /&gt;&amp;diams; THIOMENTHONE&lt;br /&gt;&amp;diams; 2-(1-MERCAPTO-1-METHYLETHYL)-5-METHYLCYCLOHEXANONE&lt;br /&gt;&amp;diams; 8-MERCAPTO-P-MENTHANE-3-ONE</t>
  </si>
  <si>
    <t xml:space="preserve"> 29548-14-9</t>
  </si>
  <si>
    <t xml:space="preserve"> P-MENTH-1-ENE-9-AL</t>
  </si>
  <si>
    <t xml:space="preserve"> &amp;diams; 1-P-MENTHEN-9-AL&lt;br /&gt;&amp;diams; P-MENTH-1-EN-9-AL&lt;br /&gt;&amp;diams; 3-CYCLOHEXENE-1-ACETALDEHYDE, ALPHA,4-DIMETHYL-&lt;br /&gt;&amp;diams; ALPHA,4-DIMETHYL-3-CYCLOHEXENE-1-ACETALDEHYDE</t>
  </si>
  <si>
    <t xml:space="preserve"> 1946-00-5</t>
  </si>
  <si>
    <t xml:space="preserve"> 8-P-MENTHENE-1,2-DIOL</t>
  </si>
  <si>
    <t xml:space="preserve"> &amp;diams; P-MENTH-8-ENE-1,2-DIOL&lt;br /&gt;&amp;diams; 8-P-MENTHENE-1,2-DIOL&lt;br /&gt;&amp;diams; 1,2-cyclohexanediol, 1-methyl-4-(1-methylethenyl)-&lt;br /&gt;&amp;diams; 1-methyl-4-(1-methylethenyl)-1,2-cyclohexanediol&lt;br /&gt;&amp;diams; limonene glycol&lt;br /&gt;&amp;diams; limonene-1,2-diol&lt;br /&gt;&amp;diams; InChI=1S/C10H18O2/c1-7(2)8-4-5-10(3,12)9(11)6-8/h8-9,11-12H,1,4-6H2,2-3H3&lt;br /&gt;&amp;diams; InChIKey: WKZWTZTZWGWEGE-UHFFFAOYSA-N</t>
  </si>
  <si>
    <t xml:space="preserve"> 71159-90-5</t>
  </si>
  <si>
    <t xml:space="preserve"> 1-P-MENTHENE-8-THIOL</t>
  </si>
  <si>
    <t xml:space="preserve"> &amp;diams; 1-P-MENTHENE-8-THIOL&lt;br /&gt;&amp;diams; ALPHA,ALPHA,4-TRIMETHYL-3-CYCLOHEXENE-1-METHANETHIOL&lt;br /&gt;&amp;diams; P-MENTH-1-EN-8-THIOL&lt;br /&gt;&amp;diams; 3-CYCLOHEXENE-1-METHANETHIOL, ALPHA,ALPHA,4-TRIMETHYL-</t>
  </si>
  <si>
    <t xml:space="preserve"> 491-04-3</t>
  </si>
  <si>
    <t xml:space="preserve"> P-MENTH-1-EN-3-OL</t>
  </si>
  <si>
    <t xml:space="preserve"> &amp;diams; P-MENTH-1-EN-3-OL&lt;br /&gt;&amp;diams; PIPERITOL&lt;br /&gt;&amp;diams; 2-CYCLOHEXEN-1-OL, 3-METHYL-6-(1-METHYLETHYL)-&lt;br /&gt;&amp;diams; 3-METHYL-6-(1-METHYLETHYL)-2-CYCLOHEXEN-1-OL&lt;br /&gt;&amp;diams; 3-HYDROXY-4-ISOPROPYL-1-METHYLCYCLOHEXENE&lt;br /&gt;&amp;diams; 3-CARVOMENTHENOL</t>
  </si>
  <si>
    <t xml:space="preserve"> 586-82-3</t>
  </si>
  <si>
    <t xml:space="preserve"> P-MENTH-3-EN-1-OL</t>
  </si>
  <si>
    <t xml:space="preserve"> &amp;diams; P-MENTH-3-EN-1-OL&lt;br /&gt;&amp;diams; 1-TERPINENOL&lt;br /&gt;&amp;diams; 4-ISOPROPYL-1-METHYL-3-CYCLOHEXEN-1-OL&lt;br /&gt;&amp;diams; 1-METHYL-4-ISOPROPYL-3-CYCLOHEXEN-1-OL&lt;br /&gt;&amp;diams; 3-TERPINEN-1-OL&lt;br /&gt;&amp;diams; 1-TERPINEOL&lt;br /&gt;&amp;diams; 3-CYCLOHEXEN-1-OL, 1-METHYL-4-(1-METHYETHYL)-&lt;br /&gt;&amp;diams; 1-METHYL-4-(1-METHYLETHYL)-3-CYCLOHEXEN-1-OL</t>
  </si>
  <si>
    <t xml:space="preserve"> 28839-13-6</t>
  </si>
  <si>
    <t xml:space="preserve"> 1-P-MENTHEN-9-YL ACETATE</t>
  </si>
  <si>
    <t xml:space="preserve"> &amp;diams; 1-P-MENTHEN-9-YL ACETATE&lt;br /&gt;&amp;diams; BETA,4-DIMETHYL-3-CYCLOHEXENE-1-ETHYL ACETATE&lt;br /&gt;&amp;diams; P-MENTH-1-EN-9-YL ACETATE&lt;br /&gt;&amp;diams; P-MENTH-1-EN-9-OL, ACETATE&lt;br /&gt;&amp;diams; 3-CYCLOHEXENE-1-ETHANOL, BETA,4-DIMETHYL-, ACETATE&lt;br /&gt;&amp;diams; 9-ACETOXY-1-P-MENTHENE</t>
  </si>
  <si>
    <t xml:space="preserve"> 89-78-1</t>
  </si>
  <si>
    <t xml:space="preserve"> MENTHOL</t>
  </si>
  <si>
    <t xml:space="preserve"> &amp;diams; MENTHOL, DL-&lt;br /&gt;&amp;diams; MENTHOL, RACEMIC&lt;br /&gt;&amp;diams; MENTHOL, CIS-1,3,TRANS-1,4-&lt;br /&gt;&amp;diams; CYCLOHEXANOL, 5-METHYL-2-(1-METHYLETHYL)-, (1R,2S,5R)-REL-&lt;br /&gt;&amp;diams; 5-METHYL-2-(1-METHYLETHYL)CYCLOHEXANOL, (1ALPHA,2BETA,5ALPHA)-&lt;br /&gt;&amp;diams; HEXAHYDROTHYMOL&lt;br /&gt;&amp;diams; MENTHACAMPHOR&lt;br /&gt;&amp;diams; MENTHOMENTHOL&lt;br /&gt;&amp;diams; PEPPERMINT CAMPHOR&lt;br /&gt;&amp;diams; 3-P-MENTHANOL</t>
  </si>
  <si>
    <t xml:space="preserve"> 89-80-5</t>
  </si>
  <si>
    <t xml:space="preserve"> MENTHONE</t>
  </si>
  <si>
    <t xml:space="preserve"> &amp;diams; MENTHONE&lt;br /&gt;&amp;diams; P-MENTHAN-3-ONE, TRANS-&lt;br /&gt;&amp;diams; 2-ISOPROPYL-5-METHYLCYCLOHEXANONE&lt;br /&gt;&amp;diams; 4-ISOPROPYL-1-METHYLCYCLOHEXAN-3-ONE&lt;br /&gt;&amp;diams; CYCLOHEXANONE, 5-METHYL-2-(1-METHYLETHYL)-, TRANS-&lt;br /&gt;&amp;diams; 5-METHYL-2-(1-METHYLETHYL)CYCLOHEXANONE, TRANS-&lt;br /&gt;&amp;diams; MENTHONE, P-&lt;br /&gt;&amp;diams; MENTHONE, (+-)-&lt;br /&gt;&amp;diams; MENTHONE, DL-</t>
  </si>
  <si>
    <t xml:space="preserve"> 63187-91-7</t>
  </si>
  <si>
    <t xml:space="preserve"> MENTHONE 1,2-GLYCEROL KETAL</t>
  </si>
  <si>
    <t xml:space="preserve"> &amp;diams; MENTHONE 1,2-GLYCEROL KETAL&lt;br /&gt;&amp;diams; 1,4-DIOXASPIRO(4.5)DECANE-2-METHANOL, 9-METHYL-6-(1-METHYLETHYL)-&lt;br /&gt;&amp;diams; 9-METHYL-6-(1-METHYLETHYL)-1,4-DIOXASPIRO(4.5)DECANE-2-METHANOL</t>
  </si>
  <si>
    <t xml:space="preserve"> 977178-02-1</t>
  </si>
  <si>
    <t xml:space="preserve"> L-MENTHONE 1,2-GLYCEROL KETAL</t>
  </si>
  <si>
    <t xml:space="preserve"> &amp;diams; MENTHONE 1,2-GLYCEROL KETAL, L-&lt;br /&gt;&amp;diams; 9-METHYL-6-(1-METHYLETHYL)-1,4-DIOXASPIRO(4.5)DECANE-2-METHANOL, L-ISOMER</t>
  </si>
  <si>
    <t xml:space="preserve"> 94293-57-9</t>
  </si>
  <si>
    <t xml:space="preserve"> MENTHONE-8-THIOACETATE</t>
  </si>
  <si>
    <t xml:space="preserve"> &amp;diams; MENTHONE-8-THIOACETATE&lt;br /&gt;&amp;diams; ETHANETHIOIC ACID, S-(1-METHYL-1-(4-METHYL-2-OXOCYCLOHEXYL)ETHYL) ESTER&lt;br /&gt;&amp;diams; S-(1-METHYL-1-(4-METHYL-2-OXOCYCLOHEXYL)ETHYL) ETHANETHIOATE&lt;br /&gt;&amp;diams; 2-(1-ACETYLTHIO-1-METHYLETHYL)-5-METHYLCYCLOHEXANONE&lt;br /&gt;&amp;diams; 3-OXO-P-MENTHANE-8-THIYL ACETATE&lt;br /&gt;&amp;diams; 8-ACETYLTHIO-P-MENTHAN-3-ONE</t>
  </si>
  <si>
    <t xml:space="preserve"> 38618-23-4</t>
  </si>
  <si>
    <t xml:space="preserve"> 2-(L-MENTHOXY)ETHANOL</t>
  </si>
  <si>
    <t xml:space="preserve"> &amp;diams; 3-(2-HYDROXYETHOXY)-P-MENTHANE&lt;br /&gt;&amp;diams; ethanol, 2-((5-methyl-2-(1-methylethyl)cyclohexyl)oxy)-&lt;br /&gt;&amp;diams; 2-((5-methyl-2-(methylethyl)cyclohexyl)oxy)ethanol&lt;br /&gt;&amp;diams; InChI=1S/C12H24O2/c1-9(2)11-5-4-10(3)8-12(11)14-7-6-13/h9-13H,4-8H2,1-3H3&lt;br /&gt;&amp;diams; InChiKey=FVBGFZNFXUIHNC-UHFFFAOYSA-N</t>
  </si>
  <si>
    <t xml:space="preserve"> 195863-84-4</t>
  </si>
  <si>
    <t xml:space="preserve"> 3-(L-MENTHOXY)-2-METHYLPROPANE-1,2-DIOL</t>
  </si>
  <si>
    <t xml:space="preserve"> &amp;diams; 3-(L-MENTHOXY)-2-METHYLPROPYLENE GLYCOL&lt;br /&gt;&amp;diams; 3-(L-MENTHOXY)-2-METHYLPROPANE-1,2-DIOL&lt;br /&gt;&amp;diams; 2-METHYL-3-(L-MENTHYLOXY)PROPANE-1,2-DIOL&lt;br /&gt;&amp;diams; 1,2-PROPANEDIOL, 2-METHYL-3-((5-METHYL-2-(1-METHYLETHYL)CYCLOHEXYL)OXY)-, (1R-(1ALPHA,2BETA,5ALPHA))-(PARTIAL)-&lt;br /&gt;&amp;diams; 2-METHYL-3-((5-METHYL-2-(1-METHYLETHYL)CYCLOHEXYL)OXY)-1,2-PROPANEDIOL, (1R-(1ALPHA,2BETA,5ALPHA))-(PARTIAL)-&lt;br /&gt;&amp;diams; 3-L-MENTHOXY-2-METHYLPROPANE-1,2-DIOL&lt;br /&gt;&amp;diams; 3-(L-MENTHOXY)-2-METHYL-1,2-PROPANEDIOL</t>
  </si>
  <si>
    <t xml:space="preserve"> 87061-04-9</t>
  </si>
  <si>
    <t xml:space="preserve"> 3-L-MENTHOXYPROPANE-1,2-DIOL</t>
  </si>
  <si>
    <t xml:space="preserve"> &amp;diams; 3-(L-MENTHOXY)PROPYLENE GLYCOL&lt;br /&gt;&amp;diams; (MENTHYL)OXYPROPANEDIOL&lt;br /&gt;&amp;diams; MENTHYL GLYCERYL ETHER, L-&lt;br /&gt;&amp;diams; 1,2-PROPANEDIOL, 3-((5-METHYL-2-(1-METHYLETHYL)CYCLOHEXYL)OXY)-&lt;br /&gt;&amp;diams; 3-((5-METHYL-2-(1-METHYLETHYL)CYCLOHEXYL)OXY)-1,2-PROPANDIOL&lt;br /&gt;&amp;diams; 3-L-MENTHOXYPROPANE-1,2-DIOL&lt;br /&gt;&amp;diams; 3-L-(P-MENTHANE-3-YLOXY)-1,2-PROPANEDIOL&lt;br /&gt;&amp;diams; 1,3-MENTHOXYPROPANE-1,2-DIOL, L-&lt;br /&gt;&amp;diams; 3-((L-MENTHYL)OXY)PROPANE-1,2-DIOL&lt;br /&gt;&amp;diams; 3-(1-MENTHOXY)-1,2-PROPANEDIOL&lt;br /&gt;&amp;diams; 3-(L-MENTHOXY)-1,2-PROPANEDIOL</t>
  </si>
  <si>
    <t xml:space="preserve"> 89-48-5</t>
  </si>
  <si>
    <t xml:space="preserve"> MENTHYL ACETATE</t>
  </si>
  <si>
    <t xml:space="preserve"> 59557-05-0</t>
  </si>
  <si>
    <t xml:space="preserve"> L-MENTHYL ACETOACETATE</t>
  </si>
  <si>
    <t xml:space="preserve"> &amp;diams; MENTHYL ACETOACETATE, L-&lt;br /&gt;&amp;diams; butanoic acid, 3-oxo-, (1R,2S,5R)-5-methyl-2-(1-methylethyl)cyclohexyl ester&lt;br /&gt;&amp;diams; 5-methyl-2-(1-methylethyl)cyclohexyl 3-oxobutanoate, (1R,2S,5R)-&lt;br /&gt;&amp;diams; 2-isopropyl-5-methylcyclohexyl 3-oxobutyrate, (1R,2S,5R)-&lt;br /&gt;&amp;diams; InChI=1S/C14H24O3/c1-9(2)12-6-5-10(3)7-13(12)17-14(16)8-11(4)15/h9-10,12-13H,5-8H2,1-4H3/t10-,12+,13-/m1/s1&lt;br /&gt;&amp;diams; InChIKey: QSVQIPXQOCAWHP-KGYLQXTDSA-N</t>
  </si>
  <si>
    <t xml:space="preserve"> 156324-78-6</t>
  </si>
  <si>
    <t xml:space="preserve"> L-MENTHYL ETHYLENE GLYCOL CARBONATE</t>
  </si>
  <si>
    <t xml:space="preserve"> &amp;diams; MENTHYL ETHYLENE GLYCOL CARBONATE, L-&lt;br /&gt;&amp;diams; CARBONIC ACID, 2-HYDROXYETHYL 5-METHYL-2-(1-METHYLETHYL)CYCLOHEXYL ESTER, (1R-(1ALPHA,2BETA,5ALPHA))-&lt;br /&gt;&amp;diams; MENTHYL GLYCOL CARBONATE&lt;br /&gt;&amp;diams; 2-HYDROXYETHYL 5-METHYL-2-(1-METHYLETHYL)CYCLOHEXYL CARBONATE (1R-(1ALPHA,2BETA,5ALPHA))-</t>
  </si>
  <si>
    <t xml:space="preserve"> 2230-90-2</t>
  </si>
  <si>
    <t xml:space="preserve"> MENTHYL FORMATE</t>
  </si>
  <si>
    <t xml:space="preserve"> &amp;diams; MENTHYL FORMATE&lt;br /&gt;&amp;diams; cyclohexanal,5-methyl-2-(1-methylethyl)-, 1-formate&lt;br /&gt;&amp;diams; 5-methyl-2-(1-methylethyl)cyclohexyl 1-formate&lt;br /&gt;&amp;diams; cyclohexanol,5-methyl-2-(1-methylethyl)-, formate&lt;br /&gt;&amp;diams; 5-methyl-2-(1-methylethyl)cyclohexyl formate&lt;br /&gt;&amp;diams; 2-isopropyl-5-methylcyclohexyl formate&lt;br /&gt;&amp;diams; menthol formate&lt;br /&gt;&amp;diams; InChI=1S/C11H20O2/c1-8(2)10-5-4-9(3)6-11(10)13-7-12/h7-11H,4-6H2,1-3H3&lt;br /&gt;&amp;diams; InChIKey: XEYZAKCJAFSLGZ-UHFFFAOYSA-N</t>
  </si>
  <si>
    <t xml:space="preserve"> 374629-79-5</t>
  </si>
  <si>
    <t xml:space="preserve"> L-MENTHYL (R,S)-3-HYDROXYBUTYRATE</t>
  </si>
  <si>
    <t xml:space="preserve"> &amp;diams; MENTHYL 3-HYDROXYBUTYRATE, L-&lt;br /&gt;&amp;diams; butanoic acid, 3-hydroxy-, (1R,2S,5R)-5-methyl-2-(1-methylethyl)cyclohexyl&lt;br /&gt;&amp;diams; 5-methyl-2-(1-methylethyl)cyclohexyl 3-hydroxybutanoate, (1R,2S,5R)-&lt;br /&gt;&amp;diams; InChI=1S/C14H26O3/c1-9(2)12-6-5-10(3)7-13(12)17-14(16)8-11(4)15/h9-13,15H,5-8H2,1-4H3/t10-,11?,12+,13-/m1/s1&lt;br /&gt;&amp;diams; InChIKey: XSJPRWBZLUYOOI-IBSWDFHHSA-N</t>
  </si>
  <si>
    <t xml:space="preserve"> 16409-46-4</t>
  </si>
  <si>
    <t xml:space="preserve"> MENTHYL ISOVALERATE</t>
  </si>
  <si>
    <t xml:space="preserve"> &amp;diams; MENTHYL ISOVALERATE&lt;br /&gt;&amp;diams; P-MENTH-3-YL ISOVALERATE&lt;br /&gt;&amp;diams; MENTHYL 3-METHYLBUTANOATE&lt;br /&gt;&amp;diams; MENTHYL ISOVALERIANATE&lt;br /&gt;&amp;diams; MENTHYL ISOPENTANOATE&lt;br /&gt;&amp;diams; 1-ISOPROPYL-4-METHYLCYCLOHEX-2-YL 3-METHYLBUTANOATE&lt;br /&gt;&amp;diams; BUTANOIC ACID, 3-METHYL-, 5-METHYL-2-(1-METHYLETHYL)CYCLOHEXYL ESTER&lt;br /&gt;&amp;diams; 5-METHYL-2-(1-METHYLETHYL)CYCLOHEXYL 3-METHYLBUTANOATE</t>
  </si>
  <si>
    <t xml:space="preserve"> 59259-38-0</t>
  </si>
  <si>
    <t xml:space="preserve"> L-MENTHYL LACTATE</t>
  </si>
  <si>
    <t xml:space="preserve"> &amp;diams; MENTHYL LACTATE, L-&lt;br /&gt;&amp;diams; FRESCOLAT&lt;br /&gt;&amp;diams; MENTHAN-3-YL LACTATE, (-)-P-&lt;br /&gt;&amp;diams; 5-METHYL-2-(1-METHYLETHYL)CYCLOHEXYL ALPHA-HYDROXYPROPANOATE&lt;br /&gt;&amp;diams; 5-METHYL-2-(1-METHYLETHYL)CYCLOHEXYL 2-HYDROXYPROPANOATE, (1R-(1ALPHA(R*),2BETA,5ALPHA))-&lt;br /&gt;&amp;diams; PROPANOIC ACID, 2-HYDROXY-, 5-METHYL-2-(1-METHYLETHYL)CYCLOHEXYL ESTER, (1R-(1ALPHA(R*),2BETA,5ALPHA))-</t>
  </si>
  <si>
    <t xml:space="preserve"> 1565-76-0</t>
  </si>
  <si>
    <t xml:space="preserve"> 1-MENTHYL METHYL ETHER</t>
  </si>
  <si>
    <t xml:space="preserve"> &amp;diams; MENTHYL METHYL ETHER, L-&lt;br /&gt;&amp;diams; cyclohexane, 2-methoxy-4-methyl-1-(1-methylethyl)-, (1S,2R,4R)-&lt;br /&gt;&amp;diams; ether, p-menth-3-yl methyl, (1R,3R,4S)-(-)-&lt;br /&gt;&amp;diams; 1-isopropyl-2-methoxy-4-methylcyclohexane&lt;br /&gt;&amp;diams; 2-isopropyl-5-methylcyclohexyl methyl ether&lt;br /&gt;&amp;diams; menthyl methyl ether, (-)-</t>
  </si>
  <si>
    <t xml:space="preserve"> 28804-53-7</t>
  </si>
  <si>
    <t xml:space="preserve"> 2-[2-(P-MENTHYLOXY)ETHOXY]ETHANOL</t>
  </si>
  <si>
    <t xml:space="preserve"> &amp;diams; 2-(2-(P-METHYLOXY)ETHOXY)ETHANOL&lt;br /&gt;&amp;diams; ethanol, 2-(2-(p-menthyloxy)ethoxy)-</t>
  </si>
  <si>
    <t xml:space="preserve"> 86014-82-6</t>
  </si>
  <si>
    <t xml:space="preserve"> MENTHYL PROPIONATE</t>
  </si>
  <si>
    <t xml:space="preserve"> &amp;diams; MENTHYL PROPIONATE&lt;br /&gt;&amp;diams; cyclohexanol, 5-methyl-2-(1-methylethyl)-, 1-propanoate&lt;br /&gt;&amp;diams; 5-methyl-2-(1-methylethyl)cyclohexyl 1-propanoate&lt;br /&gt;&amp;diams; cyclohexanol, 5-methyl-2-(1-methylethyl)-, propanoate&lt;br /&gt;&amp;diams; 5-methyl-2-(1-methylethyl)-cyclohexyl propanoate&lt;br /&gt;&amp;diams; propionic acid, p-menth-3-yl ester&lt;br /&gt;&amp;diams; p-menth-3-yl propionate</t>
  </si>
  <si>
    <t xml:space="preserve"> 156324-82-2</t>
  </si>
  <si>
    <t xml:space="preserve"> MENTHYL PROPYLENE GLYCOL CARBONATE</t>
  </si>
  <si>
    <t xml:space="preserve"> &amp;diams; MENTHYL PROPYLENE GLYCOL CARBONATE&lt;br /&gt;&amp;diams; CARBONIC ACID, 2-HYDROXYPROPYL 5-METHYL-2-(1-METHYLETHYL)CYCLOHEXYL ESTER&lt;br /&gt;&amp;diams; MENTHOL (+-)-PROPYLENE GLYCOL CARBONATE, DL-&lt;br /&gt;&amp;diams; 2-HYDROXYPROPYL 5-METHYL-2-(1-METHYLETHYL)CYCLOHEXYL CARBONATE</t>
  </si>
  <si>
    <t xml:space="preserve"> 30304-82-6</t>
  </si>
  <si>
    <t xml:space="preserve"> L-MENTHYL 1,2-PROPYLENE GLYCOL CARBONATE</t>
  </si>
  <si>
    <t xml:space="preserve"> &amp;diams; MENTHYL 1,2-PROPYLENE GLYCOL CARBONATE, L-&lt;br /&gt;&amp;diams; CARBONIC ACID, MENTHYL ESTER, MONOESTER WITH 1,2-PROPANEDIOL&lt;br /&gt;&amp;diams; CARBONIC ACID, P-MENTH-3-YL ESTER, ESTER 1,2-PROPANEDIOL&lt;br /&gt;&amp;diams; MENTHYL MONO-1,2-PROPANEDIOL CARBONATE&lt;br /&gt;&amp;diams; MONO-O-(MENTHYLOXYCARBONYL)-1,2-PROPANEDIOL</t>
  </si>
  <si>
    <t xml:space="preserve"> 52528-10-6</t>
  </si>
  <si>
    <t xml:space="preserve"> MENTHYL PYRROLIDONECARBOXYLATE</t>
  </si>
  <si>
    <t xml:space="preserve"> &amp;diams; MENTHYL PYRROLIDONECARBOXYLATE, DL-&lt;br /&gt;&amp;diams; menthyl pyrrolidonecarboxylate&lt;br /&gt;&amp;diams; menthyl 2-oxo-5-pyrrolidonecarboxylate&lt;br /&gt;&amp;diams; menthyl DL-pyrrolidonecarboxylate&lt;br /&gt;&amp;diams; proline, 5-oxo-, (1R,2S,5R)-5-methyl-2-(1-methylethyl)cyclohexyl ester&lt;br /&gt;&amp;diams; 5-methyl-2-(1-methylethyl)cyclohexyl 5-oxoproline, (1R,2S,5R)-&lt;br /&gt;&amp;diams; 5-methyl-2-(1-methylethyl)cyclohexyl 5-oxo-DL-proline, (1R-(1alpha,2beta,5alpha))-</t>
  </si>
  <si>
    <t xml:space="preserve"> 89-47-4</t>
  </si>
  <si>
    <t xml:space="preserve"> MENTHYL VALERATE</t>
  </si>
  <si>
    <t xml:space="preserve"> &amp;diams; MENTHYL ACETATE, DL-&lt;br /&gt;&amp;diams; P-MENTH-3-YL ACETATE, DL-&lt;br /&gt;&amp;diams; 1-ISOPROPYL-4-METHYLCYCLOHEX-2-YL ACETATE, DL-&lt;br /&gt;&amp;diams; CYCLOHEXANOL, 5-METHYL-2-(1-METHYLETHYL)-, ACETATE, (1ALPHA,2BETA,5ALPHA)-&lt;br /&gt;&amp;diams; 5-METHYL-2-(1-METHYLETHYL)CYCLOHEXYL ACETATE, (1ALPHA,2BETA,5ALPHA)-&lt;br /&gt;&amp;diams; MENTHOL, ACETATE, CIS-1,3,TRANS-1,4-</t>
  </si>
  <si>
    <t xml:space="preserve"> 7217-59-6</t>
  </si>
  <si>
    <t xml:space="preserve"> 2-MERCAPTOANISOLE</t>
  </si>
  <si>
    <t xml:space="preserve"> &amp;diams; 2-METHOXYBENZENETHIOL&lt;br /&gt;&amp;diams; 2-methoxythiophenol&lt;br /&gt;&amp;diams; benzenethiol, 2-methoxy-&lt;br /&gt;&amp;diams; benzenethiol, o-methoxy-&lt;br /&gt;&amp;diams; methoxybenzenethiol, o-&lt;br /&gt;&amp;diams; 2-mercaptoanisole&lt;br /&gt;&amp;diams; InChI=1S/C7H8OS/c1-8-6-4-2-3-5-7(6)9/h2-5,9H,1H3&lt;br /&gt;&amp;diams; InChIKey: DSCJETUEDFKYGN-UHFFFAOYSA-N</t>
  </si>
  <si>
    <t xml:space="preserve"> 54812-86-1</t>
  </si>
  <si>
    <t xml:space="preserve"> 2-MERCAPTO-3-BUTANOL</t>
  </si>
  <si>
    <t xml:space="preserve"> &amp;diams; 3-MERCAPTO-2-BUTANOL&lt;br /&gt;&amp;diams; 2-MERCAPTO-3-BUTANOL&lt;br /&gt;&amp;diams; 3-HYDROXY-2-BUTANETHIOL&lt;br /&gt;&amp;diams; 2-HYDROXY-3-BUTANETHIOL&lt;br /&gt;&amp;diams; 2-BUTANOL, 3-MERCAPTO-</t>
  </si>
  <si>
    <t xml:space="preserve"> 40789-98-8</t>
  </si>
  <si>
    <t xml:space="preserve"> 3-MERCAPTO-2-BUTANONE</t>
  </si>
  <si>
    <t xml:space="preserve"> &amp;diams; 3-MERCAPTO-2-BUTANONE&lt;br /&gt;&amp;diams; 2-BUTANONE, 3-MERCAPTO-&lt;br /&gt;&amp;diams; 2-MERCAPTO-3-BUTANONE</t>
  </si>
  <si>
    <t xml:space="preserve"> 89534-38-3</t>
  </si>
  <si>
    <t xml:space="preserve"> (+/-)-3-MERCAPTO-1-BUTYL ACETATE</t>
  </si>
  <si>
    <t xml:space="preserve"> &amp;diams; 3-MERCAPTOBUTYL ACETATE&lt;br /&gt;&amp;diams; 1,3-butanedthiol, 1-acetate&lt;br /&gt;&amp;diams; 1,3-butanedithiyl 1-acetate&lt;br /&gt;&amp;diams; 1-butanol, 3-mercapto-, 1-acetate&lt;br /&gt;&amp;diams; 3-mercapto-1-butyl 1-acetate&lt;br /&gt;&amp;diams; 3-mercapto-1-butyl acetate&lt;br /&gt;&amp;diams; InChI=1S/C6H12O2S/c1-5(9)3-4-8-6(2)7/h5,9H,3-4H2,1-2H3&lt;br /&gt;&amp;diams; InChIKey: GMXSGLCDVHHWIB-UHFFFAOYSA-N</t>
  </si>
  <si>
    <t xml:space="preserve"> 60-24-2</t>
  </si>
  <si>
    <t xml:space="preserve"> 2-MERCAPTOETHANOL</t>
  </si>
  <si>
    <t xml:space="preserve"> &amp;diams; 2-MERCAPTOETHANOL&lt;br /&gt;&amp;diams; MERCAPTOETHANOL&lt;br /&gt;&amp;diams; 2-THIOETHANOL&lt;br /&gt;&amp;diams; ETHANOL, 2-MERCAPTO-&lt;br /&gt;&amp;diams; BETA-MERCAPTOETHANOL&lt;br /&gt;&amp;diams; 2-HYDROXY-1-ETHANETHIOL&lt;br /&gt;&amp;diams; MONOTHIOETHYLENE GLYCOL</t>
  </si>
  <si>
    <t xml:space="preserve"> 548774-80-7</t>
  </si>
  <si>
    <t xml:space="preserve"> 3-MERCAPTOHEPTYL ACETATE</t>
  </si>
  <si>
    <t xml:space="preserve"> &amp;diams; 3-MERCAPTOHEPTYL ACETATE&lt;br /&gt;&amp;diams; 1,3-heptanedithiol, 1-acetate&lt;br /&gt;&amp;diams; 1,3-heptanedithiyl 1-acetate&lt;br /&gt;&amp;diams; 1-heptanol, 3-mercapto-, 1-acetate&lt;br /&gt;&amp;diams; 3-mercaptoheptyl 1-acetate&lt;br /&gt;&amp;diams; InChI: InChI=1S/C9H18O2S/c1-3-4-5-9(12)6-7-11-8(2)10/h9,12H,3-7H2,1-2H3&lt;br /&gt;&amp;diams; InChIKey: JWESHEXXXWDVAQ-UHFFFAOYSA-N</t>
  </si>
  <si>
    <t xml:space="preserve"> 51755-72-7</t>
  </si>
  <si>
    <t xml:space="preserve"> 3-MERCAPTOHEXANAL</t>
  </si>
  <si>
    <t xml:space="preserve"> &amp;diams; 3-MERCAPTOHEXANAL&lt;br /&gt;&amp;diams; hexanal, 3-mercapto</t>
  </si>
  <si>
    <t xml:space="preserve"> 51755-83-0</t>
  </si>
  <si>
    <t xml:space="preserve"> 3-MERCAPTOHEXANOL</t>
  </si>
  <si>
    <t xml:space="preserve"> &amp;diams; 3-MERCAPTOHEXANOL&lt;br /&gt;&amp;diams; 1-HEXANOL, 3-MERCAPTO-&lt;br /&gt;&amp;diams; 3-MERCAPTO-1-HEXANOL&lt;br /&gt;&amp;diams; 3-THIOHEXANOL&lt;br /&gt;&amp;diams; 3-THIOHEXAN-1-OL</t>
  </si>
  <si>
    <t xml:space="preserve"> 136954-20-6</t>
  </si>
  <si>
    <t xml:space="preserve"> 3-MERCAPTOHEXYL ACETATE</t>
  </si>
  <si>
    <t xml:space="preserve"> &amp;diams; 3-MERCAPTOHEXYL ACETATE&lt;br /&gt;&amp;diams; 1-HEXANOL, 3-MERCAPTO-, 1-ACETATE&lt;br /&gt;&amp;diams; 3-MERCAPTO-1-HEXYL 1-ACETATE&lt;br /&gt;&amp;diams; 3-THIOHEXYL ACETATE&lt;br /&gt;&amp;diams; 3-THIOHEXYL ETHANOATE</t>
  </si>
  <si>
    <t xml:space="preserve"> 136954-21-7</t>
  </si>
  <si>
    <t xml:space="preserve"> 3-MERCAPTOHEXYL BUTYRATE</t>
  </si>
  <si>
    <t xml:space="preserve"> &amp;diams; 3-MERCAPTOHEXYL BUTYRATE&lt;br /&gt;&amp;diams; BUTANOIC ACID, 3-MERCAPTOHEXYL ESTER&lt;br /&gt;&amp;diams; 3-MERCAPTOHEXYL BUTANOATE&lt;br /&gt;&amp;diams; 3-THIOHEXYL BUTYRATE&lt;br /&gt;&amp;diams; 3-THIOHEXYL BUTANOATE</t>
  </si>
  <si>
    <t xml:space="preserve"> 136954-22-8</t>
  </si>
  <si>
    <t xml:space="preserve"> 3-MERCAPTOHEXYL HEXANOATE</t>
  </si>
  <si>
    <t xml:space="preserve"> &amp;diams; 3-MERCAPTOHEXYL HEXANOATE&lt;br /&gt;&amp;diams; HEXANOIC ACID, 3-MERCAPTOHEXYL ESTER&lt;br /&gt;&amp;diams; 3-THIOHEXYL CAPROATE&lt;br /&gt;&amp;diams; 3-MERCAPTOHEXYL CAPROATE&lt;br /&gt;&amp;diams; 3-THIOHEXYL HEXANOATE</t>
  </si>
  <si>
    <t xml:space="preserve"> 227456-33-9</t>
  </si>
  <si>
    <t xml:space="preserve"> 3-MERCAPTO-2-METHYL-1-BUTANOL</t>
  </si>
  <si>
    <t xml:space="preserve"> &amp;diams; 3-MERCAPTO-2-METHYL-1-BUTANOL&lt;br /&gt;&amp;diams; 1-BUTANOL, 3-MERCAPTO-2-METHYL-&lt;br /&gt;&amp;diams; 3-MERCAPTO-2-METHYLBUTAN-1-OL&lt;br /&gt;&amp;diams; 3-MERCAPTO-2-METHYLBUTYL ALCOHOL</t>
  </si>
  <si>
    <t xml:space="preserve"> 34300-94-2</t>
  </si>
  <si>
    <t xml:space="preserve"> 3-MERCAPTO-3-METHYL-1-BUTANOL</t>
  </si>
  <si>
    <t xml:space="preserve"> &amp;diams; 3-MERCAPTO-3-METHYL-1-BUTANOL&lt;br /&gt;&amp;diams; 1-BUTANOL, 3-MERCAPTO-3-METHYL-&lt;br /&gt;&amp;diams; 3-METHYL-3-MERCAPTOBUTYL ALCOHOL&lt;br /&gt;&amp;diams; 3-MERCAPTO-3-METHYLBUTYL ALCOHOL</t>
  </si>
  <si>
    <t xml:space="preserve"> 33959-27-2</t>
  </si>
  <si>
    <t xml:space="preserve"> 4-MERCAPTO-3-METHYL-2-BUTANOL</t>
  </si>
  <si>
    <t xml:space="preserve"> &amp;diams; 4-MERCAPTO-3-METHYL-2-BUTANOL&lt;br /&gt;&amp;diams; 2-butanol, 4-mercapto-3-methyl-</t>
  </si>
  <si>
    <t xml:space="preserve"> 50746-09-3</t>
  </si>
  <si>
    <t xml:space="preserve"> 3-MERCAPTO-3-METHYL-1-BUTYL ACETATE</t>
  </si>
  <si>
    <t xml:space="preserve"> &amp;diams; 3-MERCAPTO-3-METHYLBUTYL ACETATE&lt;br /&gt;&amp;diams; 1-butanol, 3-mercapto-3-methyl, 1-acetate&lt;br /&gt;&amp;diams; 3-mercapto-3-methyl-1-butyl 1-acetate&lt;br /&gt;&amp;diams; 3-mercapto-3-methyl-1-butyle acetate&lt;br /&gt;&amp;diams; InChI=1S/C7H14O2S/c1-6(8)9-5-4-7(2,3)10/h10H,4-5H2,1-3H3&lt;br /&gt;&amp;diams; InChIKey: HEZWKNVLHZGPOE-UHFFFAOYSA-N</t>
  </si>
  <si>
    <t xml:space="preserve"> 50746-10-6</t>
  </si>
  <si>
    <t xml:space="preserve"> 3-MERCAPTO-3-METHYLBUTYL FORMATE</t>
  </si>
  <si>
    <t xml:space="preserve"> &amp;diams; 3-MERCAPTO-3-METHYLBUTYL FORMATE&lt;br /&gt;&amp;diams; 1-BUTANOL, 3-MERCAPTO-3-METHYL-, 1-FORMATE&lt;br /&gt;&amp;diams; 3-METHYL-3-THIOBUTYL FORMATE&lt;br /&gt;&amp;diams; 3-METHYL-3-MERCAPTOBUTYL FORMATE&lt;br /&gt;&amp;diams; 3-MERCAPTO-3-METHYL-1-BUTYL 1-FORMATE</t>
  </si>
  <si>
    <t xml:space="preserve"> 612071-27-9</t>
  </si>
  <si>
    <t xml:space="preserve"> 3-MERCAPTO-3-METHYLBUTYL ISOVALERATE</t>
  </si>
  <si>
    <t xml:space="preserve"> &amp;diams; 3-MERCAPTO-3-METHYLBUTYL ISOVALERATE&lt;br /&gt;&amp;diams; butanoic acid, 3-methyl-, 3-mercapto-3-methylbutyl ester&lt;br /&gt;&amp;diams; 3-mercapto-3-methylbutyl 3-methylbutanoate</t>
  </si>
  <si>
    <t xml:space="preserve"> 851768-52-0</t>
  </si>
  <si>
    <t xml:space="preserve"> 4-MERCAPTO-4-METHYL-2-HEXANONE</t>
  </si>
  <si>
    <t xml:space="preserve"> &amp;diams; 4-MERCAPTO-4-METHYL-2-HEXANONE&lt;br /&gt;&amp;diams; 2-hexanone, 4-mercapto-4-methyl-&lt;br /&gt;&amp;diams; 4-methyl-4-sulfanylhexan-2-one</t>
  </si>
  <si>
    <t xml:space="preserve"> 227456-28-2</t>
  </si>
  <si>
    <t xml:space="preserve"> 3-MERCAPTO-2-METHYLPENTANAL</t>
  </si>
  <si>
    <t xml:space="preserve"> &amp;diams; 3-MERCAPTO-2-METHYLPENTANAL&lt;br /&gt;&amp;diams; PENTANAL, 3-MERCAPTO-2-METHYL-</t>
  </si>
  <si>
    <t xml:space="preserve"> 258823-39-1</t>
  </si>
  <si>
    <t xml:space="preserve"> 2-MERCAPTO-2-METHYL-1-PENTANOL</t>
  </si>
  <si>
    <t xml:space="preserve"> &amp;diams; 2-MERCAPTO-2-METHYL-1-PENTANOL&lt;br /&gt;&amp;diams; 1-PENTANOL, 2-MERCAPTO-2-METHYL-&lt;br /&gt;&amp;diams; 2-MERCAPTO-2-METHYLPENTAN-1-OL, (+-)-</t>
  </si>
  <si>
    <t xml:space="preserve"> 227456-27-1</t>
  </si>
  <si>
    <t xml:space="preserve"> 3-MERCAPTO-2-METHYL-1-PENTANOL</t>
  </si>
  <si>
    <t xml:space="preserve"> &amp;diams; 3-MERCAPTO-2-METHYL-1-PENTANOL&lt;br /&gt;&amp;diams; 1-PENTANOL, 3-MERCAPTO-2-METHYL-&lt;br /&gt;&amp;diams; 3-MERCAPTO-2-METHYLPENTAN-1-OL</t>
  </si>
  <si>
    <t xml:space="preserve"> 31539-84-1</t>
  </si>
  <si>
    <t xml:space="preserve"> (+/-)-4-MERCAPTO-4-METHYL-2-PENTANOL</t>
  </si>
  <si>
    <t xml:space="preserve"> &amp;diams; 4-MERCAPTO-4-METHYL-2-PENTANOL&lt;br /&gt;&amp;diams; 2-pentanol, 4-mercapto-4-methyl-</t>
  </si>
  <si>
    <t xml:space="preserve"> 19872-52-7</t>
  </si>
  <si>
    <t xml:space="preserve"> 4-MERCAPTO-4-METHYL-2-PENTANONE</t>
  </si>
  <si>
    <t xml:space="preserve"> &amp;diams; 4-MERCAPTO-4-METHYL-2-PENTANONE&lt;br /&gt;&amp;diams; 2-PENTANONE, 4-MERCAPTO-4-METHYL-&lt;br /&gt;&amp;diams; 2-MERCAPTO-2-METHYL-4-PENTANONE&lt;br /&gt;&amp;diams; 4-METHYL-4-MERCAPTO-2-PENTANONE&lt;br /&gt;&amp;diams; 4-THIO-4-METHYL-2-PENTANONE</t>
  </si>
  <si>
    <t xml:space="preserve"> 59021-02-2</t>
  </si>
  <si>
    <t xml:space="preserve"> 2-MERCAPTOMETHYLPYRAZINE</t>
  </si>
  <si>
    <t xml:space="preserve"> &amp;diams; PYRAZINEMETHANETHIOL&lt;br /&gt;&amp;diams; PYRAZINYLMETHYL MERCAPTAN&lt;br /&gt;&amp;diams; 2-MERCAPTOMETHYLPYRAZINE&lt;br /&gt;&amp;diams; 2-(MERCAPTOMETHYL)PYRAZINE</t>
  </si>
  <si>
    <t xml:space="preserve"> 67633-97-0</t>
  </si>
  <si>
    <t xml:space="preserve"> 3-MERCAPTO-2-PENTANONE</t>
  </si>
  <si>
    <t xml:space="preserve"> &amp;diams; 3-MERCAPTO-2-PENTANONE&lt;br /&gt;&amp;diams; 2-PENTANONE, 3-MERCAPTO-</t>
  </si>
  <si>
    <t xml:space="preserve"> 92585-08-5</t>
  </si>
  <si>
    <t xml:space="preserve"> 4-MERCAPTO-2-PENTANONE</t>
  </si>
  <si>
    <t xml:space="preserve"> &amp;diams; 4-MERCAPTO-2-PENTANONE&lt;br /&gt;&amp;diams; 2-pentanone, 4-mercapto-&lt;br /&gt;&amp;diams; 2-mercapto-4-pentanone&lt;br /&gt;&amp;diams; InChI=1S/C5H10OS/c1-4(6)3-5(2)7/h5,7H,3H2,1-2H3&lt;br /&gt;&amp;diams; InChiKey=KHIPEWLRUGVKIC-UHFFFAOYSA-N</t>
  </si>
  <si>
    <t xml:space="preserve"> 977136-05-2</t>
  </si>
  <si>
    <t xml:space="preserve"> 2,3 OR 10-MERCAPTOPINANE</t>
  </si>
  <si>
    <t xml:space="preserve"> &amp;diams; 2(OR 3 OR 10)-PINANETHIOL&lt;br /&gt;&amp;diams; PINANYL MERCAPTAN&lt;br /&gt;&amp;diams; PINANETHIOL&lt;br /&gt;&amp;diams; 2(OR 3 OR 10)-MERCAPTOPINANE</t>
  </si>
  <si>
    <t xml:space="preserve"> 24653-75-6</t>
  </si>
  <si>
    <t xml:space="preserve"> 1-MERCAPTO-2-PROPANONE</t>
  </si>
  <si>
    <t xml:space="preserve"> &amp;diams; 1-MERCAPTO-2-PROPANONE&lt;br /&gt;&amp;diams; MERCAPTOACETONE&lt;br /&gt;&amp;diams; 2-PROPANONE, 1-MERCAPTO-&lt;br /&gt;&amp;diams; 3-MERCAPTO-2-PROPANONE</t>
  </si>
  <si>
    <t xml:space="preserve"> 79-42-5</t>
  </si>
  <si>
    <t xml:space="preserve"> 2-MERCAPTOPROPIONIC ACID</t>
  </si>
  <si>
    <t xml:space="preserve"> &amp;diams; 2-MERCAPTOPROPIONIC ACID&lt;br /&gt;&amp;diams; ALPHA-MERCAPTOPROPANOIC ACID&lt;br /&gt;&amp;diams; PROPANOIC ACID, 2-MERCAPTO-&lt;br /&gt;&amp;diams; PROPIONIC ACID, 2-MERCAPTO-&lt;br /&gt;&amp;diams; 2-MERCAPTOPROPANOIC ACID&lt;br /&gt;&amp;diams; 2-THIOLPROPIONIC ACID</t>
  </si>
  <si>
    <t xml:space="preserve"> 107-96-0</t>
  </si>
  <si>
    <t xml:space="preserve"> 3-MERCAPTOPROPIONIC ACID</t>
  </si>
  <si>
    <t xml:space="preserve"> &amp;diams; 3-MERCAPTOPROPIONIC ACID&lt;br /&gt;&amp;diams; BETA-MERCAPTOPROPIONIC ACID&lt;br /&gt;&amp;diams; PROPANOIC ACID, 3-MERCAPTO-&lt;br /&gt;&amp;diams; PROPIONIC ACID, 3-MERCAPTO-&lt;br /&gt;&amp;diams; 3-MERCAPTOPROPANOIC ACID&lt;br /&gt;&amp;diams; 2-MERCAPTOETHANECARBOXYLIC ACID</t>
  </si>
  <si>
    <t xml:space="preserve"> 93165-66-3</t>
  </si>
  <si>
    <t xml:space="preserve"> MESQUITE WOOD EXTRACT</t>
  </si>
  <si>
    <t xml:space="preserve"> &amp;diams; PROSOPIS CINERARIA EXTRACT&lt;br /&gt;&amp;diams; PROSOPIS SPICIGERA, EXT.</t>
  </si>
  <si>
    <t xml:space="preserve"> 50602-21-6</t>
  </si>
  <si>
    <t xml:space="preserve"> METHACRYLIC ACID-DIVINYLBENZENE COPOLYMER</t>
  </si>
  <si>
    <t xml:space="preserve"> &amp;diams; POLY(DIVINYLBENZENE-CO-METHACRYLIC ACID)&lt;br /&gt;&amp;diams; BENZENE, DIETHENYL-, POLYMER WITH 2-METHYL-2-PROPENOIC ACID&lt;br /&gt;&amp;diams; DIVINYLBENZENE-METHACRYLIC ACID COPOLYMER&lt;br /&gt;&amp;diams; METHACRYLIC ACID-DIVINYLBENZENE COPOLYMER&lt;br /&gt;&amp;diams; POLY(DIETHENYLBENZENE-CO-2-METHYL-2-PROPENOIC ACID)&lt;br /&gt;&amp;diams; 2-PROPENOIC ACID, 2-METHYL-, POLYMER WITH DIETHENYLBENZENE</t>
  </si>
  <si>
    <t xml:space="preserve"> 16630-61-8</t>
  </si>
  <si>
    <t xml:space="preserve"> METHIONAL DIETHYL ACETAL</t>
  </si>
  <si>
    <t xml:space="preserve"> &amp;diams; METHIONAL DIETHYL ACETAL&lt;br /&gt;&amp;diams; 1,1-diethoxy-3-(methylthio)propane&lt;br /&gt;&amp;diams; propane, 1,1-diethoxy-3-(methylthio)-&lt;br /&gt;&amp;diams; propionaldehyde, 3-(methylthio)-, diethyl acetal&lt;br /&gt;&amp;diams; 3-(methylthio)propionaldehyde diethyl acetate&lt;br /&gt;&amp;diams; InChI=1S/C8H18O2S/c1-4-9-8(10-5-2)6-7-11-3/h8H,4-7H2,1-3H3&lt;br /&gt;&amp;diams; InChIKey: FKAZTVDSOBDTFU-UHFFFAOYSA-N</t>
  </si>
  <si>
    <t xml:space="preserve"> 59-51-8</t>
  </si>
  <si>
    <t xml:space="preserve"> DL-METHIONINE</t>
  </si>
  <si>
    <t xml:space="preserve"> &amp;diams; METHIONINE&lt;br /&gt;&amp;diams; METHIONINE, AMORPHOUS&lt;br /&gt;&amp;diams; RACEMETHIONINE&lt;br /&gt;&amp;diams; DL-METHIONINE&lt;br /&gt;&amp;diams; 2-AMINO-4-(METHYLTHIO)BUTANOIC ACID, DL-&lt;br /&gt;&amp;diams; ALPHA-AMINO-GAMMA-(METHYLTHIO)BUTYRIC ACID&lt;br /&gt;&amp;diams; ALPHA-AMINO-GAMMA-METHYLMERCAPTOBUTYRIC ACID&lt;br /&gt;&amp;diams; 2-AMINO-4-(METHYLTHIO)BUTYRIC ACID, DL-&lt;br /&gt;&amp;diams; METHIONINE, DL-</t>
  </si>
  <si>
    <t xml:space="preserve"> 63-68-3</t>
  </si>
  <si>
    <t xml:space="preserve"> L-METHIONINE</t>
  </si>
  <si>
    <t xml:space="preserve"> &amp;diams; METHIONINE, L-&lt;br /&gt;&amp;diams; L-METHIONINE&lt;br /&gt;&amp;diams; 2-AMINO-4-(METHYLTHIO)BUTYRIC ACID, (S)-&lt;br /&gt;&amp;diams; ALPHA-AMINO-GAMMA-(METHYLTHIO)BUTYRIC ACID, L-&lt;br /&gt;&amp;diams; ALPHA-AMINO-GAMMA-METHYLMERCAPTOBUTYRIC ACID, L-&lt;br /&gt;&amp;diams; NSC-22946</t>
  </si>
  <si>
    <t xml:space="preserve"> 16630-60-7</t>
  </si>
  <si>
    <t xml:space="preserve"> METHIONYL BUTYRATE</t>
  </si>
  <si>
    <t xml:space="preserve"> &amp;diams; 3-(METHYLTHIO)PROPYL BUTYRATE&lt;br /&gt;&amp;diams; methionyl butyrate&lt;br /&gt;&amp;diams; butyric acid, 3-(methylthio)propyl ester&lt;br /&gt;&amp;diams; butanoic acid, 3-(methylthio)propyl ester&lt;br /&gt;&amp;diams; 3-(methylthio)propyl butanoate&lt;br /&gt;&amp;diams; 1-propanol, 3-(methylthio)-, butyrate&lt;br /&gt;&amp;diams; InChI=1S/C8H16O2S/c1-3-5-8(9)10-6-4-7-11-2/h3-7H2,1-2H3&lt;br /&gt;&amp;diams; InChiKey=HSCZLQOPSGMKTK-UHFFFAOYSA-N</t>
  </si>
  <si>
    <t xml:space="preserve"> 14486-03-4</t>
  </si>
  <si>
    <t xml:space="preserve"> L-METHIONYLGLYCINE</t>
  </si>
  <si>
    <t xml:space="preserve"> &amp;diams; METHIONYLGLYCINE, L-&lt;br /&gt;&amp;diams; N-L-methionylglycine&lt;br /&gt;&amp;diams; glycine, L-methionyl-&lt;br /&gt;&amp;diams; glycine, N-L-methionyl-</t>
  </si>
  <si>
    <t xml:space="preserve"> 579-74-8</t>
  </si>
  <si>
    <t xml:space="preserve"> 2-METHOXYACETOPHENONE</t>
  </si>
  <si>
    <t xml:space="preserve"> &amp;diams; 2-METHOXYACETOPHENONE&lt;br /&gt;&amp;diams; ethanone, 1-(2-methoxyphenyl)-&lt;br /&gt;&amp;diams; methoxyacetophenone, o-&lt;br /&gt;&amp;diams; 1-(2-methoxyphenyl)ethanone&lt;br /&gt;&amp;diams; InChI=1S/C9H10O2/c1-7(10)8-5-3-4-6-9(8)11-2/h3-6H,1-2H3&lt;br /&gt;&amp;diams; InChIKey: DWPLEOPKBWNPQV-UHFFFAOYSA-N&lt;br /&gt;&amp;diams; acetylanisole, o-</t>
  </si>
  <si>
    <t xml:space="preserve"> 65405-67-6</t>
  </si>
  <si>
    <t xml:space="preserve"> P-METHOXY-ALPHA-METHYLCINNAMALDEHYDE</t>
  </si>
  <si>
    <t xml:space="preserve"> &amp;diams; 3-(P-METHOXYPHENYL)-2-METHYL-2-PROPENAL&lt;br /&gt;&amp;diams; ALPHA-METHYL-4-METHOXYCINNAMALDEHYDE&lt;br /&gt;&amp;diams; CINNAMALDEHYDE, P-METHOXY-ALPHA-METHYL-&lt;br /&gt;&amp;diams; METHOXY-ALPHA-METHYLCINNAMALDEHYDE, P-&lt;br /&gt;&amp;diams; 2-METHYL-3-(4-METHOXYPHENYL)-2-PROPENAL&lt;br /&gt;&amp;diams; 2-PROPENAL, 3-(4-METHOXYPHENYL)-2-METHYL-&lt;br /&gt;&amp;diams; 3-(4-METHOXYPHENYL)-2-METHYL-2-PROPENAL</t>
  </si>
  <si>
    <t xml:space="preserve"> 135-02-4</t>
  </si>
  <si>
    <t xml:space="preserve"> O-METHOXYBENZALDEHYDE</t>
  </si>
  <si>
    <t xml:space="preserve"> &amp;diams; 2-METHOXYBENZALDEHYDE&lt;br /&gt;&amp;diams; ANISALDEHYDE, O-&lt;br /&gt;&amp;diams; BENZALDEHYDE, 2-METHOXY-&lt;br /&gt;&amp;diams; FORMYLANISOLE, O-&lt;br /&gt;&amp;diams; METHOXYBENZALDEHYDE, O-&lt;br /&gt;&amp;diams; O-ANISALDEHYDE&lt;br /&gt;&amp;diams; SALICYLALDEHYDE METHYL ETHER&lt;br /&gt;&amp;diams; 2-ANISALDEHYDE&lt;br /&gt;&amp;diams; 2-METHOXYBENZENECARBOXALDEHYDE&lt;br /&gt;&amp;diams; 2-METHOXYPHENYLFORMALDEHYDE</t>
  </si>
  <si>
    <t xml:space="preserve"> 123-11-5</t>
  </si>
  <si>
    <t xml:space="preserve"> P-METHOXYBENZALDEHYDE</t>
  </si>
  <si>
    <t xml:space="preserve"> &amp;diams; 4-METHOXYBENZALDEHYDE&lt;br /&gt;&amp;diams; ANISIC ALDEHYDE&lt;br /&gt;&amp;diams; AUBEPINE&lt;br /&gt;&amp;diams; ANISALDEHYDE&lt;br /&gt;&amp;diams; BENZALDEHYDE, 4-METHOXY-&lt;br /&gt;&amp;diams; FORMYLANISOLE, P-&lt;br /&gt;&amp;diams; METHOXYBENZALDEHYDE, P-&lt;br /&gt;&amp;diams; P-ANISALDEHYDE&lt;br /&gt;&amp;diams; 4-ANISALDEHYDE</t>
  </si>
  <si>
    <t xml:space="preserve"> 579-75-9</t>
  </si>
  <si>
    <t xml:space="preserve"> 2-METHOXYBENZOIC ACID</t>
  </si>
  <si>
    <t xml:space="preserve"> &amp;diams; 2-METHOXYBENZOIC ACID&lt;br /&gt;&amp;diams; BENZOIC ACID, 2-METHOXY-&lt;br /&gt;&amp;diams; ANISIC ACID, O-&lt;br /&gt;&amp;diams; METHOXYBENZOIC ACID, O-&lt;br /&gt;&amp;diams; O-ANISIC ACID&lt;br /&gt;&amp;diams; O-METHYLSALICYLIC ACID&lt;br /&gt;&amp;diams; SALICYLIC ACID METHYL ETHER&lt;br /&gt;&amp;diams; 2-ANISIC ACID</t>
  </si>
  <si>
    <t xml:space="preserve"> 586-38-9</t>
  </si>
  <si>
    <t xml:space="preserve"> 3-METHOXYBENZOIC ACID</t>
  </si>
  <si>
    <t xml:space="preserve"> &amp;diams; 3-METHOXYBENZOIC ACID&lt;br /&gt;&amp;diams; BENZOIC ACID, 3-METHOXY-&lt;br /&gt;&amp;diams; ANISIC ACID, M-&lt;br /&gt;&amp;diams; METHOXYBENZOIC ACID, M-&lt;br /&gt;&amp;diams; M-ANISIC ACID&lt;br /&gt;&amp;diams; 3-ANISIC ACID</t>
  </si>
  <si>
    <t xml:space="preserve"> 100-09-4</t>
  </si>
  <si>
    <t xml:space="preserve"> 4-METHOXYBENZOIC ACID</t>
  </si>
  <si>
    <t xml:space="preserve"> &amp;diams; 4-METHOXYBENZOIC ACID&lt;br /&gt;&amp;diams; ANISIC ACID, P-&lt;br /&gt;&amp;diams; BENZOIC ACID, 4-METHOXY-&lt;br /&gt;&amp;diams; DRACONIC ACID&lt;br /&gt;&amp;diams; METHOXYBENZOIC ACID, P-&lt;br /&gt;&amp;diams; P-ANISIC ACID&lt;br /&gt;&amp;diams; 4-ANISIC ACID</t>
  </si>
  <si>
    <t xml:space="preserve"> 1504-74-1</t>
  </si>
  <si>
    <t xml:space="preserve"> O-METHOXYCINNAMALDEHYDE</t>
  </si>
  <si>
    <t xml:space="preserve"> &amp;diams; METHOXYCINNAMALDEHYDE, O-&lt;br /&gt;&amp;diams; CINNAMALDEHYDE, O-METHOXY-&lt;br /&gt;&amp;diams; METHOXYCINNAMIC ALDEHYDE, O-&lt;br /&gt;&amp;diams; O-METHOXYPHENYL ACROLEIN, BETA-&lt;br /&gt;&amp;diams; 3-O-METHOXYPHENYL-2-PROPENAL&lt;br /&gt;&amp;diams; 2-PROPENAL, 3-(2-METHOXYPHENYL)-&lt;br /&gt;&amp;diams; 3-(2-METHOXYPHENYL)-2-PROPENAL</t>
  </si>
  <si>
    <t xml:space="preserve"> 1963-36-6</t>
  </si>
  <si>
    <t xml:space="preserve"> P-METHOXYCINNAMALDEHYDE</t>
  </si>
  <si>
    <t xml:space="preserve"> &amp;diams; METHOXYCINNAMALDEHYDE, P-&lt;br /&gt;&amp;diams; CINNAMALDEHYDE, P-METHOXY-&lt;br /&gt;&amp;diams; METHOXYCINNAMIC ALDEHYDE, P-&lt;br /&gt;&amp;diams; 3-(4-METHOXYPHENYL)-2-PROPENAL&lt;br /&gt;&amp;diams; 2-PROPENAL, 3-(4-METHOXYPHENYL)-&lt;br /&gt;&amp;diams; 4-METHOXYCINNAMALDEHYDE</t>
  </si>
  <si>
    <t xml:space="preserve"> 79930-37-3</t>
  </si>
  <si>
    <t xml:space="preserve"> TRANS- AND CIS-1-METHOXY-1-DECENE</t>
  </si>
  <si>
    <t xml:space="preserve"> &amp;diams; 1-METHOXY-1-DECENE&lt;br /&gt;&amp;diams; 1-decene, 1-methoxy-</t>
  </si>
  <si>
    <t xml:space="preserve"> 400052-49-5</t>
  </si>
  <si>
    <t xml:space="preserve"> (S1)-METHOXY-3-HEPTANETHIOL</t>
  </si>
  <si>
    <t xml:space="preserve"> &amp;diams; 1-METHOXY-3-HEPTANETHIOL, (3S)-&lt;br /&gt;&amp;diams; 3-heptanethiol, 1-methoxy-, (3S)-</t>
  </si>
  <si>
    <t xml:space="preserve"> 93905-03-4</t>
  </si>
  <si>
    <t xml:space="preserve"> 2-METHOXY-(3 OR 5 OR 6)-ISOPROPYLPYRAZINE</t>
  </si>
  <si>
    <t xml:space="preserve"> 745047-94-3</t>
  </si>
  <si>
    <t xml:space="preserve"> N1-(2-METHOXY-4-METHYLBENZYL)-N2-(2-(5-METHYLPYRIDIN-2-YL)ETHYL)OXALAMIDE</t>
  </si>
  <si>
    <t xml:space="preserve"> &amp;diams; N-((2-METHOXY-4-METHYLPHENYL)METHYL)-N'-(2-(5-METHYL-2-PYRIDINYL)ETHYL)ETHANEDIAMIDE&lt;br /&gt;&amp;diams; ethanediamide, N-((2-methoxy-4-methylphenyl)methyl)-N'-(2-(5-methyl-2-pyridinyl)ethyl)-&lt;br /&gt;&amp;diams; N1-(2-methoxy-4-methylbenzyl)-N2-(2-(5-methyl-pyridin-2-yl)ethyl)oxalamide</t>
  </si>
  <si>
    <t xml:space="preserve"> 745047-97-6</t>
  </si>
  <si>
    <t xml:space="preserve"> N1-(2-METHOXY-4-METHYLBENZYL)-N2-(2-(PYRIDIN-2-YL) ETHYL)OXALAMIDE</t>
  </si>
  <si>
    <t xml:space="preserve"> &amp;diams; N-((2-METHOXY-4-METHYLPHENYL)METHYL)-N'-(2-(2-PYRIDINYL)ETHYL)ETHANEDIAMIDE&lt;br /&gt;&amp;diams; ethanediamide, N-((2-methoxy-4-methylphenyl)methyl)-N'-(2-(2-pyridinyl)ethyl)-&lt;br /&gt;&amp;diams; N1-(2-methoxy-4-methylbenzyl)-N2-(2-pyridin-2-yl)ethyl)oxalamide</t>
  </si>
  <si>
    <t xml:space="preserve"> 94087-83-9</t>
  </si>
  <si>
    <t xml:space="preserve"> 4-METHOXY-2-METHYL-2-BUTANETHIOL</t>
  </si>
  <si>
    <t xml:space="preserve"> &amp;diams; 4-METHOXY-2-METHYL-2-BUTANETHIOL&lt;br /&gt;&amp;diams; 2-BUTANETHIOL, 4-METHOXY-2-METHYL-&lt;br /&gt;&amp;diams; 4-METHOXY-2-METHYL-2-MERCAPTOBUTANE</t>
  </si>
  <si>
    <t xml:space="preserve"> 93-51-6</t>
  </si>
  <si>
    <t xml:space="preserve"> 2-METHOXY-4-METHYLPHENOL</t>
  </si>
  <si>
    <t xml:space="preserve"> &amp;diams; 2-METHOXY-4-METHYLPHENOL&lt;br /&gt;&amp;diams; CREOSOL&lt;br /&gt;&amp;diams; HOMOCATECHOL MONOMETHYL ETHER&lt;br /&gt;&amp;diams; METHYLGUAIACOL, P-&lt;br /&gt;&amp;diams; PHENOL, 2-METHOXY-4-METHYL-&lt;br /&gt;&amp;diams; P-CRESOL, 2-METHOXY-&lt;br /&gt;&amp;diams; 2-METHOXY-P-CRESOL&lt;br /&gt;&amp;diams; 1-HYDROXY-2-METHOXY-4-METHYLBENZENE&lt;br /&gt;&amp;diams; 3-METHOXY-4-HYDROXYTOLUENE&lt;br /&gt;&amp;diams; 4-METHYLGUAIACOL&lt;br /&gt;&amp;diams; 4-HYDROXY-3-METHOXY-1-METHYLBENZENE&lt;br /&gt;&amp;diams; 4-HYDROXY-3-METHOXYTOLUENE&lt;br /&gt;&amp;diams; 4-METHYL-2-METHOXYPHENOL</t>
  </si>
  <si>
    <t xml:space="preserve"> 24168-70-5</t>
  </si>
  <si>
    <t xml:space="preserve"> 2-METHOXY-3-(1-METHYLPROPYL)PYRAZINE</t>
  </si>
  <si>
    <t xml:space="preserve"> &amp;diams; 2-METHOXY-3-(1-METHYLPROPYL)PYRAZINE&lt;br /&gt;&amp;diams; PYRAZINE, 2-METHOXY-3-(1-METHYLPROPYL)-&lt;br /&gt;&amp;diams; PYRAZINE, 2-SEC-BUTYL-3-METHOXY-&lt;br /&gt;&amp;diams; 2-METHOXY-3-SEC-BUTYLPYRAZINE&lt;br /&gt;&amp;diams; 2-SEC-BUTYL-3-METHOXYPYRAZINE</t>
  </si>
  <si>
    <t xml:space="preserve"> 977044-49-7</t>
  </si>
  <si>
    <t xml:space="preserve"> (2 OR 5 OR 6)-METHOXY-3-METHYLPYRAZINE (MIXTURE OF ISOMERS)</t>
  </si>
  <si>
    <t xml:space="preserve"> &amp;diams; 2-METHOXY-3(OR 5 OR 6)-METHYLPYRAZINE&lt;br /&gt;&amp;diams; 2(OR 5 OR 6)-METHOXY-3-METHYLPYRAZINE&lt;br /&gt;&amp;diams; 2-METHYL-3(OR 5 OR 6)-METHOXYPYRAZINE&lt;br /&gt;&amp;diams; 2-METHYL-3(OR 5 OR 6)-MOP</t>
  </si>
  <si>
    <t xml:space="preserve"> 104-20-1</t>
  </si>
  <si>
    <t xml:space="preserve"> 4-(P-METHOXYPHENYL)-2-BUTANONE</t>
  </si>
  <si>
    <t xml:space="preserve"> &amp;diams; ANISYLACETONE&lt;br /&gt;&amp;diams; 4-METHOXYBENZYLACETONE&lt;br /&gt;&amp;diams; 4-(P-METHOXYPHENYL)-2-BUTANONE&lt;br /&gt;&amp;diams; METHOXYBENZYLACETONE, P-&lt;br /&gt;&amp;diams; RASPBERRY KETONE METHYL ETHER&lt;br /&gt;&amp;diams; METHYL OXANONE&lt;br /&gt;&amp;diams; 2-BUTANONE, 4-(4-METHOXYPHENYL)-&lt;br /&gt;&amp;diams; 4-(4-METHOXYPHENYL)-2-BUTANONE&lt;br /&gt;&amp;diams; 2-BUTANONE, 4-(P-METHOXYPHENYL)-&lt;br /&gt;&amp;diams; ANISYLACETONE, P-</t>
  </si>
  <si>
    <t xml:space="preserve"> 103-13-9</t>
  </si>
  <si>
    <t xml:space="preserve"> 1-(4-METHOXYPHENYL)-4-METHYL-1-PENTEN-3-ONE</t>
  </si>
  <si>
    <t xml:space="preserve"> &amp;diams; 1-(4-METHOXYPHENYL)-4-METHYL-1-PENTEN-3-ONE&lt;br /&gt;&amp;diams; ALPHA,ALPHA-DIMETHYLANISALACETONE&lt;br /&gt;&amp;diams; ISOPROPYL 4-METHOXYSTYRYL KETONE&lt;br /&gt;&amp;diams; METHOXYSTYRYL ISOPROPYL KETONE&lt;br /&gt;&amp;diams; 1-PENTEN-3-ONE, 1-(4-METHOXYPHENYL)-4-METHYL-&lt;br /&gt;&amp;diams; 1-PENTEN-3-ONE, 1-(P-METHOXYPHENYL)-4-METHYL-</t>
  </si>
  <si>
    <t xml:space="preserve"> 104-27-8</t>
  </si>
  <si>
    <t xml:space="preserve"> 1-(P-METHOXYPHENYL)-1-PENTEN-3-ONE</t>
  </si>
  <si>
    <t xml:space="preserve"> &amp;diams; 1-(P-METHOXYPHENYL)-1-PENTEN-3-ONE&lt;br /&gt;&amp;diams; ALPHA-METHYLANISALACETONE&lt;br /&gt;&amp;diams; ALPHA-METHYLANISYLIDENEACETONE&lt;br /&gt;&amp;diams; ETHONE&lt;br /&gt;&amp;diams; METHOXYSTYRYL ETHYL KETONE, P-&lt;br /&gt;&amp;diams; 1-PENTEN-3-ONE, 1-(4-METHOXYPHENYL)-&lt;br /&gt;&amp;diams; 1-(4-METHOXYPHENYL)-1-PENTEN-3-ONE&lt;br /&gt;&amp;diams; 1-PENTEN-3-ONE, 1-(P-METHOXYPHENYL)-&lt;br /&gt;&amp;diams; 1-P-METHOXYPHENYLPENT-1-EN-3-ONE</t>
  </si>
  <si>
    <t xml:space="preserve"> 122-84-9</t>
  </si>
  <si>
    <t xml:space="preserve"> 1-(P-METHOXYPHENYL)-2-PROPANONE</t>
  </si>
  <si>
    <t xml:space="preserve"> &amp;diams; 1-(P-METHOXYPHENYL)-2-PROPANONE&lt;br /&gt;&amp;diams; ANISYL METHYL KETONE&lt;br /&gt;&amp;diams; ANISIC KETONE&lt;br /&gt;&amp;diams; (P-METHOXYPHENYL)-2-PROPANONE&lt;br /&gt;&amp;diams; ANISKETONE&lt;br /&gt;&amp;diams; METHOXYPHENYLACETONE, P-&lt;br /&gt;&amp;diams; METHOXYBENZYL METHYL KETONE, P-&lt;br /&gt;&amp;diams; 2-PROPANONE, 1-(4-METHOXYPHENYL)-&lt;br /&gt;&amp;diams; 1-(4-METHOXYPHENYL)-2-PROPANONE&lt;br /&gt;&amp;diams; 2-PROPANONE, 1-(P-METHOXYPHENYL)-&lt;br /&gt;&amp;diams; 1-(P-ANISYL)-2-PROPANONE&lt;br /&gt;&amp;diams; 4-METHOXYPHENYLACETONE&lt;br /&gt;&amp;diams; 4-METHOXYBENZYL METHYL KETONE</t>
  </si>
  <si>
    <t xml:space="preserve"> 579-60-2</t>
  </si>
  <si>
    <t xml:space="preserve"> 2-METHOXY-6-(2-PROPENYL)PHENOL</t>
  </si>
  <si>
    <t xml:space="preserve"> &amp;diams; ALLYLGUAIACOL, O-&lt;br /&gt;&amp;diams; phenol, 2-methoxy-6-(2-propen-1-yl)-&lt;br /&gt;&amp;diams; 2-methoxy-6-(2-propen-1-yl)-phenol&lt;br /&gt;&amp;diams; phenol, 2-methoxy-6-(2-propenyl)-&lt;br /&gt;&amp;diams; 2-methoxy-6-(2-propenyl)phenol&lt;br /&gt;&amp;diams; phenol, 2-allyl-6-methoxy-&lt;br /&gt;&amp;diams; 2-allyl-6-methoxyphenol&lt;br /&gt;&amp;diams; guaiacol, 6-allyl-&lt;br /&gt;&amp;diams; eugenol, o-&lt;br /&gt;&amp;diams; InChI=1S/C10H12O2/c1-3-5-8-6-4-7-9(12-2)10(8)11/h3-4,6-7,11H,1,5H2,2H3&lt;br /&gt;&amp;diams; InChIKey: LREHGXOCZVBABG-UHFFFAOYSA-N</t>
  </si>
  <si>
    <t xml:space="preserve"> 2785-87-7</t>
  </si>
  <si>
    <t xml:space="preserve"> 2-METHOXY-4-PROPYLPHENOL</t>
  </si>
  <si>
    <t xml:space="preserve"> &amp;diams; DIHYDROEUGENOL&lt;br /&gt;&amp;diams; 2-METHOXY-4-PROPYLPHENOL&lt;br /&gt;&amp;diams; 4-PROPYLGUAIACOL&lt;br /&gt;&amp;diams; 4-PROPYL-O-METHOXYPHENOL&lt;br /&gt;&amp;diams; 5-PROPYL-O-HYDROXYANISOLE&lt;br /&gt;&amp;diams; PHENOL, 2-METHOXY-4-PROPYL-&lt;br /&gt;&amp;diams; 4-HYDROXY-3-METHOXYPROPYLBENZENE&lt;br /&gt;&amp;diams; (4-HYDROXY-3-METHOXYPHENYL)PROPANE&lt;br /&gt;&amp;diams; GUAIACOL, 4-PROPYL-&lt;br /&gt;&amp;diams; PROPYLGUAIACOL, P-&lt;br /&gt;&amp;diams; GUAIACYLPROPANE&lt;br /&gt;&amp;diams; 1-(4-HYDROXY-3-METHOXYPHENYL)PROPANE</t>
  </si>
  <si>
    <t xml:space="preserve"> 3149-28-8</t>
  </si>
  <si>
    <t xml:space="preserve"> METHOXYPYRAZINE</t>
  </si>
  <si>
    <t xml:space="preserve"> &amp;diams; METHOXYPYRAZINE&lt;br /&gt;&amp;diams; 2-METHOXY-1,4-DIAZINE&lt;br /&gt;&amp;diams; PYRAZINE, METHOXY-&lt;br /&gt;&amp;diams; 2-METHOXYPYRAZINE</t>
  </si>
  <si>
    <t xml:space="preserve"> 1628-89-3</t>
  </si>
  <si>
    <t xml:space="preserve"> 2-METHOXYPYRIDINE</t>
  </si>
  <si>
    <t xml:space="preserve"> &amp;diams; 2-METHOXYPYRIDINE&lt;br /&gt;&amp;diams; pyridine, 2-methoxy-</t>
  </si>
  <si>
    <t xml:space="preserve"> 5263-87-6</t>
  </si>
  <si>
    <t xml:space="preserve"> 6-METHOXYQUINOLINE</t>
  </si>
  <si>
    <t xml:space="preserve"> &amp;diams; 6-METHOXYQUINOLINE&lt;br /&gt;&amp;diams; quinoline, 6-methoxy-</t>
  </si>
  <si>
    <t xml:space="preserve"> 7786-61-0</t>
  </si>
  <si>
    <t xml:space="preserve"> 2-METHOXY-4-VINYLPHENOL</t>
  </si>
  <si>
    <t xml:space="preserve"> &amp;diams; 4-VINYLGUAIACOL&lt;br /&gt;&amp;diams; VINYLGUAIACOL, P-&lt;br /&gt;&amp;diams; 4-HYDROXY-3-METHOXYSTYRENE&lt;br /&gt;&amp;diams; VINYLCATECHOL-O-METHYL ETHER, P-&lt;br /&gt;&amp;diams; PHENOL, 4-ETHENYL-2-METHOXY-&lt;br /&gt;&amp;diams; 4-ETHENYL-2-METHOXYPHENOL&lt;br /&gt;&amp;diams; PHENOL, 2-METHOXY-4-VINYL-&lt;br /&gt;&amp;diams; 2-METHOXY-4-VINYLPHENOL&lt;br /&gt;&amp;diams; 4-HYDROXY-3-METHOXYVINYLBENZENE&lt;br /&gt;&amp;diams; GUAIACOL, 4-VINYL-</t>
  </si>
  <si>
    <t xml:space="preserve"> 79-20-9</t>
  </si>
  <si>
    <t xml:space="preserve"> METHYL ACETATE</t>
  </si>
  <si>
    <t xml:space="preserve"> &amp;diams; METHYL ACETATE&lt;br /&gt;&amp;diams; METHYL ETHANOATE&lt;br /&gt;&amp;diams; ACETIC ACID, METHYL ESTER</t>
  </si>
  <si>
    <t xml:space="preserve"> 577-16-2</t>
  </si>
  <si>
    <t xml:space="preserve"> 2-METHYLACETOPHENONE</t>
  </si>
  <si>
    <t xml:space="preserve"> &amp;diams; 2-METHYLACETOPHENONE&lt;br /&gt;&amp;diams; ethanone, 1-(2-methylphenyl)-&lt;br /&gt;&amp;diams; 1-(2-methylphenyl)ethanone&lt;br /&gt;&amp;diams; acetophenone, 2'-methyl-&lt;br /&gt;&amp;diams; 2'-methylacetophenone&lt;br /&gt;&amp;diams; acetophenone, o-methyl-&lt;br /&gt;&amp;diams; methylacetophenone, o-&lt;br /&gt;&amp;diams; 2-acetyltoluene&lt;br /&gt;&amp;diams; InChI=1S/C9H10O/c1-7-5-3-4-6-9(7)8(2)10/h3-6H,1-2H3&lt;br /&gt;&amp;diams; InChIKey: YXWWHNCQZBVZPV-UHFFFAOYSA-N</t>
  </si>
  <si>
    <t xml:space="preserve"> 122-00-9</t>
  </si>
  <si>
    <t xml:space="preserve"> 4'-METHYLACETOPHENONE</t>
  </si>
  <si>
    <t xml:space="preserve"> &amp;diams; 4'-METHYLACETOPHENONE&lt;br /&gt;&amp;diams; ACETYLTOLUENE, P-&lt;br /&gt;&amp;diams; ACETOPHENONE, 4'-METHYL-&lt;br /&gt;&amp;diams; ETHANONE, 1-(4-METHYLPHENYL)-&lt;br /&gt;&amp;diams; METHYL P-TOLYL KETONE&lt;br /&gt;&amp;diams; TOLYL METHYL KETONE, P-&lt;br /&gt;&amp;diams; 1-METHYL-4-ACETYLBENZENE&lt;br /&gt;&amp;diams; 1-ACETYL-4-METHYLBENZENE&lt;br /&gt;&amp;diams; 1-(4-METHYLPHENYL)ETHANONE&lt;br /&gt;&amp;diams; 1-P-TOLYLETHANONE&lt;br /&gt;&amp;diams; 4-METHYLPHENYL METHYL KETONE</t>
  </si>
  <si>
    <t xml:space="preserve"> 52789-73-8</t>
  </si>
  <si>
    <t xml:space="preserve"> METHYL 1-ACETOXYCYCLOHEXYL KETONE</t>
  </si>
  <si>
    <t xml:space="preserve"> &amp;diams; METHYL 1-ACETOXYCYCLOHEXYL KETONE&lt;br /&gt;&amp;diams; ETHANONE, 1-(1-(ACETYLOXY)CYCLOHEXYL)-&lt;br /&gt;&amp;diams; KETONE, 1-HYDROXYCYCLOHEXYL METHYL, ACETATE&lt;br /&gt;&amp;diams; 1-(1-(ACETYLOXY)CYCLOHEXYL)ETHANONE&lt;br /&gt;&amp;diams; 1-ACETOXY-1-ACETYLCYCLOHEXANE&lt;br /&gt;&amp;diams; 1-ACETYLCYCLOHEXYL ACETATE&lt;br /&gt;&amp;diams; 1-HYDROXYCYCLOHEXYL METHYL KETONE ACETATE&lt;br /&gt;&amp;diams; 1-ACETOXYCYCLOHEXYL METHYL KETONE</t>
  </si>
  <si>
    <t xml:space="preserve"> 35234-22-1</t>
  </si>
  <si>
    <t xml:space="preserve"> (+/-)-METHYL 5-ACETOXYHEXANOATE</t>
  </si>
  <si>
    <t xml:space="preserve"> &amp;diams; METHYL 5-ACETOXYHEXANOATE&lt;br /&gt;&amp;diams; hexanoic acid, 5-(acetyloxy)-, methyl ester&lt;br /&gt;&amp;diams; methyl 5-(acetyloxy)hexanoate&lt;br /&gt;&amp;diams; methyl 5-acetoxyhexanoate, (+-)-</t>
  </si>
  <si>
    <t xml:space="preserve"> 139564-42-4</t>
  </si>
  <si>
    <t xml:space="preserve"> METHYL 3-ACETOXY-2-METHYLBUTYRATE</t>
  </si>
  <si>
    <t xml:space="preserve"> &amp;diams; METHYL 3-ACETOXY-2-METHYLBUTYRATE&lt;br /&gt;&amp;diams; butanoic acid, 3-(acetyloxy)-2-methyl-, methyl ester&lt;br /&gt;&amp;diams; methyl 3-(acetyloxy)-2-methylbutanoate</t>
  </si>
  <si>
    <t xml:space="preserve"> 35234-21-0</t>
  </si>
  <si>
    <t xml:space="preserve"> METHYL 3-ACETOXYOCTANOATE</t>
  </si>
  <si>
    <t xml:space="preserve"> &amp;diams; METHYL 3-ACETOXYOCTANOATE&lt;br /&gt;&amp;diams; octanoic acid, 3-(acetyloxy)-, methyl ester&lt;br /&gt;&amp;diams; methyl 3-(acetyloxy)octanoate</t>
  </si>
  <si>
    <t xml:space="preserve"> 2719-08-6</t>
  </si>
  <si>
    <t xml:space="preserve"> METHYL N-ACETYLANTHRANILATE</t>
  </si>
  <si>
    <t xml:space="preserve"> &amp;diams; METHYL N-ACETYLANTHRANILATE&lt;br /&gt;&amp;diams; benzoic acid, 2-(acetylamino)-, methyl ester&lt;br /&gt;&amp;diams; methyl 2-(acetoamino)benzoate&lt;br /&gt;&amp;diams; anthranilic acid, N-acetyl-, methyl ester&lt;br /&gt;&amp;diams; InChI=1S/C10H11NO3/c1-7(12)11-9-6-4-3-5-8(9)10(13)14-2/h3-6H,1-2H3,(H,11,12)&lt;br /&gt;&amp;diams; InChIKey: UYQKZKVNYKOXHG-UHFFFAOYSA-N</t>
  </si>
  <si>
    <t xml:space="preserve"> 932-16-1</t>
  </si>
  <si>
    <t xml:space="preserve"> 1-METHYL-2-ACETYLPYRROLE</t>
  </si>
  <si>
    <t xml:space="preserve"> &amp;diams; 1-METHYL-2-ACETYLPYRROLE&lt;br /&gt;&amp;diams; ETHANONE, 1-(1-METHYL-1H-PYRROL-2-YL)-&lt;br /&gt;&amp;diams; METHYL 1-METHYLPYRROL-2-YL KETONE&lt;br /&gt;&amp;diams; KETONE, METHYL 1-METHYLPYRROL-2-YL&lt;br /&gt;&amp;diams; 1-(1-METHYL-1H-PYRROL-2-YL)ETHANONE&lt;br /&gt;&amp;diams; 2-ACETYL-1-METHYLPYRROLE</t>
  </si>
  <si>
    <t xml:space="preserve"> 874-66-8</t>
  </si>
  <si>
    <t xml:space="preserve"> 2-METHYL-3-(2-FURYL)ACROLEIN</t>
  </si>
  <si>
    <t xml:space="preserve"> &amp;diams; ALPHA-METHYL-2-FURANACROLEIN&lt;br /&gt;&amp;diams; ALPHA-METHYL-BETA-FURYLACROLEIN&lt;br /&gt;&amp;diams; ALPHA-METHYLFURYLACROLEIN&lt;br /&gt;&amp;diams; ALPHA-METHYL-BETA-(2-FURYL)ACROLEIN&lt;br /&gt;&amp;diams; FURFURYLIDENE-2-PROPANAL&lt;br /&gt;&amp;diams; 2-FURFURYLIDENEPROPIONALDEHYDE&lt;br /&gt;&amp;diams; 2-METHYL-3-(2-FURYL)ACROLEIN&lt;br /&gt;&amp;diams; 2-METHYL-3-(2-FURYL)PROPENAL&lt;br /&gt;&amp;diams; 2-METHYL-3-FURYLACROLEIN&lt;br /&gt;&amp;diams; 3-(2-FURANYL)-2-METHYL-2-PROPENAL&lt;br /&gt;&amp;diams; 2-PROPENAL, 3-(2-FURANYL)-2-METHYL-&lt;br /&gt;&amp;diams; 2-FURANACROLEIN, ALPHA-METHYL-&lt;br /&gt;&amp;diams; 2-METHYL-3-(2-FURYL)-2-PROPENAL</t>
  </si>
  <si>
    <t xml:space="preserve"> 96-33-3</t>
  </si>
  <si>
    <t xml:space="preserve"> METHYL ACRYLATE</t>
  </si>
  <si>
    <t xml:space="preserve"> &amp;diams; METHYL ACRYLATE&lt;br /&gt;&amp;diams; METHYL 2-PROPENOATE&lt;br /&gt;&amp;diams; 2-PROPENOIC ACID, METHYL ESTER&lt;br /&gt;&amp;diams; METHYL PROP-2-ENOATE&lt;br /&gt;&amp;diams; ACRYLIC ACID METHYL ESTER&lt;br /&gt;&amp;diams; METHOXYCARBONYLETHYLENE</t>
  </si>
  <si>
    <t xml:space="preserve"> 977083-07-0</t>
  </si>
  <si>
    <t xml:space="preserve"> METHYL ACRYLATE-DIVINYLBENZENE, COMPLETELY HYDROLYZED, COPOLYMER</t>
  </si>
  <si>
    <t xml:space="preserve"> &amp;diams; POLY(DIVINYLBENZENE-CO-METHYL ACRYLATE), HYDROLYZED&lt;br /&gt;&amp;diams; DIVINYLBENZENE-METHYL ACRYLATE COPOLYMER, HYDROLYZED&lt;br /&gt;&amp;diams; METHYL ACRYLATE-DIVINYLBENZENE COPOLYMER, HYDROLYZED</t>
  </si>
  <si>
    <t xml:space="preserve"> 977092-70-8</t>
  </si>
  <si>
    <t xml:space="preserve"> METHYL ACRYLATE-DVB-ACRYLONITRILE, COMPLETELY HYDROLYZED, TERPOLYMER</t>
  </si>
  <si>
    <t xml:space="preserve"> &amp;diams; POLY(ACRYLONITRILE-CO-DIVINYLBENZENE-CO-METHYL ACRYLATE), HYDROLYZED&lt;br /&gt;&amp;diams; METHYL ACRYLATE-DIVINYLBENZENE-ACRYLONITRILE TERPOLYMER, HYDROLYZED</t>
  </si>
  <si>
    <t xml:space="preserve"> 977083-09-2</t>
  </si>
  <si>
    <t xml:space="preserve"> METHYL ACRYLATE-DVB(2%), COPOLYMER, AMINOLYZED WITH DMAPA</t>
  </si>
  <si>
    <t xml:space="preserve"> &amp;diams; POLY(DIVINYLBENZENE(2%)-CO-METHYL ACRYLATE), AMINOLYZED WITH DIMETHYLAMINOPROPYLAMINE&lt;br /&gt;&amp;diams; METHYL ACRYLATE-DIVINYLBENZENE(2%) COPOLYMER, AMINOLYZED WITH DIMETHYLAMINOPROPYLAMINE</t>
  </si>
  <si>
    <t xml:space="preserve"> 977083-10-5</t>
  </si>
  <si>
    <t xml:space="preserve"> METHYL ACRYLATE-DVB(3.5%), COPOLYMER, AMINOLYZED WITH DMAPA</t>
  </si>
  <si>
    <t xml:space="preserve"> &amp;diams; POLY(DIVINYLBENZENE(3.5%)-CO-METHYL ACRYLATE), AMINOLYZED WITH DIMETHYLAMINOPROPYLAMINE&lt;br /&gt;&amp;diams; METHYL ACRYLATE-DIVINYLBENZENE(3.5%) COPOLYMER, AMINOLYZED WITH DIMETHYLAMINOPROPYLAMINE</t>
  </si>
  <si>
    <t xml:space="preserve"> 128903-16-2</t>
  </si>
  <si>
    <t xml:space="preserve"> METHYL ACRYLATE--DVB-(DEG-DIVINYL ETHER), AMINOLYZED AND QUARTERNIZED, TERPOLYMER</t>
  </si>
  <si>
    <t xml:space="preserve"> &amp;diams; POLY(DIETHYLENE GLYCOL DIVINYL ETHER-CO-DIVINYLBENZENE-CO-METHYL ACRYLATE), AMINOLYZED WITH DIMETHYLAMINOPROPYLAMINE, QUATERNIZED WITH METHYL CHLORIDE&lt;br /&gt;&amp;diams; METHYL ACRYLATE-DIVINYLBENZENE-DIETHYLENE GLYCOL DIVINYL ETHER TERPOLYMER, AMINOLYZED WITH DIMETHYLAMINOPROPYLAMINE, QUATERNIZED WITH METHYL CHLORIDE&lt;br /&gt;&amp;diams; 2-PROPENOIC ACID, METHYL ESTER, POLYMER WITH DIETHENYLBENZENE AND 1,1'-(OXYBIS(2,1-ETHANEDIYLOXY))BIS(ETHENE), REACTION PRODUCTS WITH CHLOROMETHANE AND N,N-DIMETHYL-1,3-PROPANEDIAMINE</t>
  </si>
  <si>
    <t xml:space="preserve"> 128903-15-1</t>
  </si>
  <si>
    <t xml:space="preserve"> METHYL ACRYLATE-DVB-(DEG-DIVINYL ETHER), AMINOLYZED, TERPOLYMER</t>
  </si>
  <si>
    <t xml:space="preserve"> &amp;diams; POLY(DIETHYLENE GLYCOL DIVINYL ETHER-CO-DIVINYLBENZENE-CO-METHYL ACRYLATE), AMINOLYZED WITH DIMETHYLAMINOPROPYLAMINE&lt;br /&gt;&amp;diams; METHYL ACRYLATE-DIVINYLBENZENE-DIETHYLENE GLYCOL DIVINYL ETHER TERPOLYMER, AMINOLYZED WITH DIMETHYLAMINOPROPYLAMINE&lt;br /&gt;&amp;diams; 2-PROPENOIC ACID, METHYL ESTER, POLYMER WITH DIETHENYLBENZENE AND 1,1'-(OXYBIS(2,1-ETHANEDIYLOXY))BIS(ETHENE), REACTION PRODUCTS WITH N,N-DIMETHYL-1,3-PROPANEDIAMINE</t>
  </si>
  <si>
    <t xml:space="preserve"> 67-56-1</t>
  </si>
  <si>
    <t xml:space="preserve"> METHYL ALCOHOL</t>
  </si>
  <si>
    <t xml:space="preserve"> &amp;diams; METHANOL&lt;br /&gt;&amp;diams; WOOD NAPHTHA&lt;br /&gt;&amp;diams; CARBINOL&lt;br /&gt;&amp;diams; WOOD ALCOHOL</t>
  </si>
  <si>
    <t xml:space="preserve"> 7149-29-3</t>
  </si>
  <si>
    <t xml:space="preserve"> 2-METHYLALLYL BUTYRATE</t>
  </si>
  <si>
    <t xml:space="preserve"> &amp;diams; 2-METHYLALLYL BUTYRATE&lt;br /&gt;&amp;diams; BUTANOIC ACID, 2-METHYL-2-PROPENYL ESTER&lt;br /&gt;&amp;diams; BUTYRIC ACID, 2-METHYLALLYL ESTER&lt;br /&gt;&amp;diams; METHYLALLYL BUTYRATE&lt;br /&gt;&amp;diams; 2-METHYL-2-PROPENYL BUTANOATE&lt;br /&gt;&amp;diams; 2-METHYL-2-PROPEN-1-YL BUTYRATE&lt;br /&gt;&amp;diams; 2-METHYLALLYL BUTANOATE&lt;br /&gt;&amp;diams; 2-METHYL-2-PROPENYL BUTYRATE</t>
  </si>
  <si>
    <t xml:space="preserve"> 127-42-4</t>
  </si>
  <si>
    <t xml:space="preserve"> METHYL-ALPHA-IONONE</t>
  </si>
  <si>
    <t xml:space="preserve"> &amp;diams; METHYL-ALPHA-IONONE&lt;br /&gt;&amp;diams; METHYLIONONE, ALPHA-&lt;br /&gt;&amp;diams; 1-(2,6,6-TRIMETHYL-2-CYCLOHEXEN-1-YL)-1-PENTEN-3-ONE&lt;br /&gt;&amp;diams; 1-PENTEN-3-ONE, 1-((1R)-2,6,6-TRIMETHYL-2-CYCLOHEXEN-1-YL)-, (1E)-&lt;br /&gt;&amp;diams; 1-((1R)-2,6,6-TRIMETHYL-2-CYCLOHEXEN-1-YL)-1-PENTEN-3-ONE, (1E)-&lt;br /&gt;&amp;diams; InChIKey=VPKMGDRERYMTJX-CMDGGOBGSA-N&lt;br /&gt;&amp;diams; InChI=1S/C14H22O/c1-5-12(15)8-9-13-11(2)7-6-10-14(13,3)4/h7-9,13H,5-6,10H2,1-4H3/b9-8+</t>
  </si>
  <si>
    <t xml:space="preserve"> 121-98-2</t>
  </si>
  <si>
    <t xml:space="preserve"> METHYL ANISATE</t>
  </si>
  <si>
    <t xml:space="preserve"> &amp;diams; METHYL 4-METHOXYBENZOATE&lt;br /&gt;&amp;diams; BENZOIC ACID, 4-METHOXY-, METHYL ESTER&lt;br /&gt;&amp;diams; METHYL P-METHOXYBENZOATE&lt;br /&gt;&amp;diams; METHYL ANISATE&lt;br /&gt;&amp;diams; METHYL P-ANISATE&lt;br /&gt;&amp;diams; P-ANISIC ACID, METHYL ESTER</t>
  </si>
  <si>
    <t xml:space="preserve"> 578-58-5</t>
  </si>
  <si>
    <t xml:space="preserve"> O-METHYLANISOLE</t>
  </si>
  <si>
    <t xml:space="preserve"> &amp;diams; 2-METHYLANISOLE&lt;br /&gt;&amp;diams; CRESYL METHYL ETHER, O-&lt;br /&gt;&amp;diams; METHYL O-CRESYL ETHER&lt;br /&gt;&amp;diams; METHYLANISOLE, O-&lt;br /&gt;&amp;diams; METHYL O-TOLYL ETHER&lt;br /&gt;&amp;diams; METHOXYTOLUENE, O-&lt;br /&gt;&amp;diams; BENZENE, 1-METHOXY-2-METHYL-&lt;br /&gt;&amp;diams; 1-METHOXY-2-METHYLBENZENE&lt;br /&gt;&amp;diams; ANISOLE, O-METHYL-&lt;br /&gt;&amp;diams; 2-METHOXYTOLUENE</t>
  </si>
  <si>
    <t xml:space="preserve"> 104-93-8</t>
  </si>
  <si>
    <t xml:space="preserve"> P-METHYLANISOLE</t>
  </si>
  <si>
    <t xml:space="preserve"> &amp;diams; 4-METHYLANISOLE&lt;br /&gt;&amp;diams; CRESYL METHYL ETHER, P-&lt;br /&gt;&amp;diams; METHOXYTOLUENE, P-&lt;br /&gt;&amp;diams; METHYL P-CRESOL&lt;br /&gt;&amp;diams; METHYL P-CRESYL ETHER&lt;br /&gt;&amp;diams; METHYL P-TOLYL ETHER&lt;br /&gt;&amp;diams; 4-METHOXYTOLUENE&lt;br /&gt;&amp;diams; BENZENE, 1-METHOXY-4-METHYL-&lt;br /&gt;&amp;diams; 1-METHOXY-4-METHYLBENZENE&lt;br /&gt;&amp;diams; ANISOLE, P-METHYL-&lt;br /&gt;&amp;diams; METHYL P-METHYLPHENYL ETHER</t>
  </si>
  <si>
    <t xml:space="preserve"> 134-20-3</t>
  </si>
  <si>
    <t xml:space="preserve"> METHYL ANTHRANILATE</t>
  </si>
  <si>
    <t xml:space="preserve"> &amp;diams; METHYL ANTHRANILATE&lt;br /&gt;&amp;diams; METHYL 2-AMINOBENZOATE&lt;br /&gt;&amp;diams; AMINO METHYL BENZOATE, O-&lt;br /&gt;&amp;diams; METHYL O-AMINOBENZOATE&lt;br /&gt;&amp;diams; BENZOIC ACID, 2-AMINO-, METHYL ESTER&lt;br /&gt;&amp;diams; ANTHRANILIC ACID, METHYL ESTER&lt;br /&gt;&amp;diams; 2-(METHOXYCARBONYL)ANILINE&lt;br /&gt;&amp;diams; CARBOMETHOXYANILINE, O-</t>
  </si>
  <si>
    <t xml:space="preserve"> 977047-20-3</t>
  </si>
  <si>
    <t xml:space="preserve"> METHYLATED SILICA</t>
  </si>
  <si>
    <t xml:space="preserve"> &amp;diams; SILICA, METHYLATED&lt;br /&gt;&amp;diams; METHYLATED SILICA</t>
  </si>
  <si>
    <t xml:space="preserve"> 58244-29-4</t>
  </si>
  <si>
    <t xml:space="preserve"> 4-METHYLBENZALDEHYDE PROPYLENEGLYCOL ACETAL</t>
  </si>
  <si>
    <t xml:space="preserve"> &amp;diams; 4-METHYLBENZALDEHYDE PROPYLENE GLYCOL ACETAL&lt;br /&gt;&amp;diams; 1,3-dioxolane, 4-methyl-2-(4-methylphenyl)-&lt;br /&gt;&amp;diams; 4-methyl-2-(4-methylphenyl)-1,3-dioxolane&lt;br /&gt;&amp;diams; 4-methyl-2-p-tolyl-1,3-dioxolane&lt;br /&gt;&amp;diams; 1,3-dioxolane, 4-methyl-2-p-tolyl-&lt;br /&gt;&amp;diams; InChI=1/C11H14O2/c1-8-3-5-10(6-4-8)11-12-7-9(2)13-11/h3-6,9,11H,7H2,1-2H3&lt;br /&gt;&amp;diams; InChIKey: VPBUQMKUEPQXKR-UHFFFAOYSA-N</t>
  </si>
  <si>
    <t xml:space="preserve"> 93-58-3</t>
  </si>
  <si>
    <t xml:space="preserve"> METHYL BENZOATE</t>
  </si>
  <si>
    <t xml:space="preserve"> &amp;diams; METHYL BENZOATE&lt;br /&gt;&amp;diams; NIOBE OIL&lt;br /&gt;&amp;diams; METHYL BENZENECARBOXYLATE&lt;br /&gt;&amp;diams; BENZOIC ACID, METHYL ESTER</t>
  </si>
  <si>
    <t xml:space="preserve"> 4265-25-2</t>
  </si>
  <si>
    <t xml:space="preserve"> 2-METHYLBENZOFURAN</t>
  </si>
  <si>
    <t xml:space="preserve"> &amp;diams; 2-METHYLBENZOFURAN&lt;br /&gt;&amp;diams; benzofuran, 2-methyl-&lt;br /&gt;&amp;diams; 2-methylcumarone&lt;br /&gt;&amp;diams; 2-methylbenzo(b)furan&lt;br /&gt;&amp;diams; 2-methylcoumarone&lt;br /&gt;&amp;diams; InChI=1S/C9H8O/c1-7-6-8-4-2-3-5-9(8)10-7/h2-6H,1H3&lt;br /&gt;&amp;diams; InChIKey: GBGPVUAOTCNZPT-UHFFFAOYSA-N</t>
  </si>
  <si>
    <t xml:space="preserve"> 5925-68-8</t>
  </si>
  <si>
    <t xml:space="preserve"> S-METHYL BENZOTHIOATE</t>
  </si>
  <si>
    <t xml:space="preserve"> &amp;diams; S-METHYL THIOBENZOATE&lt;br /&gt;&amp;diams; BENZENECARBOTHIOIC ACID, S-METHYL ESTER&lt;br /&gt;&amp;diams; BENZOIC ACID, THIO-, S-METHYL ESTER&lt;br /&gt;&amp;diams; METHANETHIOL, BENZOATE&lt;br /&gt;&amp;diams; S-METHYL BENZENECARBOTHIOATE&lt;br /&gt;&amp;diams; S-METHYL BENZOTHIOATE</t>
  </si>
  <si>
    <t xml:space="preserve"> 95-21-6</t>
  </si>
  <si>
    <t xml:space="preserve"> 2-METHYL-4,5-BENZOXAZOLE</t>
  </si>
  <si>
    <t xml:space="preserve"> &amp;diams; 2-METHYLBENZOXAZOLE&lt;br /&gt;&amp;diams; benzoxazole, 2-methyl-&lt;br /&gt;&amp;diams; 2-methyl-1,3-benzoxazole&lt;br /&gt;&amp;diams; InChI=1S/C8H7NO/c1-6-9-7-4-2-3-5-8(7)10-6/h2-5H,1H3&lt;br /&gt;&amp;diams; InChIKey: DQSHFKPKFISSNM-UHFFFAOYSA-N</t>
  </si>
  <si>
    <t xml:space="preserve"> 93-92-5</t>
  </si>
  <si>
    <t xml:space="preserve"> ALPHA-METHYLBENZYL ACETATE</t>
  </si>
  <si>
    <t xml:space="preserve"> &amp;diams; ALPHA-METHYLBENZYL ACETATE&lt;br /&gt;&amp;diams; ALPHA-PHENYLETHYL ACETATE&lt;br /&gt;&amp;diams; BENZENEMETHANOL, ALPHA-METHYL-, ACETATE&lt;br /&gt;&amp;diams; ALPHA-METHYLBENZENEMETHYL ACETATE&lt;br /&gt;&amp;diams; BENZYL ALCOHOL, ALPHA-METHYL-, ACETATE&lt;br /&gt;&amp;diams; METHYLPHENYLCARBINYL ACETATE&lt;br /&gt;&amp;diams; PHENYLETHYL ACETATE, SEC-&lt;br /&gt;&amp;diams; STYRALYL ACETATE&lt;br /&gt;&amp;diams; 1-PHENYLETHYL ACETATE</t>
  </si>
  <si>
    <t xml:space="preserve"> 29759-11-3</t>
  </si>
  <si>
    <t xml:space="preserve"> METHYLBENZYL ACETATE (MIXED O-, M-, P-)</t>
  </si>
  <si>
    <t xml:space="preserve"> &amp;diams; METHYLBENZYL ACETATE&lt;br /&gt;&amp;diams; BENZENEMETHANOL, METHYL-, ACETATE&lt;br /&gt;&amp;diams; BENZYL ALCOHOL, METHYL-, ACETATE&lt;br /&gt;&amp;diams; METHYLBENZYL ACETATE, MIXED O-,M-,P-&lt;br /&gt;&amp;diams; TOLYL ACETATE</t>
  </si>
  <si>
    <t xml:space="preserve"> 589-18-4</t>
  </si>
  <si>
    <t xml:space="preserve"> 4-METHYLBENZYL ALCOHOL</t>
  </si>
  <si>
    <t xml:space="preserve"> &amp;diams; 4-METHYLBENZYL ALCOHOL&lt;br /&gt;&amp;diams; benzenemethanol, 4-methyl-&lt;br /&gt;&amp;diams; 4-methylbenzenemethanol&lt;br /&gt;&amp;diams; benzyl alcohol, p-methyl&lt;br /&gt;&amp;diams; methylbenzyl alcohol, p-&lt;br /&gt;&amp;diams; 4-(hydroxymethyl)toluene</t>
  </si>
  <si>
    <t xml:space="preserve"> 98-85-1</t>
  </si>
  <si>
    <t xml:space="preserve"> ALPHA-METHYLBENZYL ALCOHOL</t>
  </si>
  <si>
    <t xml:space="preserve"> &amp;diams; ALPHA-METHYLBENZYL ALCOHOL&lt;br /&gt;&amp;diams; ALPHA-PHENYLETHYL ALCOHOL&lt;br /&gt;&amp;diams; BENZENEMETHANOL, ALPHA-METHYL-&lt;br /&gt;&amp;diams; ALPHA-METHYLBENZENEMETHANOL&lt;br /&gt;&amp;diams; BENZYL ALCOHOL, ALPHA-METHYL-&lt;br /&gt;&amp;diams; ALPHA-HYDROXYETHYLBENZENE&lt;br /&gt;&amp;diams; METHYLPHENYLCARBINOL&lt;br /&gt;&amp;diams; PHENYLMETHYLCARBINOL&lt;br /&gt;&amp;diams; PHENETHYL ALCOHOL, SEC-&lt;br /&gt;&amp;diams; STYRALYL ALCOHOL&lt;br /&gt;&amp;diams; 1-PHENYLETHYL ALCOHOL&lt;br /&gt;&amp;diams; 1-PHENYLETHANOL&lt;br /&gt;&amp;diams; 1-PHENYL-1-HYDROXYETHANE&lt;br /&gt;&amp;diams; 1-PHENYLETHAN-1-OL</t>
  </si>
  <si>
    <t xml:space="preserve"> 699-10-5</t>
  </si>
  <si>
    <t xml:space="preserve"> METHYL BENZYL DISULFIDE</t>
  </si>
  <si>
    <t xml:space="preserve"> &amp;diams; BENZYL METHYL DISULFIDE&lt;br /&gt;&amp;diams; BENZYLDITHIOMETHANE&lt;br /&gt;&amp;diams; DISULFIDE, METHYL PHENYLMETHYL&lt;br /&gt;&amp;diams; DISULFIDE, BENZYL METHYL&lt;br /&gt;&amp;diams; METHYL PHENYLMETHYL DISULFIDE&lt;br /&gt;&amp;diams; METHYL BENZYL DISULFIDE</t>
  </si>
  <si>
    <t xml:space="preserve"> 7775-38-4</t>
  </si>
  <si>
    <t xml:space="preserve"> ALPHA-METHYLBENZYL FORMATE</t>
  </si>
  <si>
    <t xml:space="preserve"> &amp;diams; ALPHA-METHYLBENZYL FORMATE&lt;br /&gt;&amp;diams; ALPHA-METHYLBENZYL METHANOATE&lt;br /&gt;&amp;diams; ALPHA-PHENYLETHYL FORMATE&lt;br /&gt;&amp;diams; BENZENEMETHANOL, ALPHA-METHYL-, FORMATE&lt;br /&gt;&amp;diams; BENZYL ALCOHOL, ALPHA-METHYL-, FORMATE&lt;br /&gt;&amp;diams; ALPHA-METHYLBENZENEMETHYL FORMATE&lt;br /&gt;&amp;diams; METHYLPHENYLCARBINYL FORMATE&lt;br /&gt;&amp;diams; STYRALYL FORMATE&lt;br /&gt;&amp;diams; 1-PHENYL-1-ETHYL FORMATE&lt;br /&gt;&amp;diams; 1-PHENYL-1-ETHYL METHANOATE</t>
  </si>
  <si>
    <t xml:space="preserve"> 120-45-6</t>
  </si>
  <si>
    <t xml:space="preserve"> ALPHA-METHYLBENZYL PROPIONATE</t>
  </si>
  <si>
    <t xml:space="preserve"> &amp;diams; ALPHA-METHYLBENZYL PROPIONATE&lt;br /&gt;&amp;diams; BENZENEMETHANOL, ALPHA-METHYL-, PROPANOATE&lt;br /&gt;&amp;diams; ALPHA-METHYLBENZENEMETHYLANYL PROPANOATE&lt;br /&gt;&amp;diams; BENZYL ALCOHOL, ALPHA-METHYL-, PROPIONATE&lt;br /&gt;&amp;diams; METHYLPHENYLCARBINYL PROPIONATE&lt;br /&gt;&amp;diams; STYRALYL PROPIONATE&lt;br /&gt;&amp;diams; 1-PHENYLETHYL PROPIONATE&lt;br /&gt;&amp;diams; 1-PHENYL-1-ETHYL PROPIONATE</t>
  </si>
  <si>
    <t xml:space="preserve"> 644-08-6</t>
  </si>
  <si>
    <t xml:space="preserve"> 4-METHYLBIPHENYL</t>
  </si>
  <si>
    <t xml:space="preserve"> &amp;diams; 4-METHYLBIPHENYL&lt;br /&gt;&amp;diams; METHYLDIPHENYL, P-&lt;br /&gt;&amp;diams; METHYLPHENYLBENZENE, P-&lt;br /&gt;&amp;diams; 1,1'-BIPHENYL, 4-METHYL-&lt;br /&gt;&amp;diams; 4-METHYL-1,1'-BIPHENYL&lt;br /&gt;&amp;diams; BIPHENYL, 4-METHYL-&lt;br /&gt;&amp;diams; 4-METHYLDIPHENYL&lt;br /&gt;&amp;diams; METHYLBIPHENYL, P-&lt;br /&gt;&amp;diams; PHENYLTOLUENE, P-&lt;br /&gt;&amp;diams; 4-PHENYLTOLUENE&lt;br /&gt;&amp;diams; (4-METHYLPHENYL)BENZENE</t>
  </si>
  <si>
    <t xml:space="preserve"> 1878-18-8</t>
  </si>
  <si>
    <t xml:space="preserve"> 2-METHYL-1-BUTANETHIOL</t>
  </si>
  <si>
    <t xml:space="preserve"> &amp;diams; 2-METHYL-1-BUTANETHIOL&lt;br /&gt;&amp;diams; 1-BUTANETHIOL, 2-METHYL-</t>
  </si>
  <si>
    <t xml:space="preserve"> 541-31-1</t>
  </si>
  <si>
    <t xml:space="preserve"> 3-METHYLBUTANETHIOL</t>
  </si>
  <si>
    <t xml:space="preserve"> &amp;diams; 3-METHYLBUTANETHIOL&lt;br /&gt;&amp;diams; ISOAMYL MERCAPTAN&lt;br /&gt;&amp;diams; 1-BUTANETHIOL, 3-METHYL-&lt;br /&gt;&amp;diams; 3-METHYL-1-BUTANETHIOL&lt;br /&gt;&amp;diams; 3-METHYLBUTYL MERCAPTAN&lt;br /&gt;&amp;diams; ISOAMYL SULFHYDRATE&lt;br /&gt;&amp;diams; ISOPENTANETHIOL&lt;br /&gt;&amp;diams; ISOPENTYL MERCAPTAN&lt;br /&gt;&amp;diams; ISOPENTYLTHIOL</t>
  </si>
  <si>
    <t xml:space="preserve"> 2084-18-6</t>
  </si>
  <si>
    <t xml:space="preserve"> 3-METHYL-2-BUTANETHIOL</t>
  </si>
  <si>
    <t xml:space="preserve"> &amp;diams; 3-METHYL-2-BUTANETHIOL&lt;br /&gt;&amp;diams; 2-BUTANETHIOL, 3-METHYL-</t>
  </si>
  <si>
    <t xml:space="preserve"> 137-32-6</t>
  </si>
  <si>
    <t xml:space="preserve"> 2-METHYL-1-BUTANOL</t>
  </si>
  <si>
    <t xml:space="preserve"> &amp;diams; 2-METHYL-1-BUTANOL&lt;br /&gt;&amp;diams; 2-METHYL-1-BUTANOL, (+-)_&lt;br /&gt;&amp;diams; 1-BUTANOL, 2-METHYL-&lt;br /&gt;&amp;diams; 2-METHYLBUTYL ALCOHOL&lt;br /&gt;&amp;diams; AMYL ALCOHOL, ACTIVE&lt;br /&gt;&amp;diams; AMYL ALCOHOL, ACTIVE PRIMARY&lt;br /&gt;&amp;diams; AMYL ALCOHOL, PRIMARY ACTIVE&lt;br /&gt;&amp;diams; BUTYLCARBINOL, SEC-</t>
  </si>
  <si>
    <t xml:space="preserve"> 598-75-4</t>
  </si>
  <si>
    <t xml:space="preserve"> 3-METHYL-2-BUTANOL</t>
  </si>
  <si>
    <t xml:space="preserve"> &amp;diams; 3-METHYL-2-BUTANOL&lt;br /&gt;&amp;diams; ISOAMYL ALCOHOL, SEC-&lt;br /&gt;&amp;diams; METHYLISOPROPYLCARBINOL&lt;br /&gt;&amp;diams; 1,2-DIMETHYLPROPANOL&lt;br /&gt;&amp;diams; 2-METHYL-3-BUTANOL&lt;br /&gt;&amp;diams; ISOPROPYLMETHYLCARBINOL&lt;br /&gt;&amp;diams; 2-BUTANOL, 3-METHYL-&lt;br /&gt;&amp;diams; 1,2-DIMETHYL-1-PROPANOL</t>
  </si>
  <si>
    <t xml:space="preserve"> 497-03-0</t>
  </si>
  <si>
    <t xml:space="preserve"> 2-METHYL-2-BUTENAL</t>
  </si>
  <si>
    <t xml:space="preserve"> &amp;diams; TIGLALDEHYDE&lt;br /&gt;&amp;diams; 2-METHYL-2-BUTENAL, TRANS-&lt;br /&gt;&amp;diams; 2-BUTENAL, 2-METHYL-, (E)-&lt;br /&gt;&amp;diams; 2-METHYL-2-BUTENAL, (E)-&lt;br /&gt;&amp;diams; CROTONALDEHYDE, 2-METHYL-, (E)-&lt;br /&gt;&amp;diams; 2-METHYLCROTONALDEHYDE, (E)-&lt;br /&gt;&amp;diams; TIGLIC ALDEHYDE&lt;br /&gt;&amp;diams; TIGALDEHYDE, TRANS-&lt;br /&gt;&amp;diams; 2-METHYLBUT-2-EN-1-AL, (E)-</t>
  </si>
  <si>
    <t xml:space="preserve"> 107-86-8</t>
  </si>
  <si>
    <t xml:space="preserve"> 3-METHYL-2-BUTENAL</t>
  </si>
  <si>
    <t xml:space="preserve"> &amp;diams; 3-METHYL-2-BUTENAL&lt;br /&gt;&amp;diams; PRENAL&lt;br /&gt;&amp;diams; SENECIALDEHYDE&lt;br /&gt;&amp;diams; 3-METHYLCROTONALDEHYDE&lt;br /&gt;&amp;diams; 2-BUTENAL, 3-METHYL-&lt;br /&gt;&amp;diams; CROTONALDEHYDE, 3-METHYL-&lt;br /&gt;&amp;diams; BETA,BETA-DIMETHYLACROLEIN&lt;br /&gt;&amp;diams; SENECIOALDEHYDE&lt;br /&gt;&amp;diams; 3,3-DIMETHYLACROLEIN&lt;br /&gt;&amp;diams; BETA-METHYLCROTONALDEHYDE&lt;br /&gt;&amp;diams; BETA,BETA-DIMETHYLACRYLIC ALDEHYDE</t>
  </si>
  <si>
    <t xml:space="preserve"> 67883-79-8</t>
  </si>
  <si>
    <t xml:space="preserve"> (Z)-3-HEXENYL(E)-2-METHYL-2-BUTENOATE</t>
  </si>
  <si>
    <t xml:space="preserve"> &amp;diams; 3-HEXENYL TIGLATE, CIS-&lt;br /&gt;&amp;diams; 2-BUTENOIC ACID, 2-METHYL-, (3Z)-3-HEXENYL ESTER, (2E)-&lt;br /&gt;&amp;diams; 3-HEXENYL 2-METHYL-2-BUTENOATE, (Z,E)-&lt;br /&gt;&amp;diams; 3-HEXENYL TRANS-2-METHYL-2-BUTENOATE, CIS-&lt;br /&gt;&amp;diams; 3-HEXENYL (E)-2-METHYL-2-BUTENOATE, (Z)-&lt;br /&gt;&amp;diams; 3-HEXENYL (E)-2-METHYLCROTONATE, (Z)-&lt;br /&gt;&amp;diams; 3-HEXENYL TRANS-ALPHA-METHYLCROTONATE, CIS-</t>
  </si>
  <si>
    <t xml:space="preserve"> 80-59-1</t>
  </si>
  <si>
    <t xml:space="preserve"> TRANS-2-METHYL-2-BUTENOIC ACID</t>
  </si>
  <si>
    <t xml:space="preserve"> &amp;diams; TIGLIC ACID&lt;br /&gt;&amp;diams; 2-METHYL-2-BUTENOIC ACID, TRANS-&lt;br /&gt;&amp;diams; 2-METHYLCROTONIC ACID, TRANS-&lt;br /&gt;&amp;diams; 2-METHYL-2-BUTENOIC ACID, (E)-&lt;br /&gt;&amp;diams; 2-BUTENOIC ACID, 2-METHYL-, (2E)-&lt;br /&gt;&amp;diams; CROTONIC ACID, 2-METHYL-, (E)-&lt;br /&gt;&amp;diams; CEVADIC ACID&lt;br /&gt;&amp;diams; ALPHA,BETA-DIMETHYLACRYLIC ACID, TRANS-&lt;br /&gt;&amp;diams; 2,3-DIMETHYLACRYLIC ACID, TRANS-&lt;br /&gt;&amp;diams; TIGLINIC ACID&lt;br /&gt;&amp;diams; 2,3-DIMETHYLACRYLIC ACID, (E)-&lt;br /&gt;&amp;diams; ALPHA-METHYLCROTONIC ACID, (E)-</t>
  </si>
  <si>
    <t xml:space="preserve"> 4675-87-0</t>
  </si>
  <si>
    <t xml:space="preserve"> 2-METHYLBUT-2-EN-1-OL</t>
  </si>
  <si>
    <t xml:space="preserve"> &amp;diams; 2-METHYL-2-BUTEN-1-OL&lt;br /&gt;&amp;diams; BETA-METHYLCROTYL ALCOHOL&lt;br /&gt;&amp;diams; 2-BUTEN-1-OL, 2-METHYL-&lt;br /&gt;&amp;diams; 2-methylbut-2-en-1-ol&lt;br /&gt;&amp;diams; InChI=1S/C5H10O/c1-3-5(2)4-6/h3,6H,4H2,1-2H3/b5-3+&lt;br /&gt;&amp;diams; InChIKey: NEJDKFPXHQRVMV-HWKANZROSA-N</t>
  </si>
  <si>
    <t xml:space="preserve"> 115-18-4</t>
  </si>
  <si>
    <t xml:space="preserve"> 2-METHYL-3-BUTEN-2-OL</t>
  </si>
  <si>
    <t xml:space="preserve"> &amp;diams; 2-METHYL-3-BUTEN-2-OL&lt;br /&gt;&amp;diams; ALPHA,ALPHA-DIMETHYLALLYL ALCOHOL&lt;br /&gt;&amp;diams; DIMETHYLVINYLCARBINOL&lt;br /&gt;&amp;diams; DIMETHYLVINYLMETHANOL&lt;br /&gt;&amp;diams; VINYLDIMETHYLCARBINOL&lt;br /&gt;&amp;diams; 3-BUTEN-2-OL, 2-METHYL-&lt;br /&gt;&amp;diams; 1,1-DIMETHYL-2-PROPENOL&lt;br /&gt;&amp;diams; 2-METHYL-2-HYDROXY-3-BUTENE&lt;br /&gt;&amp;diams; 3-METHYL-1-BUTEN-3-OL&lt;br /&gt;&amp;diams; 2-METHYL-3-BUTEN-2-YL ALCOHOL&lt;br /&gt;&amp;diams; 1,1-DIMETHYLALLYL ALCOHOL&lt;br /&gt;&amp;diams; 3-HYDROXY-3-METHYLBUTENE</t>
  </si>
  <si>
    <t xml:space="preserve"> 556-82-1</t>
  </si>
  <si>
    <t xml:space="preserve"> 3-METHYL-2-BUTEN-1-OL</t>
  </si>
  <si>
    <t xml:space="preserve"> &amp;diams; 3-METHYL-2-BUTEN-1-OL&lt;br /&gt;&amp;diams; GAMMA,GAMMA-DIMETHYLALLYL ALCOHOL&lt;br /&gt;&amp;diams; PRENOL&lt;br /&gt;&amp;diams; PRENYL ALCOHOL&lt;br /&gt;&amp;diams; 2-BUTEN-1-OL, 3-METHYL-&lt;br /&gt;&amp;diams; 3-METHYL-2-BUTENYL ALCOHOL&lt;br /&gt;&amp;diams; 3,3-DIMETHYLALLYL ALCOHOL&lt;br /&gt;&amp;diams; 3-METHYL-2-BUTENOL&lt;br /&gt;&amp;diams; 3-METHYLCROTYL ALCOHOL</t>
  </si>
  <si>
    <t xml:space="preserve"> 814-78-8</t>
  </si>
  <si>
    <t xml:space="preserve"> 3-METHYL-3-BUTEN-2-ONE</t>
  </si>
  <si>
    <t xml:space="preserve"> &amp;diams; 3-METHYL-3-BUTEN-2-ONE&lt;br /&gt;&amp;diams; ISOPROPENYL METHYL KETONE&lt;br /&gt;&amp;diams; METHYL ISOPROPENYL KETONE&lt;br /&gt;&amp;diams; PROPEN-2-YL METHYL KETONE&lt;br /&gt;&amp;diams; 2-METHYL-1-BUTEN-3-ONE&lt;br /&gt;&amp;diams; 3-BUTEN-2-ONE, 3-METHYL-&lt;br /&gt;&amp;diams; 3-METHYLENE-2-BUTANONE</t>
  </si>
  <si>
    <t xml:space="preserve"> 5205-07-2</t>
  </si>
  <si>
    <t xml:space="preserve"> 3-METHYL-3-BUTENYL ACETATE</t>
  </si>
  <si>
    <t xml:space="preserve"> &amp;diams; 3-METHYL-3-BUTENYL ACETATE&lt;br /&gt;&amp;diams; ISOPRENYL ACETATE&lt;br /&gt;&amp;diams; 3-BUTEN-1-OL, 3-METHYL-, ACETATE</t>
  </si>
  <si>
    <t xml:space="preserve"> 624-41-9</t>
  </si>
  <si>
    <t xml:space="preserve"> 2-METHYLBUTYL ACETATE</t>
  </si>
  <si>
    <t xml:space="preserve"> &amp;diams; 2-METHYLBUTYL ACETATE&lt;br /&gt;&amp;diams; 2-METHYL-1-BUTYL ACETATE&lt;br /&gt;&amp;diams; 1-BUTANOL, 2-METHYL-, ACETATE</t>
  </si>
  <si>
    <t xml:space="preserve"> 96-15-1</t>
  </si>
  <si>
    <t xml:space="preserve"> 2-METHYLBUTYLAMINE</t>
  </si>
  <si>
    <t xml:space="preserve"> &amp;diams; 2-METHYLBUTANAMINE&lt;br /&gt;&amp;diams; 1-butanamine, 2-methyl-&lt;br /&gt;&amp;diams; butylamine, 2-methyl-&lt;br /&gt;&amp;diams; 2-methylbutylamine&lt;br /&gt;&amp;diams; 1-amino-2-methylbutane&lt;br /&gt;&amp;diams; 2-methyl-1-butanamine&lt;br /&gt;&amp;diams; 2-methyl-1-butylamine</t>
  </si>
  <si>
    <t xml:space="preserve"> 2445-77-4</t>
  </si>
  <si>
    <t xml:space="preserve"> 2-METHYLBUTYL ISOVALERATE</t>
  </si>
  <si>
    <t xml:space="preserve"> &amp;diams; 2-METHYLBUTYL ISOVALERATE&lt;br /&gt;&amp;diams; BUTANOIC ACID, 3-METHYL-, 2-METHYLBUTYL ESTER&lt;br /&gt;&amp;diams; ISOVALERIC ACID, 2-METHYLBUTYL ESTER&lt;br /&gt;&amp;diams; 2-METHYLBUTYL 3-METHYLBUTANOATE&lt;br /&gt;&amp;diams; 2-METHYLBUTYL ISOPENTANOATE&lt;br /&gt;&amp;diams; 2-METHYLBUTYL ISOVALERIANATE</t>
  </si>
  <si>
    <t xml:space="preserve"> 97890-13-6</t>
  </si>
  <si>
    <t xml:space="preserve"> 2-METHYLBUTYL 3-METHYL-2-BUTENOATE</t>
  </si>
  <si>
    <t xml:space="preserve"> &amp;diams; 2-METHYLBUTYL 3-METHYL-2-BUTENOATE&lt;br /&gt;&amp;diams; 2-butenoic acid, 3-methyl-, 2-methylbutyl ester&lt;br /&gt;&amp;diams; 2-methylbutyl senecioate&lt;br /&gt;&amp;diams; InChI=1S/C10H18O2/c1-5-9(4)7-12-10(11)6-8(2)3/h6,9H,5,7H2,1-4H3&lt;br /&gt;&amp;diams; InChIKey: CEVOEEDUEYZGMY-UHFFFAOYSA-N</t>
  </si>
  <si>
    <t xml:space="preserve"> 2445-78-5</t>
  </si>
  <si>
    <t xml:space="preserve"> 2-METHYLBUTYL 2-METHYLBUTYRATE</t>
  </si>
  <si>
    <t xml:space="preserve"> &amp;diams; 2-METHYLBUTYL 2-METHYLBUTYRATE&lt;br /&gt;&amp;diams; BUTANOIC ACID, 2-METHYL-, 2-METHYLBUTYL ESTER&lt;br /&gt;&amp;diams; BUTYRIC ACID, 2-METHYL-, 2-METHYLBUTYL ESTER&lt;br /&gt;&amp;diams; 2-METHYLBUTYL 2-METHYLBUTANOATE</t>
  </si>
  <si>
    <t xml:space="preserve"> 96-17-3</t>
  </si>
  <si>
    <t xml:space="preserve"> 2-METHYLBUTYRALDEHYDE</t>
  </si>
  <si>
    <t xml:space="preserve"> &amp;diams; 2-METHYLBUTYRALDEHYDE&lt;br /&gt;&amp;diams; BUTANAL, 2-METHYL-&lt;br /&gt;&amp;diams; BUTYRALDEHYDE, 2-METHYL-&lt;br /&gt;&amp;diams; ALPHA-METHYLBUTANAL&lt;br /&gt;&amp;diams; ALPHA-METHYLBUTYRALDEHYDE&lt;br /&gt;&amp;diams; ALPHA-METHYLBUTYRIC ALDEHYDE&lt;br /&gt;&amp;diams; METHYL ETHYL ACETALDEHYDE&lt;br /&gt;&amp;diams; 2-METHYLBUTANAL&lt;br /&gt;&amp;diams; 2-METHYLBUTYRIC ALDEHYDE&lt;br /&gt;&amp;diams; 2-FORMYLBUTANE&lt;br /&gt;&amp;diams; 2-ETHYLPROPANAL</t>
  </si>
  <si>
    <t xml:space="preserve"> 590-86-3</t>
  </si>
  <si>
    <t xml:space="preserve"> 3-METHYLBUTYRALDEHYDE</t>
  </si>
  <si>
    <t xml:space="preserve"> &amp;diams; 3-METHYLBUTYRALDEHYDE&lt;br /&gt;&amp;diams; BUTANAL, 3-METHYL-&lt;br /&gt;&amp;diams; BUTYRALDEHYDE, 3-METHYL-&lt;br /&gt;&amp;diams; BETA-METHYLBUTYRALDEHYDE&lt;br /&gt;&amp;diams; ISOVALERALDEHYDE&lt;br /&gt;&amp;diams; ISOAMYLALDEHYDE&lt;br /&gt;&amp;diams; ISOPENTALDEHYDE&lt;br /&gt;&amp;diams; ISOVALERAL&lt;br /&gt;&amp;diams; ISOVALERIC ALDEHYDE&lt;br /&gt;&amp;diams; ISOPENTANAL&lt;br /&gt;&amp;diams; METHYLETHYLACETALDEHYDE&lt;br /&gt;&amp;diams; 3-METHYLBUTANAL&lt;br /&gt;&amp;diams; 3-METHYLBUTYLALDEHYDE&lt;br /&gt;&amp;diams; 3-METHYL-1-BUTANAL</t>
  </si>
  <si>
    <t xml:space="preserve"> 623-42-7</t>
  </si>
  <si>
    <t xml:space="preserve"> METHYL BUTYRATE</t>
  </si>
  <si>
    <t xml:space="preserve"> &amp;diams; METHYL BUTYRATE&lt;br /&gt;&amp;diams; METHYL BUTANOATE&lt;br /&gt;&amp;diams; BUTANOIC ACID, METHYL ESTER&lt;br /&gt;&amp;diams; BUTYRIC ACID, METHYL ESTER</t>
  </si>
  <si>
    <t xml:space="preserve"> 116-53-0</t>
  </si>
  <si>
    <t xml:space="preserve"> 2-METHYLBUTYRIC ACID</t>
  </si>
  <si>
    <t xml:space="preserve"> &amp;diams; 2-METHYLBUTYRIC ACID&lt;br /&gt;&amp;diams; 2-METHYLBUTANOIC ACID&lt;br /&gt;&amp;diams; ALPHA-METHYLBUTYRIC ACID&lt;br /&gt;&amp;diams; BUTANOIC ACID, 2-METHYL-&lt;br /&gt;&amp;diams; BUTYRIC ACID, 2-METHYL-&lt;br /&gt;&amp;diams; VALERIC ACID, ACTIVE&lt;br /&gt;&amp;diams; ETHYLMETHYLACETIC ACID&lt;br /&gt;&amp;diams; METHYLETHYLACETIC ACID</t>
  </si>
  <si>
    <t xml:space="preserve"> 101-39-3</t>
  </si>
  <si>
    <t xml:space="preserve"> ALPHA-METHYLCINNAMALDEHYDE</t>
  </si>
  <si>
    <t xml:space="preserve"> &amp;diams; ALPHA-METHYLCINNAMALDEHYDE&lt;br /&gt;&amp;diams; ALPHA-METHYLCINNAMIC ALDEHYDE&lt;br /&gt;&amp;diams; CINNAMALDEHYDE, ALPHA-METHYL-&lt;br /&gt;&amp;diams; 2-METHYL-3-PHENYL-2-PROPENAL&lt;br /&gt;&amp;diams; 3-PHENYL-2-METHYLACROLEIN&lt;br /&gt;&amp;diams; 2-PROPENAL, 2-METHYL-3-PHENYL-&lt;br /&gt;&amp;diams; 2-METHYL-3-PHENYLACROLEIN&lt;br /&gt;&amp;diams; 2-METHYL-3-PHENYLACRYLALDEHYDE</t>
  </si>
  <si>
    <t xml:space="preserve"> 1504-75-2</t>
  </si>
  <si>
    <t xml:space="preserve"> P-METHYLCINNAMALDEHYDE</t>
  </si>
  <si>
    <t xml:space="preserve"> &amp;diams; METHYLCINNAMALDEHYDE, P-&lt;br /&gt;&amp;diams; CINNAMALDEHYDE, P-METHYL-&lt;br /&gt;&amp;diams; 3-(P-METHYLPHENYL)PROPENAL&lt;br /&gt;&amp;diams; 3-P-TOLYLPROPENAL&lt;br /&gt;&amp;diams; 2-PROPENAL, 3-(4-METHYLPHENYL)-&lt;br /&gt;&amp;diams; 3-(4-METHYLPHENYL)-2-PROPENAL&lt;br /&gt;&amp;diams; 4-METHYLCINNAMALDEHYDE</t>
  </si>
  <si>
    <t xml:space="preserve"> 103-26-4</t>
  </si>
  <si>
    <t xml:space="preserve"> METHYL CINNAMATE</t>
  </si>
  <si>
    <t xml:space="preserve"> &amp;diams; METHYL CINNAMATE&lt;br /&gt;&amp;diams; METHYL 3-PHENYLPROPENOATE&lt;br /&gt;&amp;diams; 2-PROPENOIC ACID, 3-PHENYL-, METHYL ESTER&lt;br /&gt;&amp;diams; METHYL 3-PHENYL-2-PROPENOATE&lt;br /&gt;&amp;diams; METHYL CINNAMYLATE&lt;br /&gt;&amp;diams; CINNAMIC ACID, METHYL ESTER&lt;br /&gt;&amp;diams; METHYL 3-PHENYLACRYLATE</t>
  </si>
  <si>
    <t xml:space="preserve"> 691-38-3</t>
  </si>
  <si>
    <t xml:space="preserve"> 4-METHYL-CIS-2-PENTENE</t>
  </si>
  <si>
    <t xml:space="preserve"> &amp;diams; 4-METHYL-2-PENTENE, CIS-&lt;br /&gt;&amp;diams; 2-pentene, 4-methyl-, (2Z)-&lt;br /&gt;&amp;diams; 4-methyl-2-pentene, (2Z)-&lt;br /&gt;&amp;diams; 2-pentene, 4-methyl-, (Z)-&lt;br /&gt;&amp;diams; 4-methyl-2-pentene, (Z)-&lt;br /&gt;&amp;diams; 2-pentene, 4-methyl-, cis-&lt;br /&gt;&amp;diams; 4-methyl-cis-2-pentene&lt;br /&gt;&amp;diams; 1-isopropylpropene, cis-</t>
  </si>
  <si>
    <t xml:space="preserve"> 92-48-8</t>
  </si>
  <si>
    <t xml:space="preserve"> 6-METHYLCOUMARIN</t>
  </si>
  <si>
    <t xml:space="preserve"> &amp;diams; 6-METHYLCOUMARIN&lt;br /&gt;&amp;diams; 2H-1-BENZOPYRAN-2-ONE, 6-METHYL-&lt;br /&gt;&amp;diams; 6-METHYL-2H-1-BENZOPYRAN-2-ONE&lt;br /&gt;&amp;diams; COUMARIN, 6-METHYL-&lt;br /&gt;&amp;diams; 6-METHYLBENZOPYRONE&lt;br /&gt;&amp;diams; 6-METHYLCOUMARINIC ANHYDRIDE&lt;br /&gt;&amp;diams; 6-METHYL-CIS-O-COUMARINIC LACTONE&lt;br /&gt;&amp;diams; 5-METHYL-2-HYDROXYPHENYLPROPENOIC ACID LACTONE</t>
  </si>
  <si>
    <t xml:space="preserve"> 541-47-9</t>
  </si>
  <si>
    <t xml:space="preserve"> 3-METHYLCROTONIC ACID</t>
  </si>
  <si>
    <t xml:space="preserve"> &amp;diams; 3-METHYLCROTONIC ACID&lt;br /&gt;&amp;diams; BETA,BETA-DIMETHYLACRYLIC ACID&lt;br /&gt;&amp;diams; BETA-METHYLCROTONIC ACID&lt;br /&gt;&amp;diams; CROTONIC ACID, 3-METHYL-&lt;br /&gt;&amp;diams; SENECIOIC ACID&lt;br /&gt;&amp;diams; 3-METHYL-2-BUTENOIC ACID&lt;br /&gt;&amp;diams; 3,3-DIMETHYLACRYLIC ACID&lt;br /&gt;&amp;diams; 2-BUTENOIC ACID, 3-METHYL-</t>
  </si>
  <si>
    <t xml:space="preserve"> 1489-57-2</t>
  </si>
  <si>
    <t xml:space="preserve"> 2-METHYL-1,3-CYCLOHEXADIENE</t>
  </si>
  <si>
    <t xml:space="preserve"> &amp;diams; 2-METHYL-1,3-CYCLOHEXADIENE&lt;br /&gt;&amp;diams; 1,3-CYCLOHEXADIENE, 2-METHYL-&lt;br /&gt;&amp;diams; 3,4-DIHYDROTOLUENE&lt;br /&gt;&amp;diams; 4,5-DIHYDROTOLUENE</t>
  </si>
  <si>
    <t xml:space="preserve"> 977187-67-9</t>
  </si>
  <si>
    <t xml:space="preserve"> MIXTURE OF METHYL CYCLOHEXADIENE AND METHYLENE CYCLOHEXENE</t>
  </si>
  <si>
    <t xml:space="preserve"> &amp;diams; METHYLCYCLOHEXADIENE, MIXTURE WITH METHYLENECYCLOHEXENE&lt;br /&gt;&amp;diams; methylenecyclohexene, mixture with methylcyclohexadiene</t>
  </si>
  <si>
    <t xml:space="preserve"> 3008-43-3</t>
  </si>
  <si>
    <t xml:space="preserve"> 1-METHYL-2,3-CYCLOHEXADIONE</t>
  </si>
  <si>
    <t xml:space="preserve"> &amp;diams; 3-METHYL-1,2-CYCLOHEXANEDIONE&lt;br /&gt;&amp;diams; 1-METHYL-2,3-CYCLOHEXADIONE&lt;br /&gt;&amp;diams; 1,2-CYCLOHEXANEDIONE, 3-METHYL-</t>
  </si>
  <si>
    <t xml:space="preserve"> 4630-82-4</t>
  </si>
  <si>
    <t xml:space="preserve"> METHYL CYCLOHEXANECARBOXYLATE</t>
  </si>
  <si>
    <t xml:space="preserve"> &amp;diams; METHYL CYCLOHEXANECARBOXYLATE&lt;br /&gt;&amp;diams; CYCLOHEXANECARBOXYLIC ACID, METHYL ESTER&lt;br /&gt;&amp;diams; METHYL CYCLOHEXYLFORMATE&lt;br /&gt;&amp;diams; METHYL CYCLOHEXYLCARBOXYLATE&lt;br /&gt;&amp;diams; METHYL HEXAHYDROBENZOATE</t>
  </si>
  <si>
    <t xml:space="preserve"> 583-60-8</t>
  </si>
  <si>
    <t xml:space="preserve"> 2-METHYLCYCLOHEXANONE</t>
  </si>
  <si>
    <t xml:space="preserve"> &amp;diams; 2-METHYLCYCLOHEXANONE&lt;br /&gt;&amp;diams; CYCLOHEXANONE, 2-METHYL-&lt;br /&gt;&amp;diams; 2-METHYL-1-CYCLOHEXANONE</t>
  </si>
  <si>
    <t xml:space="preserve"> 591-24-2</t>
  </si>
  <si>
    <t xml:space="preserve"> 3-METHYLCYCLOHEXANONE</t>
  </si>
  <si>
    <t xml:space="preserve"> &amp;diams; 3-METHYLCYCLOHEXANONE&lt;br /&gt;&amp;diams; CYCLOHEXANONE, 3-METHYL-&lt;br /&gt;&amp;diams; NSC-3709&lt;br /&gt;&amp;diams; 3-METHYL-1-CYCLOHEXANONE</t>
  </si>
  <si>
    <t xml:space="preserve"> 589-92-4</t>
  </si>
  <si>
    <t xml:space="preserve"> 4-METHYLCYCLOHEXANONE</t>
  </si>
  <si>
    <t xml:space="preserve"> &amp;diams; 4-METHYLCYCLOHEXANONE&lt;br /&gt;&amp;diams; CYCLOHEXANONE, 4-METHYL-&lt;br /&gt;&amp;diams; 4-METHYL-1-CYCLOHEXANONE</t>
  </si>
  <si>
    <t xml:space="preserve"> 1193-18-6</t>
  </si>
  <si>
    <t xml:space="preserve"> 3-METHYL-2-CYCLOHEXEN-1-ONE</t>
  </si>
  <si>
    <t xml:space="preserve"> &amp;diams; 3-METHYL-2-CYCLOHEXEN-1-ONE&lt;br /&gt;&amp;diams; 2-CYCLOHEXEN-1-ONE, 3-METHYL-</t>
  </si>
  <si>
    <t xml:space="preserve"> 1003050-32-5</t>
  </si>
  <si>
    <t xml:space="preserve"> N-(2-METHYLCYCLOHEXYL)-2,3,4,5,6-PENTAFLUOROBENZAMIDE</t>
  </si>
  <si>
    <t xml:space="preserve"> &amp;diams; 2,3,4,5,6-PENTAFLUORO-N-(2-METHYLCYCLOHEXYL)BENZAMIDE&lt;br /&gt;&amp;diams; N-(2-methylcyclohexyl)-2,3,4,5,6-pentafluorobenzamide&lt;br /&gt;&amp;diams; benzamide, 2,3,4,5,6-pentafluoro-N-(2-methylcyclohexyl)-</t>
  </si>
  <si>
    <t xml:space="preserve"> 541-91-3</t>
  </si>
  <si>
    <t xml:space="preserve"> 3-METHYL-1-CYCLOPENTADECANONE</t>
  </si>
  <si>
    <t xml:space="preserve"> &amp;diams; 3-METHYLCYCLOPENTADECANONE&lt;br /&gt;&amp;diams; CYCLOPENTADECANONE, 3-METHYL-&lt;br /&gt;&amp;diams; MUSCONE, DL-&lt;br /&gt;&amp;diams; MUSCONE&lt;br /&gt;&amp;diams; METHYLEXALTONE&lt;br /&gt;&amp;diams; 3-METHYL-1-CYCLOPENTADECANONE</t>
  </si>
  <si>
    <t xml:space="preserve"> 765-70-8</t>
  </si>
  <si>
    <t xml:space="preserve"> METHYLCYCLOPENTENOLONE</t>
  </si>
  <si>
    <t xml:space="preserve"> &amp;diams; METHYLCYCLOPENTENOLONE&lt;br /&gt;&amp;diams; CYCLOTENE&lt;br /&gt;&amp;diams; METHYLCYCLOPENTENOLONE (DIKETO FORM)&lt;br /&gt;&amp;diams; MAPLE LACTONE&lt;br /&gt;&amp;diams; 3-METHYL-1,2-CYCLOPENTANEDIONE&lt;br /&gt;&amp;diams; 3-METHYLCYCLOPENTANE-1,2-DIONE&lt;br /&gt;&amp;diams; 1,2-CYCLOPENTANEDIONE, 3-METHYL-</t>
  </si>
  <si>
    <t xml:space="preserve"> 2758-18-1</t>
  </si>
  <si>
    <t xml:space="preserve"> 1-METHYL-1-CYCLOPENTEN-3-ONE</t>
  </si>
  <si>
    <t xml:space="preserve"> &amp;diams; 3-METHYL-2-CYCLOPENTEN-1-ONE&lt;br /&gt;&amp;diams; 1-METHYL-1-CYCLOPENTEN-3-ONE&lt;br /&gt;&amp;diams; 2-CYCLOPENTEN-1-ONE, 3-METHYL-&lt;br /&gt;&amp;diams; 3-METHYL-2-CYCLOPENTENONE</t>
  </si>
  <si>
    <t xml:space="preserve"> 4493-42-9</t>
  </si>
  <si>
    <t xml:space="preserve"> METHYL(E)-2-(Z)-4-DECADIENOATE</t>
  </si>
  <si>
    <t xml:space="preserve"> &amp;diams; METHYL 2,4-DECADIENOATE, (E,Z)-&lt;br /&gt;&amp;diams; METHYL 2,4-DECADIENOATE, TRANS,CIS-&lt;br /&gt;&amp;diams; METHYL TRANS-2,CIS-4-DECADIENOATE&lt;br /&gt;&amp;diams; METHYL 2,4-DECADIENOATE, (2E,4Z)-&lt;br /&gt;&amp;diams; 2,4-DECADIENOIC ACID, METHYL ESTER, (2E,4Z)-&lt;br /&gt;&amp;diams; 2,4-DECADIENOIC ACID, METHYL ESTER, (E,Z)-</t>
  </si>
  <si>
    <t xml:space="preserve"> 7011-83-8</t>
  </si>
  <si>
    <t xml:space="preserve"> GAMMA-METHYLDECALACTONE</t>
  </si>
  <si>
    <t xml:space="preserve"> &amp;diams; GAMMA-METHYLDECALACTONE&lt;br /&gt;&amp;diams; DECANOIC ACID, 4-HYDROXY-4-METHYL-, GAMMA-LACTONE&lt;br /&gt;&amp;diams; DIHYDROJASMONE LACTONE&lt;br /&gt;&amp;diams; GAMMA-METHYL-GAMMA-DECALACTONE&lt;br /&gt;&amp;diams; METHYLDECALACTONE, GAMMA-&lt;br /&gt;&amp;diams; 2(3H)-FURANONE, 5-HEXYLDIHYDRO-5-METHYL-&lt;br /&gt;&amp;diams; 4-METHYLDECANOLIDE&lt;br /&gt;&amp;diams; 5-HEXYLDIHYDRO-5-METHYL-2(3H)-FURANONE&lt;br /&gt;&amp;diams; 4-HYDROXY-4-METHYLDECANOIC ACID GAMMA-LACTONE</t>
  </si>
  <si>
    <t xml:space="preserve"> 67663-01-8</t>
  </si>
  <si>
    <t xml:space="preserve"> 3-METHYL-GAMMA-DECALACTONE</t>
  </si>
  <si>
    <t xml:space="preserve"> &amp;diams; 3-METHYL-GAMMA-DECALACTONE&lt;br /&gt;&amp;diams; 2(3H)-FURANONE, 5-HEXYLDIHYDRO-4-METHYL-&lt;br /&gt;&amp;diams; 5-HEXYLDIHYDRO-4-METHYL-2(3H)-FURANONE</t>
  </si>
  <si>
    <t xml:space="preserve"> 2482-39-5</t>
  </si>
  <si>
    <t xml:space="preserve"> METHYL 2-DECENOATE</t>
  </si>
  <si>
    <t xml:space="preserve"> &amp;diams; METHYL 2-DECENOATE&lt;br /&gt;&amp;diams; 2-DECENOIC ACID, METHYL ESTER</t>
  </si>
  <si>
    <t xml:space="preserve"> 7784-98-7</t>
  </si>
  <si>
    <t xml:space="preserve"> METHYL-DELTA-IONONE</t>
  </si>
  <si>
    <t xml:space="preserve"> &amp;diams; METHYL-DELTA-IONONE&lt;br /&gt;&amp;diams; METHYLIONONE, DELTA-&lt;br /&gt;&amp;diams; 1-(2,6,6-TRIMETHYL-3-CYCLOHEXEN-1-YL)-1-PENTEN-3-ONE&lt;br /&gt;&amp;diams; 5-(2,6,6-TRIMETHYL-3-CYCLOHEXEN-1-YL)-4-PENTEN-3-ONE&lt;br /&gt;&amp;diams; 1-PENTEN-3-ONE, 1-(2,6,6-TRIMETHYL-3-CYCLOHEXEN-1-YL)-&lt;br /&gt;&amp;diams; InChIKey=ZQJCPDKTEXSWTH-CMDGGOBGSA-N&lt;br /&gt;&amp;diams; InChI=1S/C14H22O/c1-5-12(15)8-9-13-11(2)7-6-10-14(13,3)4/h6-9,11,13H,5,10H2,1-4H3/b9-8+</t>
  </si>
  <si>
    <t xml:space="preserve"> 23747-48-0</t>
  </si>
  <si>
    <t xml:space="preserve"> 5H-5-METHYL-6,7-DIHYDROCYCLOPENTA(B)PYRAZINE</t>
  </si>
  <si>
    <t xml:space="preserve"> &amp;diams; 6,7-DIHYDRO-5-METHYL-5H-CYCLOPENTAPYRAZINE&lt;br /&gt;&amp;diams; 5H-5-METHYL-6,7-DIHYDROCYCLOPENTA(B)PYRAZINE&lt;br /&gt;&amp;diams; 5H-CYCLOPENTAPYRAZINE, 6,7-DIHYDRO-5-METHYL-</t>
  </si>
  <si>
    <t xml:space="preserve"> 26486-13-5</t>
  </si>
  <si>
    <t xml:space="preserve"> 2-METHYL-4,5-DIHYDROFURAN-3-THIOL</t>
  </si>
  <si>
    <t xml:space="preserve"> &amp;diams; 4,5-DIHYDRO-2-METHYL-3-FURANTHIOL&lt;br /&gt;&amp;diams; 3-furanthiol, 4,5-dihydro-2-methyl-&lt;br /&gt;&amp;diams; 2-methyl-4,5-dihydrofuran-3-thiol&lt;br /&gt;&amp;diams; 3-mercapto-2-methyl-4,5-dihydrofuran</t>
  </si>
  <si>
    <t xml:space="preserve"> 24851-98-7</t>
  </si>
  <si>
    <t xml:space="preserve"> METHYL DIHYDROJASMONATE</t>
  </si>
  <si>
    <t xml:space="preserve"> &amp;diams; METHYL DIHYDROJASMONATE&lt;br /&gt;&amp;diams; CYCLOPENTANEACETIC ACID, 3-OXO-2-PENTYL-, METHYL ESTER&lt;br /&gt;&amp;diams; METHYL (2-PENTYL-3-OXOCYCLOPENTYL)ACETATE&lt;br /&gt;&amp;diams; METHYL (3-OXO-2-PENTYLCYCLOPENTYL)ACETATE&lt;br /&gt;&amp;diams; METHYL 3-OXO-2-PENTYLCYCLOPENTANEACETATE</t>
  </si>
  <si>
    <t xml:space="preserve"> 6638-05-7</t>
  </si>
  <si>
    <t xml:space="preserve"> 4-METHYL-2,6-DIMETHOXYPHENOL</t>
  </si>
  <si>
    <t xml:space="preserve"> &amp;diams; 4-METHYL-2,6-DIMETHOXYPHENOL&lt;br /&gt;&amp;diams; METHYLSYRINGOL&lt;br /&gt;&amp;diams; PHENOL, 2,6-DIMETHOXY-4-METHYL-&lt;br /&gt;&amp;diams; P-CRESOL, 2,6-DIMETHOXY-&lt;br /&gt;&amp;diams; 1-METHYL-3,5-DIMETHOXY-4-HYDROXYBENZENE&lt;br /&gt;&amp;diams; 2,6-DIMETHOXY-4-METHYLPHENOL&lt;br /&gt;&amp;diams; 3,5-DIMETHOXY-4-HYDROXYTOLUENE&lt;br /&gt;&amp;diams; 2,6-DIMETHOXY-P-CRESOL&lt;br /&gt;&amp;diams; 4-HYDROXY-3,5-DIMETHOXYTOLUENE&lt;br /&gt;&amp;diams; 4-METHYLSYRINGOL</t>
  </si>
  <si>
    <t xml:space="preserve"> 10072-05-6</t>
  </si>
  <si>
    <t xml:space="preserve"> METHYL N,N-DIMETHYLANTHRANILATE</t>
  </si>
  <si>
    <t xml:space="preserve"> &amp;diams; METHYL N,N-DIMETHYLANTHRANILATE&lt;br /&gt;&amp;diams; methyl 2-(dimethylamino)benzoate&lt;br /&gt;&amp;diams; benzoic acid, 2-(dimethylamino)-, methyl ester&lt;br /&gt;&amp;diams; methyl o-(dimethylamino) benzoate&lt;br /&gt;&amp;diams; anthranilic acid, N,N-dimethyl-, methyl ester&lt;br /&gt;&amp;diams; InChI=1S/C10H13NO2/c1-11(2)9-7-5-4-6-8(9)10(12)13-3/h4-7H,1-3H3&lt;br /&gt;&amp;diams; InChIKey: ZCNSBHAIPOWHJE-UHFFFAOYSA-N</t>
  </si>
  <si>
    <t xml:space="preserve"> 2270-60-2</t>
  </si>
  <si>
    <t xml:space="preserve"> METHYL 3,7-DIMETHYL-6-OCTENOATE</t>
  </si>
  <si>
    <t xml:space="preserve"> &amp;diams; METHYL RHODINOLATE&lt;br /&gt;&amp;diams; METHYL 3,7-DIMETHYL-6-OCTENOATE&lt;br /&gt;&amp;diams; METHYL CITRONELLATE&lt;br /&gt;&amp;diams; 6-OCTENOIC ACID, 3,7-DIMETHYL-, METHYL ESTER</t>
  </si>
  <si>
    <t xml:space="preserve"> 624-92-0</t>
  </si>
  <si>
    <t xml:space="preserve"> METHYL DISULFIDE</t>
  </si>
  <si>
    <t xml:space="preserve"> &amp;diams; DIMETHYL DISULFIDE&lt;br /&gt;&amp;diams; METHYL DISULFIDE&lt;br /&gt;&amp;diams; DISULFIDE, DIMETHYL&lt;br /&gt;&amp;diams; 2,3-DITHIABUTANE&lt;br /&gt;&amp;diams; (METHYLDITHIO)METHANE</t>
  </si>
  <si>
    <t xml:space="preserve"> 5616-51-3</t>
  </si>
  <si>
    <t xml:space="preserve"> 2-METHYL-1,3-DITHIOLANE</t>
  </si>
  <si>
    <t xml:space="preserve"> &amp;diams; 2-METHYL-1,3-DITHIOLANE&lt;br /&gt;&amp;diams; 2-METHYL-1,3-DITHIACYCLOPENTANE&lt;br /&gt;&amp;diams; 1,3-DITHIOLANE, 2-METHYL-</t>
  </si>
  <si>
    <t xml:space="preserve"> 122861-78-3</t>
  </si>
  <si>
    <t xml:space="preserve"> 1-(METHYLDITHIO)-2-PROPANONE</t>
  </si>
  <si>
    <t xml:space="preserve"> &amp;diams; 1-(METHYLDITHIO)-2-PROPANONE&lt;br /&gt;&amp;diams; 2-propanone, 1-(methyldithio)-</t>
  </si>
  <si>
    <t xml:space="preserve"> 75-09-2</t>
  </si>
  <si>
    <t xml:space="preserve"> METHYLENE CHLORIDE</t>
  </si>
  <si>
    <t xml:space="preserve"> &amp;diams; METHYLENE CHLORIDE&lt;br /&gt;&amp;diams; DICHLOROMETHANE&lt;br /&gt;&amp;diams; METHANE, DICHLORO-</t>
  </si>
  <si>
    <t xml:space="preserve"> COLOR OR COLORING ADJUNCT,&lt;br /&gt; FLAVOR ENHANCER,&lt;br /&gt; SOLVENT OR VEHICLE</t>
  </si>
  <si>
    <t xml:space="preserve"> 55418-52-5</t>
  </si>
  <si>
    <t xml:space="preserve"> 4-(3,4-METHYLENEDIOXYPHENYL)-2-BUTANONE</t>
  </si>
  <si>
    <t xml:space="preserve"> &amp;diams; 4-(3,4-METHYLENEDIOXYPHENYL)-2-BUTANONE&lt;br /&gt;&amp;diams; HELIOTROPYL ACETONE&lt;br /&gt;&amp;diams; PIPERONYL ACETONE&lt;br /&gt;&amp;diams; 2-BUTANONE, 4-(1,3-BENZODIOXOL-5-YL)-&lt;br /&gt;&amp;diams; 4-(1,3-BENZODIOXOL-5-YL)-2-BUTANONE&lt;br /&gt;&amp;diams; 5-(3-OXOBUTYL)-1,3-BENZODIOXOLE</t>
  </si>
  <si>
    <t xml:space="preserve"> 1205-17-0</t>
  </si>
  <si>
    <t xml:space="preserve"> 3-(3,4-METHYLENEDIOXYPHENYL)-2-METHYLPROPANAL</t>
  </si>
  <si>
    <t xml:space="preserve"> &amp;diams; ALPHA-METHYL-3,4-(METHYLENEDIOXY)HYDROCINNAMALDEHYDE&lt;br /&gt;&amp;diams; 1,3-benzodioxole-5-propanal, alpha-methyl-&lt;br /&gt;&amp;diams; hydrocinnamaldehyde, alpha-methyl-3,4-(methylenedioxy)-&lt;br /&gt;&amp;diams; alpha-methyl-1,3-benzodioxole-5-propanal&lt;br /&gt;&amp;diams; 3-(3,4-methylenedioxyphenyl)-2-methylpropanal&lt;br /&gt;&amp;diams; InChI=1S/C11H12O3/c1-8(6-12)4-9-2-3-10-11(5-9)14-7-13-10/h2-3,5-6,8H,4,7H2,1H3&lt;br /&gt;&amp;diams; InChIKey: BOPPSUHPZARXTH-UHFFFAOYSA-N</t>
  </si>
  <si>
    <t xml:space="preserve"> 977050-68-2</t>
  </si>
  <si>
    <t xml:space="preserve"> METHYL ESTERS OF FATTY ACIDS (EDIBLE)</t>
  </si>
  <si>
    <t xml:space="preserve"> &amp;diams; FATTY ACIDS, METHYL ESTERS</t>
  </si>
  <si>
    <t xml:space="preserve"> 977044-46-4</t>
  </si>
  <si>
    <t xml:space="preserve"> 2-METHYL-(3 OR 5 OR 6)-ETHOXYPYRAZINE</t>
  </si>
  <si>
    <t xml:space="preserve"> &amp;diams; 2-ETHOXY-3(OR 5 OR 6)-METHYLPYRAZINE&lt;br /&gt;&amp;diams; 2-METHYL-3(OR 5 OR 6)-ETHOXYPYRAZINE</t>
  </si>
  <si>
    <t xml:space="preserve"> 624-89-5</t>
  </si>
  <si>
    <t xml:space="preserve"> METHYL ETHYL SULFIDE</t>
  </si>
  <si>
    <t xml:space="preserve"> &amp;diams; ETHYL METHYL SULFIDE&lt;br /&gt;&amp;diams; ETHANE, (METHYLTHIO)-&lt;br /&gt;&amp;diams; (METHYLTHIO)ETHANE&lt;br /&gt;&amp;diams; SULFIDE, ETHYL METHYL&lt;br /&gt;&amp;diams; 1-(METHYLTHIO)ETHANE&lt;br /&gt;&amp;diams; 2-THIABUTANE&lt;br /&gt;&amp;diams; ETHYL METHYL THIOETHER&lt;br /&gt;&amp;diams; METHYL ETHYL SULFIDE</t>
  </si>
  <si>
    <t xml:space="preserve"> 31499-71-5</t>
  </si>
  <si>
    <t xml:space="preserve"> METHYL ETHYL TRISULFIDE</t>
  </si>
  <si>
    <t xml:space="preserve"> &amp;diams; ETHYL METHYL TRISULFIDE&lt;br /&gt;&amp;diams; METHYL ETHYL TRISULFIDE&lt;br /&gt;&amp;diams; TRISULFIDE, ETHYL METHYL&lt;br /&gt;&amp;diams; 2,3,4-TRITHIAHEXANE</t>
  </si>
  <si>
    <t xml:space="preserve"> 41270-80-8</t>
  </si>
  <si>
    <t xml:space="preserve"> METHYL N-FORMYLANTHRANILATE</t>
  </si>
  <si>
    <t xml:space="preserve"> &amp;diams; METHYL 2-FORMYLANTHRANILATE&lt;br /&gt;&amp;diams; benzoic acid, 2-(formylamino)-, methyl ester&lt;br /&gt;&amp;diams; InChI=1S/C9H9NO3/c1-13-9(12)7-4-2-3-5-8(7)10-6-11/h2-6H,1H3,(H,10,11)&lt;br /&gt;&amp;diams; InChIKey: HRNPZFOYXWWMFL-UHFFFAOYSA-N&lt;br /&gt;&amp;diams; methyl N-formylanthranilate&lt;br /&gt;&amp;diams; N-formylanthranilic acid, methyl ester&lt;br /&gt;&amp;diams; methyl 2-(formylamino)benzoate</t>
  </si>
  <si>
    <t xml:space="preserve"> 534-22-5</t>
  </si>
  <si>
    <t xml:space="preserve"> 2-METHYLFURAN</t>
  </si>
  <si>
    <t xml:space="preserve"> &amp;diams; 2-METHYLFURAN&lt;br /&gt;&amp;diams; 5-METHYLFURAN&lt;br /&gt;&amp;diams; InChI=1S/C5H6O/c1-5-3-2-4-6-5/h2-4H,1H3&lt;br /&gt;&amp;diams; InChIKey: VQKFNUFAXTZWDK-UHFFFAOYSA-N</t>
  </si>
  <si>
    <t xml:space="preserve"> 3511-32-8</t>
  </si>
  <si>
    <t xml:space="preserve"> 5-METHYL-3(2H)-FURANONE</t>
  </si>
  <si>
    <t xml:space="preserve"> &amp;diams; 5-METHYL-3(2H)-FURANONE&lt;br /&gt;&amp;diams; 3(2H)-furanone, 5-methyl-&lt;br /&gt;&amp;diams; InChI=1S/C5H6O2/c1-4-2-5(6)3-7-4/h2H,3H2,1H3&lt;br /&gt;&amp;diams; InChiKey=DFZCBMOGIYUCLI-UHFFFAOYSA-N</t>
  </si>
  <si>
    <t xml:space="preserve"> 28588-74-1</t>
  </si>
  <si>
    <t xml:space="preserve"> 2-METHYL-3-FURANTHIOL</t>
  </si>
  <si>
    <t xml:space="preserve"> &amp;diams; 2-METHYL-3-FURANTHIOL&lt;br /&gt;&amp;diams; 2-METHYL-3-FURYL MERCAPTAN&lt;br /&gt;&amp;diams; 3-FURANTHIOL, 2-METHYL-&lt;br /&gt;&amp;diams; 2-METHYL-3-MERCAPTOFURAN&lt;br /&gt;&amp;diams; 2-METHYL-3-FURYLTHIOL&lt;br /&gt;&amp;diams; 2-METHYL-3-THIOFURAN</t>
  </si>
  <si>
    <t xml:space="preserve"> 623-18-7</t>
  </si>
  <si>
    <t xml:space="preserve"> METHYL FURFURACRYLATE</t>
  </si>
  <si>
    <t xml:space="preserve"> &amp;diams; METHYL 2-FURANACRYLATE&lt;br /&gt;&amp;diams; METHYL FURFURACRYLATE&lt;br /&gt;&amp;diams; METHYL 3-(2-FURANYL)PROPENOATE&lt;br /&gt;&amp;diams; METHYL 3-(2-FURYL)ACRYLATE&lt;br /&gt;&amp;diams; METHYL 3-(2-FURANYL)-2-PROPENOATE&lt;br /&gt;&amp;diams; METHYL FURANACRYLATE&lt;br /&gt;&amp;diams; 2-PROPENOIC ACID, 3-(2-FURANYL)-, METHYL ESTER&lt;br /&gt;&amp;diams; 2-FURANACRYLIC ACID, METHYL ESTER</t>
  </si>
  <si>
    <t xml:space="preserve"> 620-02-0</t>
  </si>
  <si>
    <t xml:space="preserve"> 5-METHYLFURFURAL</t>
  </si>
  <si>
    <t xml:space="preserve"> &amp;diams; 5-METHYL-2-FURALDEHYDE&lt;br /&gt;&amp;diams; ALPHA-METHYLFURFURAL&lt;br /&gt;&amp;diams; 2-FURANCARBOXALDEHYDE, 5-METHYL-&lt;br /&gt;&amp;diams; 2-FURALDEHYDE, 5-METHYL-&lt;br /&gt;&amp;diams; 2-METHYL-5-FORMYLFURAN&lt;br /&gt;&amp;diams; 2-FORMYL-5-METHYLFURAN&lt;br /&gt;&amp;diams; 5-METHYL FURFURAL&lt;br /&gt;&amp;diams; 5-METHYL-2-FURANCARBOXALDEHYDE&lt;br /&gt;&amp;diams; 5-METHYLFURFURAL&lt;br /&gt;&amp;diams; 5-METHYL-2-FURFURAL&lt;br /&gt;&amp;diams; 5-METHYLFURFURALDEHYDE&lt;br /&gt;&amp;diams; 5-METHYLFURAN-2-CARBALDEHYDE&lt;br /&gt;&amp;diams; 5-METHYL-2-FURFURALDEHYDE&lt;br /&gt;&amp;diams; 5-METHYLFURAN-2-AL</t>
  </si>
  <si>
    <t xml:space="preserve"> 3857-25-8</t>
  </si>
  <si>
    <t xml:space="preserve"> 5-METHYLFURFURYL ALCOHOL</t>
  </si>
  <si>
    <t xml:space="preserve"> &amp;diams; 5-METHYLFURFURYL ALCOHOL&lt;br /&gt;&amp;diams; 2-furanmethanol, 5-methyl-&lt;br /&gt;&amp;diams; furfuryl alcohol, 5-methyl-&lt;br /&gt;&amp;diams; 5-methyl-2-furanmethanol&lt;br /&gt;&amp;diams; InChI=1S/C6H8O2/c1-5-2-3-6(4-7)8-5/h2-3,7H,4H2,1H3&lt;br /&gt;&amp;diams; InChIKey: VOZFDEJGHQWZHU-UHFFFAOYSA-N</t>
  </si>
  <si>
    <t xml:space="preserve"> 57500-00-2</t>
  </si>
  <si>
    <t xml:space="preserve"> METHYL FURFURYL DISULFIDE</t>
  </si>
  <si>
    <t xml:space="preserve"> &amp;diams; FURFURYL METHYL DISULFIDE&lt;br /&gt;&amp;diams; FURAN, 2-((METHYLDITHIO)METHYL)-&lt;br /&gt;&amp;diams; METHYL 2-FURYLMETHYL DISULFIDE&lt;br /&gt;&amp;diams; METHYL FURFURYL DISULFIDE&lt;br /&gt;&amp;diams; 2-((METHYLDITHIO)METHYL)FURAN</t>
  </si>
  <si>
    <t xml:space="preserve"> 59303-05-8</t>
  </si>
  <si>
    <t xml:space="preserve"> 5-METHYLFURFURYLMERCAPTAN</t>
  </si>
  <si>
    <t xml:space="preserve"> &amp;diams; 5-METHYL-2-FURANMETHANETHIOL&lt;br /&gt;&amp;diams; (5-methylfurfuryl)mercaptan&lt;br /&gt;&amp;diams; 5-methylfurfurylmercaptan&lt;br /&gt;&amp;diams; 2-furanmethanethiol, 5-methyl-</t>
  </si>
  <si>
    <t xml:space="preserve"> 94278-26-9</t>
  </si>
  <si>
    <t xml:space="preserve"> METHYL 3-(FURFURYLTHIO)PROPIONATE</t>
  </si>
  <si>
    <t xml:space="preserve"> &amp;diams; METHYL 3-((FURFURYLTHIO)PROPIONATE&lt;br /&gt;&amp;diams; propanoic acid, 3-((2-furanylmethyl)thio)-, methyl ester&lt;br /&gt;&amp;diams; methyl 3-((2-furanylmethyl)thio)propanoate</t>
  </si>
  <si>
    <t xml:space="preserve"> 611-13-2</t>
  </si>
  <si>
    <t xml:space="preserve"> METHYL 2-FUROATE</t>
  </si>
  <si>
    <t xml:space="preserve"> &amp;diams; METHYL 2-FUROATE&lt;br /&gt;&amp;diams; METHYL PYROMUCATE&lt;br /&gt;&amp;diams; 2-FURANCARBOXYLIC ACID, METHYL ESTER&lt;br /&gt;&amp;diams; METHYL 2-FURANCARBOXYLATE&lt;br /&gt;&amp;diams; 2-FUROIC ACID, METHYL ESTER&lt;br /&gt;&amp;diams; 2-(METHOXYCARBONYL)FURAN&lt;br /&gt;&amp;diams; METHYL 2-FURYLCARBOXYLATE</t>
  </si>
  <si>
    <t xml:space="preserve"> 31704-80-0</t>
  </si>
  <si>
    <t xml:space="preserve"> 3-(5-METHYL-2-FURYL)-BUTANAL</t>
  </si>
  <si>
    <t xml:space="preserve"> &amp;diams; 3-(5-METHYL-2-FURYL)BUTANAL&lt;br /&gt;&amp;diams; BETA5-DIMETHYL-2-FURANPROPANAL&lt;br /&gt;&amp;diams; BETA5-DIMETHYL-2-FURANPROPIONALDEHYDE&lt;br /&gt;&amp;diams; 3-(5-METHYL-2-FURYL)BUTYRALDEHYDE&lt;br /&gt;&amp;diams; 2-FURANPROPANAL, BETA5-DIMETHYL-&lt;br /&gt;&amp;diams; 2-FURANPROPIONALDEHYDE, BETA5-DIMETHYL-</t>
  </si>
  <si>
    <t xml:space="preserve"> 252736-40-6</t>
  </si>
  <si>
    <t xml:space="preserve"> 2-METHYL-3-FURYL 2-METHYL-3-TETRAHYDROFURYL DISULFIDE</t>
  </si>
  <si>
    <t xml:space="preserve"> &amp;diams; 2-METHYL-3-FURYL 2-METHYL-3-TETRAHYDROFURYL DISULFIDE&lt;br /&gt;&amp;diams; furan, tetrahydro-2-methyl-3-((2-methyl-3-furanyl)dithio)-&lt;br /&gt;&amp;diams; tetrahydro-2-methyl-3-((2-methyl-3-furanyl)dithio)furan</t>
  </si>
  <si>
    <t xml:space="preserve"> 333384-99-9</t>
  </si>
  <si>
    <t xml:space="preserve"> 2-METHYL-3-FURYL METHYLTHIOMETHYL DISULFIDE</t>
  </si>
  <si>
    <t xml:space="preserve"> &amp;diams; 2-METHYL-3-FURYL METHYLTHIOMETHYL DISULFIDE&lt;br /&gt;&amp;diams; methylthiomethyl 2-methyl-3-furyl disulfide&lt;br /&gt;&amp;diams; furan, 2-methyl-3-(((methylthio)methyl)dithio)-&lt;br /&gt;&amp;diams; 2-methyl-3-(((methylthio)methyl)dithio)furan&lt;br /&gt;&amp;diams; InChI=1S/C7H10OS3/c1-6-7(3-4-8-6)11-10-5-9-2/h3-4H,5H2,1-2H3&lt;br /&gt;&amp;diams; InChIKey=WQZZYRQOADSWHJ-UHFFFAOYSA-N</t>
  </si>
  <si>
    <t xml:space="preserve"> 5555-90-8</t>
  </si>
  <si>
    <t xml:space="preserve"> 3-(5-METHYL-2-FURYL)PROP-2-ENAL</t>
  </si>
  <si>
    <t xml:space="preserve"> &amp;diams; 5-METHYL-2-FURANACROLEIN&lt;br /&gt;&amp;diams; 2-propenal, 3-(5-methyl-2-furanyl)-&lt;br /&gt;&amp;diams; 2-furanacrolein, 5-methyl-&lt;br /&gt;&amp;diams; 3-(5-methyl-2-furanyl)-2-propenal&lt;br /&gt;&amp;diams; (5-methylfuryl)acrolein&lt;br /&gt;&amp;diams; 1-(5-methyl-2-furanyl)-1-propen-3-al&lt;br /&gt;&amp;diams; InChI=1S/C8H8O2/c1-7-4-5-8(10-7)3-2-6-9/h2-6H,1H3/b3-2+&lt;br /&gt;&amp;diams; InChiKey=XYYLGSWUPMPWLD-NSCUHMNNSA-N</t>
  </si>
  <si>
    <t xml:space="preserve"> 915971-43-6</t>
  </si>
  <si>
    <t xml:space="preserve"> 3-[(2-METHYL-3-FURYL)THIO]BUTANAL</t>
  </si>
  <si>
    <t xml:space="preserve"> &amp;diams; 3-((2-METHYL-3-FURANYL)THIO)BUTANAL&lt;br /&gt;&amp;diams; 3-((2-methyl-3-furyl)thio)butanal&lt;br /&gt;&amp;diams; butanal, 3-((2-methyl-3-furanyl)thio)-</t>
  </si>
  <si>
    <t xml:space="preserve"> 61295-44-1</t>
  </si>
  <si>
    <t xml:space="preserve"> (+/-)-3-[(2-METHYL-3-FURYL)THIO]-2-BUTANONE</t>
  </si>
  <si>
    <t xml:space="preserve"> &amp;diams; 3-((2-METHYL-3-FURYL)THIO)-2-BUTANONE&lt;br /&gt;&amp;diams; 2-butanone, 3-((2-methyl-3-furanyl)thio)-&lt;br /&gt;&amp;diams; 3-((2-methyl-3-furyl)sulfanyl)-2-butanone&lt;br /&gt;&amp;diams; 3-((2-methyl-3-furanyl)sulfanyl)sulfanyl)-2-butanone&lt;br /&gt;&amp;diams; 3-(2-methyl-3-furylthio)-2-butanone&lt;br /&gt;&amp;diams; 3-((2-methyl-3-furyl)thio)-2-butanone, (+-)-</t>
  </si>
  <si>
    <t xml:space="preserve"> 61295-41-8</t>
  </si>
  <si>
    <t xml:space="preserve"> 3-((2-METHYL-3-FURYL)THIO)-4-HEPTANONE</t>
  </si>
  <si>
    <t xml:space="preserve"> &amp;diams; 3-((2-METHYL-3-FURYL)THIO)-4-HEPTANONE&lt;br /&gt;&amp;diams; 1,3-DIETHYLACETONYL 3-METHYL-3-FURYL SULFIDE&lt;br /&gt;&amp;diams; 4-HEPTANONE, 3-((2-METHYL-3-FURANYL)THIO)-</t>
  </si>
  <si>
    <t xml:space="preserve"> 61295-50-9</t>
  </si>
  <si>
    <t xml:space="preserve"> 4-((2-METHYL-3-FURYL)THIO)-5-NONANONE</t>
  </si>
  <si>
    <t xml:space="preserve"> &amp;diams; 4-((2-METHYL-3-FURYL)THIO)-5-NONANONE&lt;br /&gt;&amp;diams; 1,3-DIPROPYLACETONYL 2-METHYL-3-FURYL SULFIDE&lt;br /&gt;&amp;diams; 5-NONANONE, 4-((2-METHYL-3-FURANYL)THIO)-</t>
  </si>
  <si>
    <t xml:space="preserve"> 8028-43-1</t>
  </si>
  <si>
    <t xml:space="preserve"> METHYL GLUCOSIDE-COCONUT OIL ESTER</t>
  </si>
  <si>
    <t xml:space="preserve"> &amp;diams; METHYL GLUCOSIDE, COCONUT OIL ESTER&lt;br /&gt;&amp;diams; GLUCOSIDE, METHYL, COCONUT OIL ESTER</t>
  </si>
  <si>
    <t xml:space="preserve"> PROCESSING AID,&lt;br /&gt; SURFACE-ACTIVE AGENT</t>
  </si>
  <si>
    <t xml:space="preserve"> 1604-28-0</t>
  </si>
  <si>
    <t xml:space="preserve"> 6-METHYL-3,5-HEPTADIEN-2-ONE</t>
  </si>
  <si>
    <t xml:space="preserve"> &amp;diams; 6-METHYL-3,5-HEPTADIEN-2-ONE&lt;br /&gt;&amp;diams; METHYLHEPTADIENONE&lt;br /&gt;&amp;diams; 2-METHYLHEPTA-2,4-DIEN-6-ONE&lt;br /&gt;&amp;diams; 3,5-HEPTADIEN-2-ONE, 6-METHYL-</t>
  </si>
  <si>
    <t xml:space="preserve"> 63885-09-6</t>
  </si>
  <si>
    <t xml:space="preserve"> 6-METHYLHEPTANAL</t>
  </si>
  <si>
    <t xml:space="preserve"> &amp;diams; 6-METHYLHEPTANAL&lt;br /&gt;&amp;diams; heptanal, 6-methyl-&lt;br /&gt;&amp;diams; InChI=1S/C8H16O/c1-8(2)6-4-3-5-7-9/h7-8H,3-6H2,1-2H3&lt;br /&gt;&amp;diams; InChIKey: LCEHKIHBHIJPCD-UHFFFAOYSA-N</t>
  </si>
  <si>
    <t xml:space="preserve"> 106-73-0</t>
  </si>
  <si>
    <t xml:space="preserve"> METHYL HEPTANOATE</t>
  </si>
  <si>
    <t xml:space="preserve"> &amp;diams; METHYL HEPTANOATE&lt;br /&gt;&amp;diams; METHYL HEPTOATE&lt;br /&gt;&amp;diams; METHYL HEPTYLATE&lt;br /&gt;&amp;diams; HEPTANOIC ACID, METHYL ESTER&lt;br /&gt;&amp;diams; METHYL ENANTHATE&lt;br /&gt;&amp;diams; METHYL OENANTHYLATE</t>
  </si>
  <si>
    <t xml:space="preserve"> 1188-02-9</t>
  </si>
  <si>
    <t xml:space="preserve"> 2-METHYLHEPTANOIC ACID</t>
  </si>
  <si>
    <t xml:space="preserve"> &amp;diams; 2-METHYLHEPTANOIC ACID&lt;br /&gt;&amp;diams; ALPHA-METHYLHEPTANOIC ACID&lt;br /&gt;&amp;diams; HEPTANOIC ACID, 2-METHYL-&lt;br /&gt;&amp;diams; METHYLAMYLACETIC ACID&lt;br /&gt;&amp;diams; 2-METHYLOENANTHIC ACID</t>
  </si>
  <si>
    <t xml:space="preserve"> 13019-20-0</t>
  </si>
  <si>
    <t xml:space="preserve"> 2-METHYL-3-HEPTANONE</t>
  </si>
  <si>
    <t xml:space="preserve"> &amp;diams; 2-METHYL-3-HEPTANONE&lt;br /&gt;&amp;diams; 3-HEPTANONE, 2-METHYL-&lt;br /&gt;&amp;diams; BUTYL ISOPROPYL KETONE&lt;br /&gt;&amp;diams; 2-METHYLHEPTAN-3-ONE</t>
  </si>
  <si>
    <t xml:space="preserve"> 1569-60-4</t>
  </si>
  <si>
    <t xml:space="preserve"> 6-METHYL-5-HEPTEN-2-OL</t>
  </si>
  <si>
    <t xml:space="preserve"> &amp;diams; 6-METHYL-5-HEPTEN-2-OL&lt;br /&gt;&amp;diams; 2-METHYLHEPT-2-EN-6-OL&lt;br /&gt;&amp;diams; 2-METHYL-2-HEPTEN-6-OL&lt;br /&gt;&amp;diams; 5-HEPTEN-2-OL, 6-METHYL-&lt;br /&gt;&amp;diams; 6-HYDROXY-2-METHYL-2-HEPTENE</t>
  </si>
  <si>
    <t xml:space="preserve"> 81925-81-7</t>
  </si>
  <si>
    <t xml:space="preserve"> 5-METHYL-2-HEPTEN-4-ONE</t>
  </si>
  <si>
    <t xml:space="preserve"> &amp;diams; 5-METHYL-2-HEPTEN-4-ONE&lt;br /&gt;&amp;diams; 2-HEPTEN-4-ONE, 5-METHYL-</t>
  </si>
  <si>
    <t xml:space="preserve"> 15, 16, 22</t>
  </si>
  <si>
    <t xml:space="preserve"> 20859-10-3</t>
  </si>
  <si>
    <t xml:space="preserve"> 6-METHYL-3-HEPTEN-2-ONE, TRANS-</t>
  </si>
  <si>
    <t xml:space="preserve"> &amp;diams; 6-METHYL-3-HEPTEN-2-ONE, TRANS-&lt;br /&gt;&amp;diams; 3-HEPTEN-2-ONE, 6-METHYL-, (3E)-</t>
  </si>
  <si>
    <t xml:space="preserve"> 110-93-0</t>
  </si>
  <si>
    <t xml:space="preserve"> 6-METHYL-5-HEPTEN-2-ONE</t>
  </si>
  <si>
    <t xml:space="preserve"> &amp;diams; METHYL HEPTENONE&lt;br /&gt;&amp;diams; 6-METHYL-5-HEPTEN-2-ONE&lt;br /&gt;&amp;diams; 5-HEPTEN-2-ONE, 6-METHYL-&lt;br /&gt;&amp;diams; 2-METHYL-6-OXO-2-HEPTENE&lt;br /&gt;&amp;diams; 6-METHYL-DELTA5-HEPTEN-2-ONE&lt;br /&gt;&amp;diams; 2-METHYL-2-HEPTEN-6-ONE&lt;br /&gt;&amp;diams; 2-OXO-6-METHYLHEPT-5-ENE</t>
  </si>
  <si>
    <t xml:space="preserve"> 68258-95-7</t>
  </si>
  <si>
    <t xml:space="preserve"> 6-METHYL-5-HEPTEN-2-ONE  PROPYLENEGLYCOL ACETAL</t>
  </si>
  <si>
    <t xml:space="preserve"> &amp;diams; 2,4-DIMETHYL-2-(4-METHYL-3-PENTENYL)-1,3-DIOXOLANE&lt;br /&gt;&amp;diams; 1,3-dioxolane, 2,4-dimethyl-2-(4-methyl-3-penten-1-yl)-&lt;br /&gt;&amp;diams; 2,4-dimethyl-2-(4-methyl-3-penten-1-yl)-1,3-dioxolane&lt;br /&gt;&amp;diams; 1,3-dioxolane, 2,4-dimethyl-2-(4-methyl-3-pentenyl)-&lt;br /&gt;&amp;diams; 6-methyl-5-hepten-2-one propylene glycol acetal&lt;br /&gt;&amp;diams; InChI=1S/C11H20O2/c1-9(2)6-5-7-11(4)12-8-10(3)13-11/h6,10H,5,7-8H2,1-4H3&lt;br /&gt;&amp;diams; InChIKey: WBZMYLUNPPFHTA-UHFFFAOYSA-N</t>
  </si>
  <si>
    <t xml:space="preserve"> 19162-00-6</t>
  </si>
  <si>
    <t xml:space="preserve"> 6-METHYL-5-HEPTEN-2-YL ACETATE</t>
  </si>
  <si>
    <t xml:space="preserve"> &amp;diams; 6-METHYL-5-HEPTEN-2-OL, ACETATE&lt;br /&gt;&amp;diams; 6-methyl-5-hepten-2-ol, acetate&lt;br /&gt;&amp;diams; 1,5-dimethylhex-4-enyl acetate&lt;br /&gt;&amp;diams; InChI=1S/C10H18O2/c1-8(2)6-5-7-9(3)12-10(4)11/h6,9H,5,7H2,1-4H3&lt;br /&gt;&amp;diams; InChIKey: ZAKWGQOSOHQPJA-UHFFFAOYSA-N</t>
  </si>
  <si>
    <t xml:space="preserve"> 19269-28-4</t>
  </si>
  <si>
    <t xml:space="preserve"> 3-METHYLHEXANAL</t>
  </si>
  <si>
    <t xml:space="preserve"> &amp;diams; 3-METHYLHEXANAL&lt;br /&gt;&amp;diams; hexanal, 3-methyl-&lt;br /&gt;&amp;diams; InChI=1S/C7H14O/c1-3-4-7(2)5-6-8/h6-7H,3-5H2,1-2H3&lt;br /&gt;&amp;diams; InChIKey: ZSJUABCTGCNBPF-UHFFFAOYSA-N</t>
  </si>
  <si>
    <t xml:space="preserve"> 13706-86-0</t>
  </si>
  <si>
    <t xml:space="preserve"> 5-METHYL-2,3-HEXANEDIONE</t>
  </si>
  <si>
    <t xml:space="preserve"> &amp;diams; 5-METHYL-2,3-HEXANEDIONE&lt;br /&gt;&amp;diams; ACETYL ISOVALERYL&lt;br /&gt;&amp;diams; ACETYL ISOPENTANOYL&lt;br /&gt;&amp;diams; 2,3-HEXANEDIONE, 5-METHYL-&lt;br /&gt;&amp;diams; 2-METHYLHEXA-4,5-DIONE</t>
  </si>
  <si>
    <t xml:space="preserve"> 2432-77-1</t>
  </si>
  <si>
    <t xml:space="preserve"> S-METHYL HEXANETHIOATE</t>
  </si>
  <si>
    <t xml:space="preserve"> &amp;diams; S-METHYL HEXANETHIOATE&lt;br /&gt;&amp;diams; HEXANETHIOIC ACID, S-METHYL ESTER&lt;br /&gt;&amp;diams; S-METHYL THIOHEXANOATE</t>
  </si>
  <si>
    <t xml:space="preserve"> 106-70-7</t>
  </si>
  <si>
    <t xml:space="preserve"> METHYL HEXANOATE</t>
  </si>
  <si>
    <t xml:space="preserve"> &amp;diams; METHYL HEXANOATE&lt;br /&gt;&amp;diams; METHYL CAPRONATE&lt;br /&gt;&amp;diams; METHYL HEXOATE&lt;br /&gt;&amp;diams; HEXANOIC ACID, METHYL ESTER</t>
  </si>
  <si>
    <t xml:space="preserve"> 4536-23-6</t>
  </si>
  <si>
    <t xml:space="preserve"> 2-METHYLHEXANOIC ACID</t>
  </si>
  <si>
    <t xml:space="preserve"> &amp;diams; 2-METHYLHEXANOIC ACID&lt;br /&gt;&amp;diams; ALPHA-METHYLCAPROIC ACID&lt;br /&gt;&amp;diams; HEXANOIC ACID, 2-METHYL-&lt;br /&gt;&amp;diams; 2-HEXANECARBOXYLIC ACID&lt;br /&gt;&amp;diams; 2-METHYLCAPROIC ACID</t>
  </si>
  <si>
    <t xml:space="preserve"> 628-46-6</t>
  </si>
  <si>
    <t xml:space="preserve"> 5-METHYLHEXANOIC ACID</t>
  </si>
  <si>
    <t xml:space="preserve"> &amp;diams; 5-METHYLHEXANOIC ACID&lt;br /&gt;&amp;diams; ISOHEPTANOIC ACID&lt;br /&gt;&amp;diams; ISOAMYLACETIC ACID&lt;br /&gt;&amp;diams; ISOVENANTHIC ACID&lt;br /&gt;&amp;diams; HEXANOIC ACID, 5-METHYL-&lt;br /&gt;&amp;diams; 5-METHYLHEXYLIC ACID&lt;br /&gt;&amp;diams; 5-METHYLCAPROIC ACID</t>
  </si>
  <si>
    <t xml:space="preserve"> 2396-77-2</t>
  </si>
  <si>
    <t xml:space="preserve"> METHYL 2-HEXENOATE</t>
  </si>
  <si>
    <t xml:space="preserve"> &amp;diams; METHYL 2-HEXENOATE&lt;br /&gt;&amp;diams; METHYL BETA-PROPYLACRYLATE&lt;br /&gt;&amp;diams; 2-HEXENOIC ACID, METHYL ESTER</t>
  </si>
  <si>
    <t xml:space="preserve"> 2396-78-3</t>
  </si>
  <si>
    <t xml:space="preserve"> METHYL 3-HEXENOATE</t>
  </si>
  <si>
    <t xml:space="preserve"> &amp;diams; METHYL 3-HEXENOATE&lt;br /&gt;&amp;diams; 3-HEXENOIC ACID, METHYL ESTER&lt;br /&gt;&amp;diams; METHYL HYDROSORBATE</t>
  </si>
  <si>
    <t xml:space="preserve"> 13894-62-7</t>
  </si>
  <si>
    <t xml:space="preserve"> METHYL CIS-3-HEXENOATE</t>
  </si>
  <si>
    <t xml:space="preserve"> &amp;diams; METHYL 3-HEXENOATE, CIS-&lt;br /&gt;&amp;diams; methyl 3-hexenoate, (Z)-&lt;br /&gt;&amp;diams; 3-hexenoic acid, methylester, (Z)-&lt;br /&gt;&amp;diams; methyl 3-hexenoate, (3Z)-&lt;br /&gt;&amp;diams; 3-hexenoic acid, methyl ester, (3Z)-&lt;br /&gt;&amp;diams; methyl cis-3-hexenoate&lt;br /&gt;&amp;diams; InChI=1S/C7H12O2/c1-3-4-5-6-7(8)9-2/h4-5H,3,6H2,1-2H3/b5-4-&lt;br /&gt;&amp;diams; InChiKey=XEAIHUDTEINXFG-PLNGDYQASA-N</t>
  </si>
  <si>
    <t xml:space="preserve"> 5166-53-0</t>
  </si>
  <si>
    <t xml:space="preserve"> 5-METHYL-3-HEXEN-2-ONE</t>
  </si>
  <si>
    <t xml:space="preserve"> &amp;diams; 5-METHYL-3-HEXEN-2-ONE&lt;br /&gt;&amp;diams; 3-HEXEN-2-ONE, 5-METHYL-&lt;br /&gt;&amp;diams; 2-OXO-5-METHYLHEX-3-ENE</t>
  </si>
  <si>
    <t xml:space="preserve"> 3240-09-3</t>
  </si>
  <si>
    <t xml:space="preserve"> 5-METHYL-5-HEXEN-2-ONE</t>
  </si>
  <si>
    <t xml:space="preserve"> &amp;diams; 5-METHYL-5-HEXEN-2-ONE&lt;br /&gt;&amp;diams; 5-HEXEN-2-ONE, 5-METHYL-</t>
  </si>
  <si>
    <t xml:space="preserve"> 72246-17-4</t>
  </si>
  <si>
    <t xml:space="preserve"> 5-METHYLHEXYL ACETATE</t>
  </si>
  <si>
    <t xml:space="preserve"> 4747-07-3</t>
  </si>
  <si>
    <t xml:space="preserve"> METHYL HEXYL ETHER</t>
  </si>
  <si>
    <t xml:space="preserve"> &amp;diams; METHYL HEXYL ETHER&lt;br /&gt;&amp;diams; hexane, 1-methoxy-&lt;br /&gt;&amp;diams; 1-methoxyhexane&lt;br /&gt;&amp;diams; ether, hexyl methyl&lt;br /&gt;&amp;diams; methyl hexyl ether&lt;br /&gt;&amp;diams; InChI=1S/C7H16O/c1-3-4-5-6-7-8-2/h3-7H2,1-2H3&lt;br /&gt;&amp;diams; InChIKey: ICBJCVRQDSQPGI-UHFFFAOYSA-N</t>
  </si>
  <si>
    <t xml:space="preserve"> 1192-58-1</t>
  </si>
  <si>
    <t xml:space="preserve"> 1-METHYL-1H-PYRROLE-2-CARBOXALDEHYDE</t>
  </si>
  <si>
    <t xml:space="preserve"> &amp;diams; 1-METHYLPYRROLE-2-CARBOXALDEHYDE&lt;br /&gt;&amp;diams; 1H-pyrrole-2-carboxaldehyde, 1-methyl-&lt;br /&gt;&amp;diams; pyrrole-2-carboxaldehyde, 1-methyl-&lt;br /&gt;&amp;diams; 1-methyl-1H-pyrrole-2-carboxaldehyde&lt;br /&gt;&amp;diams; 1-methyl-2-pyrrolecarboxaldehyde&lt;br /&gt;&amp;diams; 2-formyl-1-methylpyrrole&lt;br /&gt;&amp;diams; N-methylpyrrole-2-carboxaldehyde&lt;br /&gt;&amp;diams; InChI=1S/C6H7NO/c1-7-4-2-3-6(7)5-8/h2-5H,1H3&lt;br /&gt;&amp;diams; InChIKey: OUKQTRFCDKSEPL-UHFFFAOYSA-N</t>
  </si>
  <si>
    <t xml:space="preserve"> 1487-49-6</t>
  </si>
  <si>
    <t xml:space="preserve"> METHYL 3-HYDROXYBUTYRATE</t>
  </si>
  <si>
    <t xml:space="preserve"> &amp;diams; METHYL 3-HYDROXYBUTYRATE&lt;br /&gt;&amp;diams; BUTANOIC ACID, 3-HYDROXY-, METHYL ESTER&lt;br /&gt;&amp;diams; BUTYRIC ACID, 3-HYDROXY-, METHYL ESTER&lt;br /&gt;&amp;diams; METHYL 3-HYDROXYBUTANOATE&lt;br /&gt;&amp;diams; METHYL BETA-HYDROXYBUTYRATE&lt;br /&gt;&amp;diams; InChI=1S/C5H10O3/c1-4(6)3-5(7)8-2/h4,6H,3H2,1-2H3&lt;br /&gt;&amp;diams; InChIKey: LDLDJEAVRNAEBW-UHFFFAOYSA-N</t>
  </si>
  <si>
    <t xml:space="preserve"> 21188-58-9</t>
  </si>
  <si>
    <t xml:space="preserve"> METHYL 3-HYDROXYHEXANOATE</t>
  </si>
  <si>
    <t xml:space="preserve"> &amp;diams; METHYL 3-HYDROXYHEXANOATE&lt;br /&gt;&amp;diams; HEXANOIC ACID, 3-HYDROXY-, METHYL ESTER&lt;br /&gt;&amp;diams; METHYL BETA-HYDROXYCAPROATE&lt;br /&gt;&amp;diams; METHYL BETA-HYDROXYHEXANOATE&lt;br /&gt;&amp;diams; METHYL 3-HYDROXYCAPROATE</t>
  </si>
  <si>
    <t xml:space="preserve"> 40348-72-9</t>
  </si>
  <si>
    <t xml:space="preserve"> METHYL 2-HYDROXY-4-METHYLPENTANOATE</t>
  </si>
  <si>
    <t xml:space="preserve"> &amp;diams; METHYL 2-HYDROXY-4-METHYLVALERATE&lt;br /&gt;&amp;diams; METHYL 2-HYDROXYISOCAPROATE&lt;br /&gt;&amp;diams; METHYL 2-HYDROXY-4-METHYLPENTANOATE&lt;br /&gt;&amp;diams; PENTANOIC ACID, 2-HYDROXY-4-METHYL-, METHYL ESTER&lt;br /&gt;&amp;diams; VALERIC ACID, 2-HYDROXY-4-METHYL-, METHYL ESTER</t>
  </si>
  <si>
    <t xml:space="preserve"> 54957-02-7</t>
  </si>
  <si>
    <t xml:space="preserve"> ALPHA-METHYL-BETA-HYDROXYPROPYL ALPHA-METHYL-BETA-MERCAPTOPROPYL SULFIDE</t>
  </si>
  <si>
    <t xml:space="preserve"> &amp;diams; 3-((2-MERCAPTO-1-METHYLPROPYL)THIO)-2-BUTANOL&lt;br /&gt;&amp;diams; ALPHA-METHYL-BETA-HYDROXYPROPYL ALPHA-METHYL-BETA-MERCAPTOPROPYL SULFIDE&lt;br /&gt;&amp;diams; 2-BUTANOL, 3-((2-MERCAPTO-1-METHYLPROPYL)THIO)-</t>
  </si>
  <si>
    <t xml:space="preserve"> 127-43-5</t>
  </si>
  <si>
    <t xml:space="preserve"> METHYL-BETA-IONONE</t>
  </si>
  <si>
    <t xml:space="preserve"> &amp;diams; METHYL-BETA-IONONE&lt;br /&gt;&amp;diams; 1-(2,6,6-TRIMETHYL-1-CYCLOHEXEN-1-YL)-1-PENTEN-3-ONE&lt;br /&gt;&amp;diams; 1-PENTEN-3-ONE, 1-(2,6,6-TRIMETHYL-1-CYCLOHEXEN-1-YL)-&lt;br /&gt;&amp;diams; 5-(2,6,6-TRIMETHYL-1-CYCLOHEXEN-1-YL)-4-PENTEN-3-ONE&lt;br /&gt;&amp;diams; IRALDEINE, BETA-&lt;br /&gt;&amp;diams; InChI=1S/C14H22O/c1-5-12(15)8-9-13-11(2)7-6-10-14(13,3)4/h8-9H,5-7,10H2,1-4H3/b9-8+&lt;br /&gt;&amp;diams; InChIKey=LMWNGLDCJDIIBR-CMDGGOBGSA-N</t>
  </si>
  <si>
    <t xml:space="preserve"> 42075-42-3</t>
  </si>
  <si>
    <t xml:space="preserve"> METHYL ISOBUTANETHIOATE</t>
  </si>
  <si>
    <t xml:space="preserve"> &amp;diams; S-METHYL 2-METHYLPROPANETHIOATE&lt;br /&gt;&amp;diams; propanethioic acid, 2-methyl-, S-methyl ester</t>
  </si>
  <si>
    <t xml:space="preserve"> 108-10-1</t>
  </si>
  <si>
    <t xml:space="preserve"> METHYL ISOBUTYL KETONE</t>
  </si>
  <si>
    <t xml:space="preserve"> &amp;diams; 4-METHYL-2-PENTANONE&lt;br /&gt;&amp;diams; ISOPROPYLACETONE&lt;br /&gt;&amp;diams; METHYL ISOBUTYL KETONE&lt;br /&gt;&amp;diams; HEXONE&lt;br /&gt;&amp;diams; ISOBUTYL METHYL KETONE&lt;br /&gt;&amp;diams; ISOHEXANONE&lt;br /&gt;&amp;diams; 2-PENTANONE, 4-METHYL-&lt;br /&gt;&amp;diams; 2-METHYL-4-PENTANONE&lt;br /&gt;&amp;diams; 4-METHYL-2-OXOPENTANE&lt;br /&gt;&amp;diams; 2-METHYLPROPYL METHYL KETONE</t>
  </si>
  <si>
    <t xml:space="preserve"> 547-63-7</t>
  </si>
  <si>
    <t xml:space="preserve"> METHYL ISOBUTYRATE</t>
  </si>
  <si>
    <t xml:space="preserve"> &amp;diams; METHYL ISOBUTYRATE&lt;br /&gt;&amp;diams; METHYL 2-METHYLPROPANOATE&lt;br /&gt;&amp;diams; PROPANOIC ACID, 2-METHYL-, METHYL ESTER&lt;br /&gt;&amp;diams; ISOBUTYRIC ACID, METHYL ESTER&lt;br /&gt;&amp;diams; METHYL 2-METHYLPROPIONATE</t>
  </si>
  <si>
    <t xml:space="preserve"> 72437-56-0</t>
  </si>
  <si>
    <t xml:space="preserve"> METHYL ISOPENTYL DISULFIDE</t>
  </si>
  <si>
    <t xml:space="preserve"> &amp;diams; ISOAMYL METHYL DISULFIDE&lt;br /&gt;&amp;diams; methyl isopentyl disulfide&lt;br /&gt;&amp;diams; disulfide, methyl 3-methylbutyl&lt;br /&gt;&amp;diams; methyl 3-methylbutyl disulfide&lt;br /&gt;&amp;diams; disulfide, isopentyl methyl&lt;br /&gt;&amp;diams; isopentyl methyl disulfide</t>
  </si>
  <si>
    <t xml:space="preserve"> 13925-05-8</t>
  </si>
  <si>
    <t xml:space="preserve"> 2-METHYL-5-ISOPROPYLPYRAZINE</t>
  </si>
  <si>
    <t xml:space="preserve"> &amp;diams; 2-ISOPROPYL-5-METHYLPYRAZINE&lt;br /&gt;&amp;diams; PYRAZINE, 2-METHYL-5-(1-METHYLETHYL)-&lt;br /&gt;&amp;diams; PYRAZINE, 2-ISOPROPYL-5-METHYL-&lt;br /&gt;&amp;diams; 2-METHYL-5-ISOPROPYLPYRAZINE&lt;br /&gt;&amp;diams; 2-METHYL-5-(1-METHYLETHYL)PYRAZINE&lt;br /&gt;&amp;diams; 5-ISOPROPYL-2-METHYLPYRAZINE</t>
  </si>
  <si>
    <t xml:space="preserve"> 556-61-6</t>
  </si>
  <si>
    <t xml:space="preserve"> METHYL ISOTHIOCYANATE</t>
  </si>
  <si>
    <t xml:space="preserve"> &amp;diams; METHYL ISOTHIOCYANATE&lt;br /&gt;&amp;diams; ISOTHIOCYANATOMETHANE&lt;br /&gt;&amp;diams; ISOTHIOCYANIC ACID, METHYL ESTER&lt;br /&gt;&amp;diams; METHYL MUSTARD OIL&lt;br /&gt;&amp;diams; METHANE, ISOTHIOCYANATO-&lt;br /&gt;&amp;diams; InChI=1S/C2H3NS/c1-3-2-4/h1H3&lt;br /&gt;&amp;diams; InChIKey: LGDSHSYDSCRFAB-UHFFFAOYSA-N</t>
  </si>
  <si>
    <t xml:space="preserve"> 556-24-1</t>
  </si>
  <si>
    <t xml:space="preserve"> METHYL ISOVALERATE</t>
  </si>
  <si>
    <t xml:space="preserve"> &amp;diams; METHYL ISOVALERATE&lt;br /&gt;&amp;diams; METHYL ISOVALERIANATE&lt;br /&gt;&amp;diams; METHYL ISOPENTANOATE&lt;br /&gt;&amp;diams; METHYL 3-METHYLBUTYRATE&lt;br /&gt;&amp;diams; METHYL 3-METHYLBUTANOATE&lt;br /&gt;&amp;diams; BUTANOIC ACID, 3-METHYL-, METHYL ESTER&lt;br /&gt;&amp;diams; ISOVALERIC ACID, METHYL ESTER</t>
  </si>
  <si>
    <t xml:space="preserve"> 1211-29-6</t>
  </si>
  <si>
    <t xml:space="preserve"> METHYL JASMONATE</t>
  </si>
  <si>
    <t xml:space="preserve"> &amp;diams; METHYL JASMONATE&lt;br /&gt;&amp;diams; METHYL (2-PENT-2-ENYL-3-OXO-1-CYCLOPENTYL)ACETATE&lt;br /&gt;&amp;diams; METHYL CIS-JASMONATE&lt;br /&gt;&amp;diams; CYCLOPENTANEACETIC ACID, 3-OXO-2-(2-PENTENYL)-, METHYL ESTER, (1R-(1ALPHA,2BETA(Z)))-&lt;br /&gt;&amp;diams; METHYL 3-OXO-2-(2-PENTENYL)CYCLOPENTANEACETATE, (1R-(1ALPHA,2BETA(Z)))-&lt;br /&gt;&amp;diams; CYCLOPENTANEACETIC ACID, 3-OXO-2-(2-PENTENYL)-, METHYL ESTER, (Z)-TRANS-&lt;br /&gt;&amp;diams; METHYL 3-OXO-2-(2-PENTENYL)CYCLOPENTANEACETATE, (Z)-TRANS-&lt;br /&gt;&amp;diams; METHYL JASMONATE, (-)-</t>
  </si>
  <si>
    <t xml:space="preserve"> 111-82-0</t>
  </si>
  <si>
    <t xml:space="preserve"> METHYL LAURATE</t>
  </si>
  <si>
    <t xml:space="preserve"> &amp;diams; METHYL LAURATE&lt;br /&gt;&amp;diams; METHYL DODECANOATE&lt;br /&gt;&amp;diams; METHYL DODECYLATE&lt;br /&gt;&amp;diams; DODECANOIC ACID, METHYL ESTER&lt;br /&gt;&amp;diams; LAURIC ACID, METHYL ESTER&lt;br /&gt;&amp;diams; METHYL LAURINATE</t>
  </si>
  <si>
    <t xml:space="preserve"> 624-45-3</t>
  </si>
  <si>
    <t xml:space="preserve"> METHYL LEVULINATE</t>
  </si>
  <si>
    <t xml:space="preserve"> &amp;diams; METHYL LEVULINATE&lt;br /&gt;&amp;diams; METHYL 4-OXOPENTANOATE&lt;br /&gt;&amp;diams; levulinic acid, methyl ester&lt;br /&gt;&amp;diams; pentanoic acid, 4-oxo-, methyl ester&lt;br /&gt;&amp;diams; InChI=1S/C6H10O3/c1-5(7)3-4-6(8)9-2/h3-4H2,1-2H3&lt;br /&gt;&amp;diams; InChIKey: UAGJVSRUFNSIHR-UHFFFAOYSA-N</t>
  </si>
  <si>
    <t xml:space="preserve"> 977136-80-3</t>
  </si>
  <si>
    <t xml:space="preserve"> METHYL LINOLEATE (48%) METHYL LINOLENATE (52%) MIXTURE</t>
  </si>
  <si>
    <t xml:space="preserve"> &amp;diams; METHYL LINOLEATE (48%)/METHYL LINOLENATE (52%) MIXTURE&lt;br /&gt;&amp;diams; METHYL 9,12-OCTADECADIENOATE, (Z,Z)-/METHYL 9,12,15-OCTADECATRIENOATE, (Z,Z,Z)- MIXTURE</t>
  </si>
  <si>
    <t xml:space="preserve"> 74-93-1</t>
  </si>
  <si>
    <t xml:space="preserve"> METHYL MERCAPTAN</t>
  </si>
  <si>
    <t xml:space="preserve"> &amp;diams; METHANETHIOL&lt;br /&gt;&amp;diams; MERCAPTOMETHANE&lt;br /&gt;&amp;diams; METHYL MERCAPTAN&lt;br /&gt;&amp;diams; METHYL SULFHYDRATE&lt;br /&gt;&amp;diams; THIOMETHYL ALCOHOL</t>
  </si>
  <si>
    <t xml:space="preserve"> 54051-19-3</t>
  </si>
  <si>
    <t xml:space="preserve"> METHYL 3-MERCAPTOBUTANOATE</t>
  </si>
  <si>
    <t xml:space="preserve"> &amp;diams; METHYL 3-MERCAPTOBUTANOATE&lt;br /&gt;&amp;diams; butanoic acid, 3-mercapto-, methyl ester&lt;br /&gt;&amp;diams; butyric acid, 3-mercapto-, methyl ester&lt;br /&gt;&amp;diams; methyl 3-mercaptobutyrate</t>
  </si>
  <si>
    <t xml:space="preserve"> 80-62-6</t>
  </si>
  <si>
    <t xml:space="preserve"> METHYL METHACRYLATE</t>
  </si>
  <si>
    <t xml:space="preserve"> &amp;diams; METHYL METHACRYLATE&lt;br /&gt;&amp;diams; METHYL 2-METHYL-2-PROPENOATE&lt;br /&gt;&amp;diams; METHACRYLIC ACID METHYL ESTER&lt;br /&gt;&amp;diams; 2-PROPENOIC ACID, 2-METHYL-, METHYL ESTER&lt;br /&gt;&amp;diams; METHYL 2-METHACRYLATE&lt;br /&gt;&amp;diams; 2-(METHOXYCARBONYL)-1-PROPENE</t>
  </si>
  <si>
    <t xml:space="preserve"> 606-45-1</t>
  </si>
  <si>
    <t xml:space="preserve"> METHYL O-METHOXYBENZOATE</t>
  </si>
  <si>
    <t xml:space="preserve"> &amp;diams; DIMETHYL SALICYLATE&lt;br /&gt;&amp;diams; METHYL O-METHOXYBENZOATE&lt;br /&gt;&amp;diams; METHOXY METHYLBENZOATE, O-&lt;br /&gt;&amp;diams; METHYL O-ANISATE&lt;br /&gt;&amp;diams; METHYL SALICYLATE O-METHYL ETHER&lt;br /&gt;&amp;diams; BENZOIC ACID, 2-METHOXY-, METHYL ESTER&lt;br /&gt;&amp;diams; METHYL 2-METHOXYBENZOATE&lt;br /&gt;&amp;diams; O-ANISIC ACID, METHYL ESTER</t>
  </si>
  <si>
    <t xml:space="preserve"> 1076-56-8</t>
  </si>
  <si>
    <t xml:space="preserve"> 1-METHYL-3-METHOXY-4-ISOPROPYLBENZENE</t>
  </si>
  <si>
    <t xml:space="preserve"> &amp;diams; 2-ISOPROPYL-5-METHYLANISOLE&lt;br /&gt;&amp;diams; BENZENE, 2-METHOXY-4-METHYL-1-(1-METHYLETHYL)-&lt;br /&gt;&amp;diams; ANISOLE, 2-ISOPROPYL-5-METHYL-&lt;br /&gt;&amp;diams; METHYL THYMYL ETHER&lt;br /&gt;&amp;diams; METHYLTHYMOL, O-&lt;br /&gt;&amp;diams; THYMOL METHYL ETHER&lt;br /&gt;&amp;diams; 1-METHYL-3-METHOXY-4-ISOPROPYLBENZENE&lt;br /&gt;&amp;diams; 3-METHOXY-P-CYMENE&lt;br /&gt;&amp;diams; 2-METHOXY-4-METHYL-1-(1-METHYLETHYL)BENZENE&lt;br /&gt;&amp;diams; 1-ISOPROPYL-2-METHOXY-4-METHYLBENZENE&lt;br /&gt;&amp;diams; 4-ISOPROPYL-3-METHOXYTOLUENE</t>
  </si>
  <si>
    <t xml:space="preserve"> 38205-64-0</t>
  </si>
  <si>
    <t xml:space="preserve"> 2-METHYL-5-METHOXYTHIAZOLE</t>
  </si>
  <si>
    <t xml:space="preserve"> &amp;diams; 5-METHOXY-2-METHYLTHIAZOLE&lt;br /&gt;&amp;diams; THIAZOLE, 5-METHOXY-2-METHYL-&lt;br /&gt;&amp;diams; 2-METHYL-5-METHOXYTHIAZOLE</t>
  </si>
  <si>
    <t xml:space="preserve"> 85-91-6</t>
  </si>
  <si>
    <t xml:space="preserve"> METHYL N-METHYLANTHRANILATE</t>
  </si>
  <si>
    <t xml:space="preserve"> &amp;diams; DIMETHYL ANTHRANILATE&lt;br /&gt;&amp;diams; BENZOIC ACID, 2-(METHYLAMINO)-, METHYL ESTER&lt;br /&gt;&amp;diams; ANTHRANILIC ACID, N-METHYL-, METHYL ESTER&lt;br /&gt;&amp;diams; METHYL N-METHYLANTHRANILATE&lt;br /&gt;&amp;diams; METHYL O-METHYLAMINOBENZOATE&lt;br /&gt;&amp;diams; METHYL 2-METHYLAMINOBENZOATE&lt;br /&gt;&amp;diams; 2-METHYLAMINO METHYL BENZOATE</t>
  </si>
  <si>
    <t xml:space="preserve"> 23747-45-7</t>
  </si>
  <si>
    <t xml:space="preserve"> S-METHYL 3-METHYLBUTANETHIOATE</t>
  </si>
  <si>
    <t xml:space="preserve"> &amp;diams; S-METHYL 3-METHYLTHIOBUTYRATE&lt;br /&gt;&amp;diams; BUTANETHIOIC ACID, 3-METHYL-, S-METHYL ESTER&lt;br /&gt;&amp;diams; BUTYRIC ACID, 3-METHYLTHIO-, S-METHYL ESTER&lt;br /&gt;&amp;diams; METHANETHIOL ISOVALERATE&lt;br /&gt;&amp;diams; S-METHYL 3-METHYLBUTANETHIOATE</t>
  </si>
  <si>
    <t xml:space="preserve"> 233666-09-6</t>
  </si>
  <si>
    <t xml:space="preserve"> METHYL 3-METHYL-1-BUTENYL DISULFIDE</t>
  </si>
  <si>
    <t xml:space="preserve"> &amp;diams; METHYL 3-METHYL-1-BUTENYL DISULFIDE&lt;br /&gt;&amp;diams; DISULFIDE, METHYL 3-METHYL-1-BUTENYL</t>
  </si>
  <si>
    <t xml:space="preserve"> 15186-51-3</t>
  </si>
  <si>
    <t xml:space="preserve"> 3-METHYL-2(3-METHYLBUT-2-EN-1-YL)FURAN</t>
  </si>
  <si>
    <t xml:space="preserve"> &amp;diams; 3-METHYL-2-(3-METHYL-2BUTENYL)FURAN&lt;br /&gt;&amp;diams; furan, 3-methyl-2-(3-methyl-2-butenyl)&lt;br /&gt;&amp;diams; InChI=1S/C10H14O/c1-8(2)4-5-10-9(3)6-7-11-10/h4,6-7H,5H2,1-3H3&lt;br /&gt;&amp;diams; InChIKey: UTSGPHXOHJSDBC-UHFFFAOYSA-N</t>
  </si>
  <si>
    <t xml:space="preserve"> 868-57-5</t>
  </si>
  <si>
    <t xml:space="preserve"> METHYL 2-METHYLBUTYRATE</t>
  </si>
  <si>
    <t xml:space="preserve"> &amp;diams; METHYL 2-METHYLBUTYRATE&lt;br /&gt;&amp;diams; BUTANOIC ACID, 2-METHYL-, METHYL ESTER&lt;br /&gt;&amp;diams; BUTYRIC ACID, 2-METHYL-, METHYL ESTER&lt;br /&gt;&amp;diams; METHYL 2-METHYLBUTANOATE&lt;br /&gt;&amp;diams; METHYL ALPHA-METHYLBUTYRATE&lt;br /&gt;&amp;diams; METHYL ALPHA-METHYLBUTANOATE</t>
  </si>
  <si>
    <t xml:space="preserve"> 65505-17-1</t>
  </si>
  <si>
    <t xml:space="preserve"> METHYL 2-METHYL-3-FURYL DISULFIDE</t>
  </si>
  <si>
    <t xml:space="preserve"> &amp;diams; METHYL 2-METHYL-3-FURYL DISULFIDE&lt;br /&gt;&amp;diams; FURAN, 2-METHYL-3-(METHYLDITHIO)-&lt;br /&gt;&amp;diams; 2-METHYL-3-(METHYLDITHIO)FURAN</t>
  </si>
  <si>
    <t xml:space="preserve"> 61122-71-2</t>
  </si>
  <si>
    <t xml:space="preserve"> S-METHYL 4-METHYLPENTANETHIOATE</t>
  </si>
  <si>
    <t xml:space="preserve"> &amp;diams; S-METHYL 4-METHYLPENTANETHIOATE&lt;br /&gt;&amp;diams; PENTANETHIOIC ACID, 4-METHYL-, S-METHYL ESTER</t>
  </si>
  <si>
    <t xml:space="preserve"> 2177-77-7</t>
  </si>
  <si>
    <t xml:space="preserve"> METHYL 2-METHYLPENTANOATE</t>
  </si>
  <si>
    <t xml:space="preserve"> &amp;diams; METHYL 2-METHYLVALERATE&lt;br /&gt;&amp;diams; METHYL 2-METHYLPENTANOATE&lt;br /&gt;&amp;diams; PENTANOIC ACID, 2-METHYL-, METHYL ESTER&lt;br /&gt;&amp;diams; VALERIC ACID, 2-METHYL-, METHYL ESTER</t>
  </si>
  <si>
    <t xml:space="preserve"> 35379-09-0</t>
  </si>
  <si>
    <t xml:space="preserve"> METHYL 2-METHYLPHENYL DISULFIDE</t>
  </si>
  <si>
    <t xml:space="preserve"> &amp;diams; METHYL O-TOLYL DISULFIDE&lt;br /&gt;&amp;diams; methyl 2-methylphenyl disulfide&lt;br /&gt;&amp;diams; disulfide, methyl 2-methylphenyl</t>
  </si>
  <si>
    <t xml:space="preserve"> 16630-66-3</t>
  </si>
  <si>
    <t xml:space="preserve"> METHYL (METHYLTHIO)ACETATE</t>
  </si>
  <si>
    <t xml:space="preserve"> &amp;diams; METHYL (METHYLTHIO)ACETATE&lt;br /&gt;&amp;diams; ACETIC ACID, (METHYLTHIO)-, METHYL ESTER&lt;br /&gt;&amp;diams; METHYL 2-(METHYLTHIO)ACETATE</t>
  </si>
  <si>
    <t xml:space="preserve"> 207983-28-6</t>
  </si>
  <si>
    <t xml:space="preserve"> METHYL 3-(METHYLTHIO)BUTANOATE</t>
  </si>
  <si>
    <t xml:space="preserve"> &amp;diams; METHYL 3-(METHYLTHIO)BUTANOATE&lt;br /&gt;&amp;diams; butanoic acid, 3-(methylthio)-, methyl ester</t>
  </si>
  <si>
    <t xml:space="preserve"> 89534-74-7</t>
  </si>
  <si>
    <t xml:space="preserve"> 2-METHYL-1-METHYLTHIO-2-BUTENE</t>
  </si>
  <si>
    <t xml:space="preserve"> &amp;diams; METHYL 2-METHYL-2-BUTENYL SULFIDE&lt;br /&gt;&amp;diams; 2-butene, 2-methyl-1-(methylthio)-&lt;br /&gt;&amp;diams; sulfide, methyl 2-methyl-2-butenyl&lt;br /&gt;&amp;diams; 2-methyl-1-(methylthio)-2-butene</t>
  </si>
  <si>
    <t xml:space="preserve"> 42075-45-6</t>
  </si>
  <si>
    <t xml:space="preserve"> METHYL 2-METHYLTHIOBUTYRATE</t>
  </si>
  <si>
    <t xml:space="preserve"> &amp;diams; S-METHYL 2-METHYLBUTANETHIOATE&lt;br /&gt;&amp;diams; BUTANETHIOIC ACID, 2-METHYL-, S-METHYL ESTER&lt;br /&gt;&amp;diams; METHYLTHIO 2-METHYLBUTYRATE&lt;br /&gt;&amp;diams; METHYL 2-METHYLTHIOBUTYRATE&lt;br /&gt;&amp;diams; METHYL 2-METHYL(THIOBUTYRATE)</t>
  </si>
  <si>
    <t xml:space="preserve"> 53053-51-3</t>
  </si>
  <si>
    <t xml:space="preserve"> METHYL 4-(METHYLTHIO)BUTYRATE</t>
  </si>
  <si>
    <t xml:space="preserve"> &amp;diams; METHYL 4-(METHYLTHIO)BUTYRATE&lt;br /&gt;&amp;diams; BUTANOIC ACID, 4-(METHYLTHIO)-, METHYL ESTER&lt;br /&gt;&amp;diams; METHYL 4-(METHYLTHIO)BUTANOATE&lt;br /&gt;&amp;diams; METHYL 4-METHYLTHIOBUTYRATE&lt;br /&gt;&amp;diams; METHYL GAMMA-(METHYLTHIO)BUTYRATE&lt;br /&gt;&amp;diams; METHYL GAMMA-(METHYLMERCAPTO)BUTYRATE</t>
  </si>
  <si>
    <t xml:space="preserve"> 13678-59-6</t>
  </si>
  <si>
    <t xml:space="preserve"> 2-METHYL-5-(METHYLTHIO)FURAN</t>
  </si>
  <si>
    <t xml:space="preserve"> &amp;diams; 2-METHYL-5-(METHYLTHIO)FURAN&lt;br /&gt;&amp;diams; FURAN, 2-METHYL-5-(METHYLTHIO)-&lt;br /&gt;&amp;diams; METHYL 5-METHYLFURYL SULFIDE&lt;br /&gt;&amp;diams; 2-METHYL-5-METHYLTHIOFURAN&lt;br /&gt;&amp;diams; 5-METHYL-2-(METHYLTHIO)FURAN</t>
  </si>
  <si>
    <t xml:space="preserve"> 63012-97-5</t>
  </si>
  <si>
    <t xml:space="preserve"> 2-METHYL-3-(METHYLTHIO)FURAN</t>
  </si>
  <si>
    <t xml:space="preserve"> &amp;diams; 2-METHYL-3-(METHYLTHIO)FURAN&lt;br /&gt;&amp;diams; FURAN, 2-METHYL-3-(METHYLTHIO)-</t>
  </si>
  <si>
    <t xml:space="preserve"> 42474-44-2</t>
  </si>
  <si>
    <t xml:space="preserve"> METHYL (METHYLTHIO)METHYL DISULFIDE</t>
  </si>
  <si>
    <t xml:space="preserve"> &amp;diams; METHYL (METHYLTHIO)METHYL DISULFIDE&lt;br /&gt;&amp;diams; (METHYLDITHIO)(METHYLTHIO)METHANE&lt;br /&gt;&amp;diams; DISULFIDE, METHYL (METHYLTHIO)METHYL&lt;br /&gt;&amp;diams; 2,3,5-TRITHIAHEXANE&lt;br /&gt;&amp;diams; 2,4,5-TRITHIAHEXANE</t>
  </si>
  <si>
    <t xml:space="preserve"> 99910-84-6</t>
  </si>
  <si>
    <t xml:space="preserve"> 4-METHYL-2-(METHYLTHIOMETHYL)-2-HEXENAL</t>
  </si>
  <si>
    <t xml:space="preserve"> &amp;diams; 4-METHYL-2-(METHYLTHIOMETHYL)-2-HEXENAL&lt;br /&gt;&amp;diams; 2-hexenal, 4-methyl-2-((methylthio)methyl)-&lt;br /&gt;&amp;diams; 4-methyl-2-((methylthio)methyl)-2-hexenal</t>
  </si>
  <si>
    <t xml:space="preserve"> 85407-25-6</t>
  </si>
  <si>
    <t xml:space="preserve"> 5-METHYL-2-(METHYLTHIOMETHYL)-2-HEXENAL</t>
  </si>
  <si>
    <t xml:space="preserve"> &amp;diams; 5-METHYL-2-(METHYLTHIOMETHYL)-2-HEXENAL&lt;br /&gt;&amp;diams; 2-hexenal, 5-methyl-2-((methylthio)methyl)-&lt;br /&gt;&amp;diams; 5-methyl-2-((methylthio)methyl)-2-hexenal</t>
  </si>
  <si>
    <t xml:space="preserve"> 40878-73-7</t>
  </si>
  <si>
    <t xml:space="preserve"> 4-METHYL-2-(METHYLTHIOMETHYL)-2-PENTENAL</t>
  </si>
  <si>
    <t xml:space="preserve"> &amp;diams; 4-METHYL-2-(METHYLTHIOMETHYL)-2-PENTANAL&lt;br /&gt;&amp;diams; 2-pentenal-, 4-methyl-2-(methylthio)methyl-&lt;br /&gt;&amp;diams; 2-methylmercaptomethyl-4-methylpent-2-enal&lt;br /&gt;&amp;diams; 4-methyl-2-((methylthio)methyl)-2-pentanal</t>
  </si>
  <si>
    <t xml:space="preserve"> 13532-18-8</t>
  </si>
  <si>
    <t xml:space="preserve"> METHYL 3-METHYLTHIOPROPIONATE</t>
  </si>
  <si>
    <t xml:space="preserve"> &amp;diams; METHYL 3-METHYLTHIOPROPIONATE&lt;br /&gt;&amp;diams; METHYL BETA-METHYLMERCAPTOPROPIONATE&lt;br /&gt;&amp;diams; METHYL BETA-METHYLTHIOPROPIONATE&lt;br /&gt;&amp;diams; METHYL 3-(METHYLTHIO)PROPIONATE&lt;br /&gt;&amp;diams; METHYL 3-(METHYLTHIO)PROPANOATE&lt;br /&gt;&amp;diams; METHYL BETA-METHIOPROPIONATE&lt;br /&gt;&amp;diams; PROPANOIC ACID, 3-(METHYLTHIO)-, METHYL ESTER&lt;br /&gt;&amp;diams; PROPIONIC ACID, 3-(METHYLTHIO)-, METHYL ESTER</t>
  </si>
  <si>
    <t xml:space="preserve"> 67952-65-2</t>
  </si>
  <si>
    <t xml:space="preserve"> METHYL-(3 OR 5 OR 6)-(METHYLTHIO)PYRAZINE (MIXTURE OF ISOMERS)</t>
  </si>
  <si>
    <t xml:space="preserve"> &amp;diams; METHYL(METHYLTHIO)PYRAZINE&lt;br /&gt;&amp;diams; (METHYLTHIO)METHYLPYRAZINE&lt;br /&gt;&amp;diams; PYRAZINE, METHYL(METHYLTHIO)-&lt;br /&gt;&amp;diams; 2-METHYL-3(OR 5 OR 6)-(METHYLTHIO)PYRAZINE&lt;br /&gt;&amp;diams; 3(OR 5 OR 6)-(METHYLTHIO)-2-METHYLPYRAZINE</t>
  </si>
  <si>
    <t xml:space="preserve"> 2412-80-8</t>
  </si>
  <si>
    <t xml:space="preserve"> METHYL 4-METHYLVALERATE</t>
  </si>
  <si>
    <t xml:space="preserve"> &amp;diams; METHYL 4-METHYLVALERATE&lt;br /&gt;&amp;diams; METHYL 4-METHYLPENTANOATE&lt;br /&gt;&amp;diams; METHYL ISOCAPROATE&lt;br /&gt;&amp;diams; METHYL ISOBUTYLACETATE&lt;br /&gt;&amp;diams; METHYL ISOHEXANOATE&lt;br /&gt;&amp;diams; PENTANOIC ACID, 4-METHYL-, METHYL ESTER&lt;br /&gt;&amp;diams; VALERIC ACID, 4-METHYL-, METHYL ESTER</t>
  </si>
  <si>
    <t xml:space="preserve"> 124-10-7</t>
  </si>
  <si>
    <t xml:space="preserve"> METHYL MYRISTATE</t>
  </si>
  <si>
    <t xml:space="preserve"> &amp;diams; METHYL MYRISTATE&lt;br /&gt;&amp;diams; METHYL TETRADECANOATE&lt;br /&gt;&amp;diams; TETRADECANOIC ACID, METHYL ESTER&lt;br /&gt;&amp;diams; MYRISTIC ACID, METHYL ESTER</t>
  </si>
  <si>
    <t xml:space="preserve"> 90-12-0</t>
  </si>
  <si>
    <t xml:space="preserve"> 1-METHYLNAPHTHALENE</t>
  </si>
  <si>
    <t xml:space="preserve"> &amp;diams; 1-METHYLNAPHTHALENE&lt;br /&gt;&amp;diams; ALPHA-METHYLNAPHTHALENE&lt;br /&gt;&amp;diams; NAPHTHALENE, 1-METHYL-</t>
  </si>
  <si>
    <t xml:space="preserve"> 93-08-3</t>
  </si>
  <si>
    <t xml:space="preserve"> METHYL BETA-NAPHTHYL KETONE</t>
  </si>
  <si>
    <t xml:space="preserve"> &amp;diams; METHYL BETA-NAPHTHYL KETONE&lt;br /&gt;&amp;diams; BETA-NAPHTHYL METHYL KETONE&lt;br /&gt;&amp;diams; BETA-ACETYLNAPHTHALENE&lt;br /&gt;&amp;diams; BETA-ACETONAPHTHONE&lt;br /&gt;&amp;diams; CETONE D&lt;br /&gt;&amp;diams; ETHANONE, 1-(2-NAPHTHALENYL)-&lt;br /&gt;&amp;diams; ORANGER CRYSTALS&lt;br /&gt;&amp;diams; 2'-ACETONAPHTHONE&lt;br /&gt;&amp;diams; 1-(2-NAPHTHALENYL)ETHANONE&lt;br /&gt;&amp;diams; 2-ACETYLNAPHTHALENE&lt;br /&gt;&amp;diams; 2-NAPHTHYL METHYL KETONE</t>
  </si>
  <si>
    <t xml:space="preserve"> 93-60-7</t>
  </si>
  <si>
    <t xml:space="preserve"> METHYL NICOTINATE</t>
  </si>
  <si>
    <t xml:space="preserve"> &amp;diams; METHYL NICOTINATE&lt;br /&gt;&amp;diams; METHYL 3-PYRIDINECARBOXYLATE&lt;br /&gt;&amp;diams; 3-CARBOMETHOXYPYRIDINE&lt;br /&gt;&amp;diams; 3-PYRIDINECARBOXYLIC ACID, METHYL ESTER&lt;br /&gt;&amp;diams; NICOTINIC ACID, METHYL ESTER&lt;br /&gt;&amp;diams; 3-(METHOXYCARBONYL)PYRIDINE&lt;br /&gt;&amp;diams; (METHOXYCARBONYL)PYRIDINE, M-</t>
  </si>
  <si>
    <t xml:space="preserve"> 113486-29-6</t>
  </si>
  <si>
    <t xml:space="preserve"> 3-METHYL-2,4-NONANEDIONE</t>
  </si>
  <si>
    <t xml:space="preserve"> &amp;diams; 3-METHYL-2,4-NONANEDIONE&lt;br /&gt;&amp;diams; 2,4-nonanedione, 3-methyl-</t>
  </si>
  <si>
    <t xml:space="preserve"> 1731-84-6</t>
  </si>
  <si>
    <t xml:space="preserve"> METHYL NONANOATE</t>
  </si>
  <si>
    <t xml:space="preserve"> &amp;diams; METHYL NONANOATE&lt;br /&gt;&amp;diams; METHYL PELARGONATE&lt;br /&gt;&amp;diams; METHYL NONYLATE&lt;br /&gt;&amp;diams; NONANOIC ACID, METHYL ESTER</t>
  </si>
  <si>
    <t xml:space="preserve"> 45019-28-1</t>
  </si>
  <si>
    <t xml:space="preserve"> 4-METHYLNONANOIC ACID</t>
  </si>
  <si>
    <t xml:space="preserve"> &amp;diams; 4-METHYLNONANOIC ACID&lt;br /&gt;&amp;diams; NONANOIC ACID, 4-METHYL-&lt;br /&gt;&amp;diams; 4-METHYLPELARGONIC ACID</t>
  </si>
  <si>
    <t xml:space="preserve"> 111-79-5</t>
  </si>
  <si>
    <t xml:space="preserve"> METHYL 2-NONENOATE</t>
  </si>
  <si>
    <t xml:space="preserve"> &amp;diams; METHYL 2-NONENOATE&lt;br /&gt;&amp;diams; NEOFOLIONE&lt;br /&gt;&amp;diams; METHYL NONYLENATE&lt;br /&gt;&amp;diams; 2-NONENOIC ACID, METHYL ESTER</t>
  </si>
  <si>
    <t xml:space="preserve"> 13481-87-3</t>
  </si>
  <si>
    <t xml:space="preserve"> METHYL 3-NONENOATE</t>
  </si>
  <si>
    <t xml:space="preserve"> &amp;diams; METHYL 3-NONENOATE&lt;br /&gt;&amp;diams; 3-NONENOIC ACID, METHYL ESTER</t>
  </si>
  <si>
    <t xml:space="preserve"> 111-80-8</t>
  </si>
  <si>
    <t xml:space="preserve"> METHYL 2-NONYNOATE</t>
  </si>
  <si>
    <t xml:space="preserve"> &amp;diams; METHYL 2-NONYNOATE&lt;br /&gt;&amp;diams; METHYL OCTIN CARBONATE&lt;br /&gt;&amp;diams; METHYLOCTYNE CARBONATE&lt;br /&gt;&amp;diams; METHYLOCTYNE CARBOXYLATE&lt;br /&gt;&amp;diams; 2-NONYNOIC ACID, METHYL ESTER</t>
  </si>
  <si>
    <t xml:space="preserve"> 7786-29-0</t>
  </si>
  <si>
    <t xml:space="preserve"> 2-METHYLOCTANAL</t>
  </si>
  <si>
    <t xml:space="preserve"> &amp;diams; 2-METHYLOCTANAL&lt;br /&gt;&amp;diams; METHYL HEXYL ACETALDEHYDE&lt;br /&gt;&amp;diams; OCTANAL, 2-METHYL-&lt;br /&gt;&amp;diams; ALPHA-METHYLOCTANAL&lt;br /&gt;&amp;diams; 2-METHYLOCTANALDEHYDE</t>
  </si>
  <si>
    <t xml:space="preserve"> 30689-75-9</t>
  </si>
  <si>
    <t xml:space="preserve"> (+/-)-6-METHYLOCTANAL</t>
  </si>
  <si>
    <t xml:space="preserve"> &amp;diams; 6-METHYLOCTANAL&lt;br /&gt;&amp;diams; octanal, 6-methyl-</t>
  </si>
  <si>
    <t xml:space="preserve"> 111-11-5</t>
  </si>
  <si>
    <t xml:space="preserve"> METHYL OCTANOATE</t>
  </si>
  <si>
    <t xml:space="preserve"> &amp;diams; METHYL OCTANOATE&lt;br /&gt;&amp;diams; METHYL OCTYLATE&lt;br /&gt;&amp;diams; OCTANOIC ACID, METHYL ESTER</t>
  </si>
  <si>
    <t xml:space="preserve"> 54947-74-9</t>
  </si>
  <si>
    <t xml:space="preserve"> 4-METHYLOCTANOIC ACID</t>
  </si>
  <si>
    <t xml:space="preserve"> &amp;diams; 4-METHYLOCTANOIC ACID&lt;br /&gt;&amp;diams; OCTANOIC ACID, 4-METHYL-&lt;br /&gt;&amp;diams; 4-METHYLCAPRYLIC ACID</t>
  </si>
  <si>
    <t xml:space="preserve"> 73757-27-4</t>
  </si>
  <si>
    <t xml:space="preserve"> 2-METHYL-2-OCTENAL</t>
  </si>
  <si>
    <t xml:space="preserve"> &amp;diams; 2-METHYL-2-OCTENAL&lt;br /&gt;&amp;diams; 2-OCTENAL, 2-METHYL-</t>
  </si>
  <si>
    <t xml:space="preserve"> 2396-85-2</t>
  </si>
  <si>
    <t xml:space="preserve"> METHYL 2-OCTENOATE</t>
  </si>
  <si>
    <t xml:space="preserve"> &amp;diams; METHYL 2-OCTENOATE&lt;br /&gt;&amp;diams; 2-OCTENOIC ACID, METHYL ESTER&lt;br /&gt;&amp;diams; METHYL OCT-2-ENOATE</t>
  </si>
  <si>
    <t xml:space="preserve"> 7367-81-9</t>
  </si>
  <si>
    <t xml:space="preserve"> METHYL TRANS-2-OCTENOATE</t>
  </si>
  <si>
    <t xml:space="preserve"> &amp;diams; METHYL 2-OCTENOATE, TRANS-&lt;br /&gt;&amp;diams; METHYL (E)-2-OCTENOATE&lt;br /&gt;&amp;diams; METHYL TRANS-2-OCTENOATE&lt;br /&gt;&amp;diams; METHYL 2-OCTENOATE, (E)-&lt;br /&gt;&amp;diams; 2-OCTENOIC ACID, METHYL ESTER, (2E)-</t>
  </si>
  <si>
    <t xml:space="preserve"> 21063-71-8</t>
  </si>
  <si>
    <t xml:space="preserve"> METHYL CIS-4-OCTENOATE</t>
  </si>
  <si>
    <t xml:space="preserve"> &amp;diams; METHYL 4-OCTENOATE, (Z)-&lt;br /&gt;&amp;diams; METHYL CIS-4-OCTENOATE&lt;br /&gt;&amp;diams; 4-OCTENOIC ACID, METHYL ESTER, (Z)-</t>
  </si>
  <si>
    <t xml:space="preserve"> 41654-15-3</t>
  </si>
  <si>
    <t xml:space="preserve"> METHYL CIS-5-OCTENOATE</t>
  </si>
  <si>
    <t xml:space="preserve"> &amp;diams; METHYL 5-OCTENOATE, CIS-&lt;br /&gt;&amp;diams; methyl cis-5-octenoate&lt;br /&gt;&amp;diams; 5-octenoic acid, methyl ester, (5Z)-&lt;br /&gt;&amp;diams; methyl 5-octenoate, (5Z)-</t>
  </si>
  <si>
    <t xml:space="preserve"> 977185-27-5</t>
  </si>
  <si>
    <t xml:space="preserve"> (E)-7-METHYL-3-OCTEN-2-ONE</t>
  </si>
  <si>
    <t xml:space="preserve"> &amp;diams; 7-METHYL-3-OCTEN-2-ONE, TRANS-&lt;br /&gt;&amp;diams; 7-METHYL-3-OCTEN-2-ONE, (E)-</t>
  </si>
  <si>
    <t xml:space="preserve"> 3698-95-1</t>
  </si>
  <si>
    <t xml:space="preserve"> METHYL OCTYL SULFIDE</t>
  </si>
  <si>
    <t xml:space="preserve"> &amp;diams; METHYL OCTYL SULFIDE&lt;br /&gt;&amp;diams; octane, 1-(methylthio)-&lt;br /&gt;&amp;diams; 1-(methylthio)octane&lt;br /&gt;&amp;diams; sulfide, methyl octyl&lt;br /&gt;&amp;diams; methyl n-octylsulfide</t>
  </si>
  <si>
    <t xml:space="preserve"> 111-12-6</t>
  </si>
  <si>
    <t xml:space="preserve"> METHYL 2-OCTYNOATE</t>
  </si>
  <si>
    <t xml:space="preserve"> &amp;diams; METHYL HEPTINE CARBONATE&lt;br /&gt;&amp;diams; METHYL 2-OCTYNOATE&lt;br /&gt;&amp;diams; VERT DE VIOLETTE, ARTIFICIAL&lt;br /&gt;&amp;diams; 2-OCTYNOIC ACID, METHYL ESTER</t>
  </si>
  <si>
    <t xml:space="preserve"> 59035-98-2</t>
  </si>
  <si>
    <t xml:space="preserve"> 2-METHYL-3 OR 5 OR 6-(FURFURYLTHIO)PYRAZINE (MIXTURE OF ISOMERS)</t>
  </si>
  <si>
    <t xml:space="preserve"> &amp;diams; 2-METHYL-3(OR 5 OR 6)-(FURFURYLTHIO)PYRAZINE&lt;br /&gt;&amp;diams; ((2-FURANYLMETHYL)THIO)METHYLPYRAZINE&lt;br /&gt;&amp;diams; PYRAZINE, ((2-FURANYLMETHYL)THIO)METHYL-</t>
  </si>
  <si>
    <t xml:space="preserve"> 759-05-7</t>
  </si>
  <si>
    <t xml:space="preserve"> 3-METHYL-2-OXOBUTANOIC ACID</t>
  </si>
  <si>
    <t xml:space="preserve"> &amp;diams; 2-OXOISOVALERIC ACID&lt;br /&gt;&amp;diams; 3-METHYL-2-OXOBUTYRIC ACID&lt;br /&gt;&amp;diams; 3-METHYL-2-OXOBUTANOIC ACID&lt;br /&gt;&amp;diams; 2-OXO-3-METHYLBUTYRIC ACID&lt;br /&gt;&amp;diams; BUTANOIC ACID, 3-METHYL-2-OXO-&lt;br /&gt;&amp;diams; 2-OXOISOPENTANOIC ACID&lt;br /&gt;&amp;diams; ALPHA-KETOISOVALERIC ACID&lt;br /&gt;&amp;diams; BUTYRIC ACID, 3-METHYL-2-OXO-&lt;br /&gt;&amp;diams; DIMETHYLPYRUVIC ACID&lt;br /&gt;&amp;diams; ISOPROPYLGLYCOLIC ACID&lt;br /&gt;&amp;diams; KETOVALINE</t>
  </si>
  <si>
    <t xml:space="preserve"> 3682-42-6</t>
  </si>
  <si>
    <t xml:space="preserve"> METHYL 2-OXO-3-METHYLPENTANOATE</t>
  </si>
  <si>
    <t xml:space="preserve"> &amp;diams; METHYL 3-METHYL-2-OXOVALERATE&lt;br /&gt;&amp;diams; METHYL 2-KETO-3-METHYLVALERATE&lt;br /&gt;&amp;diams; METHYL 2-OXO-3-METHYLPENTANOATE&lt;br /&gt;&amp;diams; METHYL 3-METHYL-2-OXOPENTANOATE&lt;br /&gt;&amp;diams; PENTANOIC ACID, 3-METHYL-2-OXO-, METHYL ESTER&lt;br /&gt;&amp;diams; VALERIC ACID, 3-METHYL-2-OXO-, METHYL ESTER</t>
  </si>
  <si>
    <t xml:space="preserve"> 1460-34-0</t>
  </si>
  <si>
    <t xml:space="preserve"> 3-METHYL-2-OXOPENTANOIC ACID</t>
  </si>
  <si>
    <t xml:space="preserve"> &amp;diams; 3-METHYL-2-OXOVALERIC ACID&lt;br /&gt;&amp;diams; ALPHA-KETO-BETA-METHYLVALERIC ACID&lt;br /&gt;&amp;diams; METHYLETHYLPYRUVIC ACID&lt;br /&gt;&amp;diams; KETOISOLEUCINE&lt;br /&gt;&amp;diams; PENTANOIC ACID, 3-METHYL-2-OXO-&lt;br /&gt;&amp;diams; VALERIC ACID, 3-METHYL-2-OXO-&lt;br /&gt;&amp;diams; 3-ETHYL-3-METHYLPYRUVIC ACID&lt;br /&gt;&amp;diams; 3-METHYL-2-OXOPENTANOIC ACID&lt;br /&gt;&amp;diams; 2-OXO-3-METHYLPENTANOIC ACID&lt;br /&gt;&amp;diams; 2-OXOISOLEUCINE</t>
  </si>
  <si>
    <t xml:space="preserve"> 816-66-0</t>
  </si>
  <si>
    <t xml:space="preserve"> 4-METHYL-2-OXOPENTANOIC ACID</t>
  </si>
  <si>
    <t xml:space="preserve"> &amp;diams; 4-METHYL-2-OXOVALERIC ACID&lt;br /&gt;&amp;diams; ALPHA-KETOISOCAPROIC ACID&lt;br /&gt;&amp;diams; ISOPROPYLPYRUVIC ACID&lt;br /&gt;&amp;diams; KETOLEUCINE&lt;br /&gt;&amp;diams; PENTANOIC ACID, 4-METHYL-2-OXO-&lt;br /&gt;&amp;diams; VALERIC ACID, 4-METHYL-2-OXO-&lt;br /&gt;&amp;diams; 2-OXOISOHEXANOIC ACID&lt;br /&gt;&amp;diams; 2-OXOISOCAPROIC ACID&lt;br /&gt;&amp;diams; 2-OXO-4-METHYLPENTANOIC ACID&lt;br /&gt;&amp;diams; 4-METHYL-2-OXOPENTANOIC ACID</t>
  </si>
  <si>
    <t xml:space="preserve"> 123-15-9</t>
  </si>
  <si>
    <t xml:space="preserve"> 2-METHYLPENTANAL</t>
  </si>
  <si>
    <t xml:space="preserve"> &amp;diams; 2-METHYLPENTANAL&lt;br /&gt;&amp;diams; 2-METHYLVALERALDEHYDE&lt;br /&gt;&amp;diams; PENTANAL, 2-METHYL-&lt;br /&gt;&amp;diams; VALERALDEHYDE, 2-METHYL-&lt;br /&gt;&amp;diams; ALPHA-METHYLPENTANAL&lt;br /&gt;&amp;diams; 2-FORMYLPENTANE&lt;br /&gt;&amp;diams; 2-METHYLVALERIC ALDEHYDE</t>
  </si>
  <si>
    <t xml:space="preserve"> 7493-58-5</t>
  </si>
  <si>
    <t xml:space="preserve"> 4-METHYL-2,3-PENTANEDIONE</t>
  </si>
  <si>
    <t xml:space="preserve"> &amp;diams; 4-METHYL-2,3-PENTANEDIONE&lt;br /&gt;&amp;diams; ACETYL ISOBUTYRYL&lt;br /&gt;&amp;diams; ISOPROPYL METHYL DIKETONE&lt;br /&gt;&amp;diams; METHYL ISOPROPYL DIKETONE&lt;br /&gt;&amp;diams; 2,3-PENTANEDIONE, 4-METHYL-&lt;br /&gt;&amp;diams; Isopropylmethylglyoxal</t>
  </si>
  <si>
    <t xml:space="preserve"> 105-43-1</t>
  </si>
  <si>
    <t xml:space="preserve"> 3-METHYLPENTANOIC ACID</t>
  </si>
  <si>
    <t xml:space="preserve"> &amp;diams; 3-METHYLVALERIC ACID&lt;br /&gt;&amp;diams; 3-METHYLPENTANOIC ACID&lt;br /&gt;&amp;diams; BUTYLACETIC ACID, SEC-&lt;br /&gt;&amp;diams; PENTANOIC ACID, 3-METHYL-&lt;br /&gt;&amp;diams; VALERIC ACID, 3-METHYL-&lt;br /&gt;&amp;diams; BETA-METHYLVALERIC ACID&lt;br /&gt;&amp;diams; 2-METHYLBUTANE-1-CARBOXYLIC ACID&lt;br /&gt;&amp;diams; SEC-BUTYLACETIC ACID</t>
  </si>
  <si>
    <t xml:space="preserve"> 646-07-1</t>
  </si>
  <si>
    <t xml:space="preserve"> 4-METHYLPENTANOIC ACID</t>
  </si>
  <si>
    <t xml:space="preserve"> &amp;diams; 4-METHYLVALERIC ACID&lt;br /&gt;&amp;diams; 4-METHYLPENTANOIC ACID&lt;br /&gt;&amp;diams; ISOHEXANOIC ACID&lt;br /&gt;&amp;diams; ISOCAPROIC ACID&lt;br /&gt;&amp;diams; 3-METHYLBUTANE-1-CARBOXYLIC ACID&lt;br /&gt;&amp;diams; PENTANOIC ACID, 4-METHYL-&lt;br /&gt;&amp;diams; VALERIC ACID, 4-METHYL-</t>
  </si>
  <si>
    <t xml:space="preserve"> 589-35-5</t>
  </si>
  <si>
    <t xml:space="preserve"> 3-METHYL-1-PENTANOL</t>
  </si>
  <si>
    <t xml:space="preserve"> &amp;diams; 3-METHYL-1-PENTANOL&lt;br /&gt;&amp;diams; 2-ETHYL-4-BUTANOL&lt;br /&gt;&amp;diams; 1-PENTANOL, 3-METHYL-</t>
  </si>
  <si>
    <t xml:space="preserve"> 23550-40-5</t>
  </si>
  <si>
    <t xml:space="preserve"> 4-(METHYLTHIO)-4-METHYL-2-PENTANONE</t>
  </si>
  <si>
    <t xml:space="preserve"> &amp;diams; 4-METHYL-4-(METHYLTHIO)-2-PENTANONE&lt;br /&gt;&amp;diams; 2-PENTANONE, 4-METHYL-4-(METHYLTHIO)-&lt;br /&gt;&amp;diams; 4-(METHYLTHIO)-4-METHYL-2-PENTANONE&lt;br /&gt;&amp;diams; 4-METHYLMERCAPTO-4-METHYLPENTAN-2-ONE</t>
  </si>
  <si>
    <t xml:space="preserve"> 623-36-9</t>
  </si>
  <si>
    <t xml:space="preserve"> 2-METHYL-2-PENTENAL</t>
  </si>
  <si>
    <t xml:space="preserve"> &amp;diams; 2-METHYL-2-PENTENAL&lt;br /&gt;&amp;diams; 2,4-DIMETHYLCROTONALDEHYDE&lt;br /&gt;&amp;diams; 2-PENTENAL, 2-METHYL-&lt;br /&gt;&amp;diams; ALPHA-METHYL-BETA-ETHYLACROLEIN&lt;br /&gt;&amp;diams; 2-METHYL-3-ETHYLACROLEIN&lt;br /&gt;&amp;diams; BETA-ETHYL-ALPHA-METHYLACROLEIN</t>
  </si>
  <si>
    <t xml:space="preserve"> 5362-56-1</t>
  </si>
  <si>
    <t xml:space="preserve"> 4-METHYL-2-PENTENAL</t>
  </si>
  <si>
    <t xml:space="preserve"> &amp;diams; 4-METHYL-2-PENTENAL&lt;br /&gt;&amp;diams; 2-PENTENAL, 4-METHYL-</t>
  </si>
  <si>
    <t xml:space="preserve"> 818-57-5</t>
  </si>
  <si>
    <t xml:space="preserve"> METHYL 4-PENTENOATE</t>
  </si>
  <si>
    <t xml:space="preserve"> &amp;diams; METHYL 4-PENTENOATE&lt;br /&gt;&amp;diams; 4-pentenoic acid, methyl ester&lt;br /&gt;&amp;diams; methyl allylacetate&lt;br /&gt;&amp;diams; InChI=1S/C6H10O2/c1-3-4-5-6(7)8-2/h3H,1,4-5H2,2H3&lt;br /&gt;&amp;diams; InChIKey: SHCSFZHSNSGTOP-UHFFFAOYSA-N</t>
  </si>
  <si>
    <t xml:space="preserve"> 3142-72-1</t>
  </si>
  <si>
    <t xml:space="preserve"> 2-METHYL-2-PENTENOIC ACID</t>
  </si>
  <si>
    <t xml:space="preserve"> &amp;diams; 2-METHYL-2-PENTENOIC ACID&lt;br /&gt;&amp;diams; 2-PENTENOIC ACID, 2-METHYL-</t>
  </si>
  <si>
    <t xml:space="preserve"> 37674-63-8</t>
  </si>
  <si>
    <t xml:space="preserve"> 2-METHYL-3-PENTENOIC ACID</t>
  </si>
  <si>
    <t xml:space="preserve"> &amp;diams; 2-METHYL-3-PENTENOIC ACID&lt;br /&gt;&amp;diams; 3-PENTENOIC ACID, 2-METHYL-</t>
  </si>
  <si>
    <t xml:space="preserve"> 1575-74-2</t>
  </si>
  <si>
    <t xml:space="preserve"> 2-METHYL-4-PENTENOIC ACID</t>
  </si>
  <si>
    <t xml:space="preserve"> &amp;diams; 2-METHYL-4-PENTENOIC ACID&lt;br /&gt;&amp;diams; 4-PENTENOIC ACID, 2-METHYL-</t>
  </si>
  <si>
    <t xml:space="preserve"> 10321-71-8</t>
  </si>
  <si>
    <t xml:space="preserve"> 4-METHYLPENT-2-ENOIC ACID</t>
  </si>
  <si>
    <t xml:space="preserve"> &amp;diams; 4-METHYL-2-PENTENOIC ACID&lt;br /&gt;&amp;diams; 4-methylpent-2-enoic acid&lt;br /&gt;&amp;diams; 2-pentenoic acid, 4-methyl-&lt;br /&gt;&amp;diams; InChI=1S/C6H10O2/c1-5(2)3-4-6(7)8/h3-5H,1-2H3,(H,7,8)/p-1/b4-3+&lt;br /&gt;&amp;diams; InChIKey: QAOXMQCWUWZZNC-ONEGZZNKSA-M</t>
  </si>
  <si>
    <t xml:space="preserve"> 3744-02-3</t>
  </si>
  <si>
    <t xml:space="preserve"> 4-METHYL-4-PENTEN-2-ONE</t>
  </si>
  <si>
    <t xml:space="preserve"> &amp;diams; ISOPROPENYL ACETONE&lt;br /&gt;&amp;diams; ISOMESITYL OXIDE&lt;br /&gt;&amp;diams; 4-PENTEN-2-ONE, 4-METHYL-&lt;br /&gt;&amp;diams; 4-METHYL-4-PENTEN-2-ONE</t>
  </si>
  <si>
    <t xml:space="preserve"> 141-79-7</t>
  </si>
  <si>
    <t xml:space="preserve"> 4-METHYL-3-PENTEN-2-ONE</t>
  </si>
  <si>
    <t xml:space="preserve"> &amp;diams; 4-METHYL-3-PENTEN-2-ONE&lt;br /&gt;&amp;diams; ISOPROPYLIDENEACETONE&lt;br /&gt;&amp;diams; ISOBUTENYL METHYL KETONE&lt;br /&gt;&amp;diams; MESITYL OXIDE&lt;br /&gt;&amp;diams; METHYL ISOBUTENYL KETONE&lt;br /&gt;&amp;diams; METHYL 2-METHYL-1-PROPENYL KETONE&lt;br /&gt;&amp;diams; METHYL 2,2-DIMETHYLVINYL KETONE&lt;br /&gt;&amp;diams; 3-PENTEN-2-ONE, 4-METHYL-&lt;br /&gt;&amp;diams; 2-METHYL-4-OXO-2-PENTENE</t>
  </si>
  <si>
    <t xml:space="preserve"> 1599-49-1</t>
  </si>
  <si>
    <t xml:space="preserve"> 4-METHYL-2-PENTYL-1,3-DIOXOLANE</t>
  </si>
  <si>
    <t xml:space="preserve"> &amp;diams; 4-METHYL-2-PENTYL-1,3-DIOXOLANE&lt;br /&gt;&amp;diams; 2-AMYL-4-METHYL-1,3-DIOXOLANE&lt;br /&gt;&amp;diams; 1,3-DIOXOLANE, 4-METHYL-2-PENTYL-&lt;br /&gt;&amp;diams; 4-METHYL-2-PENTYL-1,3-DIOXOLAN</t>
  </si>
  <si>
    <t xml:space="preserve"> 850309-45-4</t>
  </si>
  <si>
    <t xml:space="preserve"> 4-METHYLPENTYL ISOVALERATE</t>
  </si>
  <si>
    <t xml:space="preserve"> &amp;diams; 4-METHYLPENTYL ISOVALERATE&lt;br /&gt;&amp;diams; butanoic acid, 3-methyl-, 4-methylpentyl ester&lt;br /&gt;&amp;diams; 4-methylpentyl 3-methylbutanoate&lt;br /&gt;&amp;diams; isoheltyl isovalerate</t>
  </si>
  <si>
    <t xml:space="preserve"> 1123-85-9</t>
  </si>
  <si>
    <t xml:space="preserve"> BETA-METHYLPHENETHYL ALCOHOL</t>
  </si>
  <si>
    <t xml:space="preserve"> &amp;diams; 2-PHENYLPROPYL ALCOHOL&lt;br /&gt;&amp;diams; BETA-METHYLBENZENEETHANOL&lt;br /&gt;&amp;diams; BETA-METHYLPHENETHYL ALCOHOL&lt;br /&gt;&amp;diams; BENZENEETHANOL, BETA-METHYL-&lt;br /&gt;&amp;diams; BETA-PHENYLPROPYL ALCOHOL&lt;br /&gt;&amp;diams; HYDRATROPYL ALCOHOL&lt;br /&gt;&amp;diams; HYDRATROPIC ALCOHOL&lt;br /&gt;&amp;diams; METHYLPHENETHYL ALCOHOL, BETA-&lt;br /&gt;&amp;diams; PHENETHYL ALCOHOL, BETA-METHYL-&lt;br /&gt;&amp;diams; 2-PHENYL-1-PROPANOL&lt;br /&gt;&amp;diams; 2-METHYL-2-PHENYLETHANOL&lt;br /&gt;&amp;diams; 1-HYDROXY-2-PHENYLPROPANE</t>
  </si>
  <si>
    <t xml:space="preserve"> 68922-11-2</t>
  </si>
  <si>
    <t xml:space="preserve"> ALPHA-METHYLPHENETHYL BUTYRATE</t>
  </si>
  <si>
    <t xml:space="preserve"> &amp;diams; ALPHA-METHYLPHENETHYL BUTYRATE&lt;br /&gt;&amp;diams; BUTANOIC ACID, 1-METHYL-2-PHENYLETHYL ESTER&lt;br /&gt;&amp;diams; 1-PHENYL-2-PROPYL BUTYRATE&lt;br /&gt;&amp;diams; 1-METHYL-2-PHENYLETHYL BUTANOATE</t>
  </si>
  <si>
    <t xml:space="preserve"> 3558-60-9</t>
  </si>
  <si>
    <t xml:space="preserve"> METHYL PHENETHYL ETHER</t>
  </si>
  <si>
    <t xml:space="preserve"> &amp;diams; METHYL PHENETHYL ETHER&lt;br /&gt;&amp;diams; BENZENE, (2-METHOXYETHYL)-&lt;br /&gt;&amp;diams; (2-METHOXYETHYL)BENZENE&lt;br /&gt;&amp;diams; BETA-PHENYLETHYL METHYL ETHER&lt;br /&gt;&amp;diams; ETHER, METHYL PHENETHYL&lt;br /&gt;&amp;diams; METHYL 2-PHENETHYL ETHER&lt;br /&gt;&amp;diams; KEDWA ETHER&lt;br /&gt;&amp;diams; PHENETHYL METHYL ETHER&lt;br /&gt;&amp;diams; 1-METHOXY-2-PHENYLETHANE&lt;br /&gt;&amp;diams; 2-PHENETHYL METHYL ETHER</t>
  </si>
  <si>
    <t xml:space="preserve"> 101-41-7</t>
  </si>
  <si>
    <t xml:space="preserve"> METHYL PHENYLACETATE</t>
  </si>
  <si>
    <t xml:space="preserve"> &amp;diams; METHYL PHENYLACETATE&lt;br /&gt;&amp;diams; METHYL ALPHA-TOLUATE&lt;br /&gt;&amp;diams; BENZENEACETIC ACID, METHYL ESTER&lt;br /&gt;&amp;diams; METHYL BENZENEACETATE&lt;br /&gt;&amp;diams; ACETIC ACID, PHENYL-, METHYL ESTER&lt;br /&gt;&amp;diams; METHYL BENZENEETHANOATE&lt;br /&gt;&amp;diams; METHYL PHENYLETHANOATE</t>
  </si>
  <si>
    <t xml:space="preserve"> 103-05-9</t>
  </si>
  <si>
    <t xml:space="preserve"> 2-METHYL-4-PHENYL-2-BUTANOL</t>
  </si>
  <si>
    <t xml:space="preserve"> &amp;diams; 1,1-DIMETHYL-3-PHENYL-1-PROPANOL&lt;br /&gt;&amp;diams; BENZENEPROPANOL, ALPHA,ALPHA-DIMETHYL-&lt;br /&gt;&amp;diams; ALPHA,ALPHA-DIMETHYLBENZENEPROPANOL&lt;br /&gt;&amp;diams; BENZYL-TERT-BUTANOL&lt;br /&gt;&amp;diams; PHENETHYL DIMETHYL CARBINOL&lt;br /&gt;&amp;diams; 2-METHYL-4-PHENYL-2-BUTANOL&lt;br /&gt;&amp;diams; 2-BUTANOL, 2-METHYL-4-PHENYL-&lt;br /&gt;&amp;diams; 2-(2-PHENYLETHYL)-2-PROPANOL&lt;br /&gt;&amp;diams; 1,1-DIMETHYL-3-PHENYLPROPYL ALCOHOL&lt;br /&gt;&amp;diams; 2-PHENETHYL-2-PROPANOL</t>
  </si>
  <si>
    <t xml:space="preserve"> 1901-26-4</t>
  </si>
  <si>
    <t xml:space="preserve"> 3-METHYL-4-PHENYL-3-BUTENE-2-ONE</t>
  </si>
  <si>
    <t xml:space="preserve"> &amp;diams; 3-METHYL-4-PHENYL-3-BUTEN-2-ONE&lt;br /&gt;&amp;diams; ALPHA-METHYL-ALPHA-BENZALACETONE&lt;br /&gt;&amp;diams; BENZYLIDENE METHYL ETHYL KETONE&lt;br /&gt;&amp;diams; METHYLBENZYLIDENEACETONE&lt;br /&gt;&amp;diams; METHYL ALPHA-METHYLSTYRYL KETONE&lt;br /&gt;&amp;diams; 3-BENZYLIDENE-2-BUTENONE&lt;br /&gt;&amp;diams; 1-METHYL-1-BENZYLIDENEACETONE&lt;br /&gt;&amp;diams; 3-BUTEN-2-ONE, 3-METHYL-4-PHENYL-&lt;br /&gt;&amp;diams; 3-METHYL-4-PHENYLBUT-3-EN-2-ONE&lt;br /&gt;&amp;diams; 4-PHENYL-3-METHYL-3-BUTEN-2-ONE</t>
  </si>
  <si>
    <t xml:space="preserve"> 103-07-1</t>
  </si>
  <si>
    <t xml:space="preserve"> 2-METHYL-4-PHENYL-2-BUTYL ACETATE</t>
  </si>
  <si>
    <t xml:space="preserve"> &amp;diams; 1,1-DIMETHYL-3-PHENYLPROPYL ACETATE&lt;br /&gt;&amp;diams; BENZENEPROPANOL, ALPHA,ALPHA-DIMETHYL-, ACETATE&lt;br /&gt;&amp;diams; ALPHA,ALPHA-DIMETHYLBENZENEPROPYL ACETATE&lt;br /&gt;&amp;diams; DIMETHYLPHENYLETHYLCARBINYL ACETATE&lt;br /&gt;&amp;diams; DMPEC ACETATE&lt;br /&gt;&amp;diams; DIMETHYLPHENETHYLCARBINYL ACETATE&lt;br /&gt;&amp;diams; PHENYLETHYL DIMETHYL CARBINYL ACETATE&lt;br /&gt;&amp;diams; 2-METHYL-4-PHENYL-2-BUTYL ACETATE&lt;br /&gt;&amp;diams; 2-BUTANOL, 2-METHYL-4-PHENYL-, ACETATE</t>
  </si>
  <si>
    <t xml:space="preserve"> 10031-71-7</t>
  </si>
  <si>
    <t xml:space="preserve"> 2-METHYL-4-PHENYL-2-BUTYL ISOBUTYRATE</t>
  </si>
  <si>
    <t xml:space="preserve"> &amp;diams; 1,1-DIMETHYL-3-PHENYLPROPYL ISOBUTYRATE&lt;br /&gt;&amp;diams; DIMETHYL(PHENYLETHYL)CARBINYL ISOBUTYRATE&lt;br /&gt;&amp;diams; DIMETHYL PHENETHYL CARBINYL ISOBUTYRATE&lt;br /&gt;&amp;diams; DMPEC ISOBUTYRATE&lt;br /&gt;&amp;diams; DMPEC 2-METHYLPROPANOATE&lt;br /&gt;&amp;diams; DIMETHYLPHENYL ETHYLCARBINYL ISOBUTYRATE&lt;br /&gt;&amp;diams; ISOBUTYRIC ACID, 1,1-DIMETHYL-3-PHENYLPROPYL ESTER&lt;br /&gt;&amp;diams; PHENYLETHYL DIMETHYL CARBINYL ISOBUTYRATE&lt;br /&gt;&amp;diams; PROPANOIC ACID, 2-METHYL-, 1,1-DIMETHYL-3-PHENYLPROPYL ESTER&lt;br /&gt;&amp;diams; 2-METHYL-4-PHENYL-2-BUTYL ISOBUTYRATE&lt;br /&gt;&amp;diams; 2-METHYL-4-PHENYL-2-BUTYL 2-METHYLPROPANOATE&lt;br /&gt;&amp;diams; 1,1-DIMETHYL-3-PHENYLPROPYL 2-METHYLPROPANOATE</t>
  </si>
  <si>
    <t xml:space="preserve"> 40654-82-8</t>
  </si>
  <si>
    <t xml:space="preserve"> 2-METHYL-4-PHENYLBUTYRALDEHYDE</t>
  </si>
  <si>
    <t xml:space="preserve"> &amp;diams; 2-METHYL-4-PHENYLBUTYRALDEHYDE&lt;br /&gt;&amp;diams; ALPHA-METHYLBENZENEBUTANAL&lt;br /&gt;&amp;diams; BENZENEBUTANAL, ALPHA-METHYL-&lt;br /&gt;&amp;diams; BUTYRALDEHYDE, 2-METHYL-4-PHENYL-&lt;br /&gt;&amp;diams; 2-METHYL-4-PHENYLBUTANAL&lt;br /&gt;&amp;diams; 4-PHENYL-2-METHYLBUTANAL</t>
  </si>
  <si>
    <t xml:space="preserve"> 2439-44-3</t>
  </si>
  <si>
    <t xml:space="preserve"> 3-METHYL-2-PHENYLBUTYRALDEHYDE</t>
  </si>
  <si>
    <t xml:space="preserve"> &amp;diams; 3-METHYL-2-PHENYLBUTYRALDEHYDE&lt;br /&gt;&amp;diams; ALPHA-(1-METHYLETHYL)BENZENEACETALDEHYDE&lt;br /&gt;&amp;diams; ALPHA-ISOPROPYLPHENYLACETALDEHYDE&lt;br /&gt;&amp;diams; ALPHA-PHENYLISOVALERALDEHYDE&lt;br /&gt;&amp;diams; ALPHA-PHENYLISOPENTANAL&lt;br /&gt;&amp;diams; BENZENEACETALDEHYDE, ALPHA-(1-METHYLETHYL)-&lt;br /&gt;&amp;diams; BUTRALDEHYDE, 3-METHYL-2-PHENYL-&lt;br /&gt;&amp;diams; 3-METHYL-2-PHENYLBUTANAL</t>
  </si>
  <si>
    <t xml:space="preserve"> 2046-17-5</t>
  </si>
  <si>
    <t xml:space="preserve"> METHYL 4-PHENYLBUTYRATE</t>
  </si>
  <si>
    <t xml:space="preserve"> &amp;diams; METHYL 4-PHENYLBUTYRATE&lt;br /&gt;&amp;diams; BENZENEBUTANOIC ACID, METHYL ESTER&lt;br /&gt;&amp;diams; BUTYRIC ACID, 4-PHENYL-, METHYL ESTER&lt;br /&gt;&amp;diams; METHYL BENZENEBUTANOATE&lt;br /&gt;&amp;diams; METHYL GAMMA-PHENYLBUTYRATE&lt;br /&gt;&amp;diams; METHYL PHENYLBUTYRATE&lt;br /&gt;&amp;diams; METHYL 4-PHENYLBUTANOATE</t>
  </si>
  <si>
    <t xml:space="preserve"> 14173-25-2</t>
  </si>
  <si>
    <t xml:space="preserve"> METHYL PHENYL DISULFIDE</t>
  </si>
  <si>
    <t xml:space="preserve"> &amp;diams; METHYL PHENYL DISULFIDE&lt;br /&gt;&amp;diams; DISULFIDE, METHYL PHENYL&lt;br /&gt;&amp;diams; PHENYL METHYL DISULFIDE</t>
  </si>
  <si>
    <t xml:space="preserve"> 37161-74-3</t>
  </si>
  <si>
    <t xml:space="preserve"> METHYL BETA-PHENYLGLYCIDATE</t>
  </si>
  <si>
    <t xml:space="preserve"> &amp;diams; METHYL PHENYLGLYCIDATE&lt;br /&gt;&amp;diams; METHYL BETA-PHENYLGLYCIDATE&lt;br /&gt;&amp;diams; METHYL 3-PHENYLOXIRANECARBOXYLATE&lt;br /&gt;&amp;diams; 2-oxiranecarboxylic acid, 3-phenyl-, methyl ester&lt;br /&gt;&amp;diams; methyl 3-phenyl-2-oxiranecarboxylate&lt;br /&gt;&amp;diams; oxiranecarboxylic acid, 3-phenyl-, methyl ester&lt;br /&gt;&amp;diams; glycidic acid, 3-phenyl-, methyl ester&lt;br /&gt;&amp;diams; methyl 3-phenylglycidate&lt;br /&gt;&amp;diams; InChI=1S/C10H10O3/c1-12-10(11)9-8(13-9)7-5-3-2-4-6-7/h2-6,8-9H,1H3&lt;br /&gt;&amp;diams; InChIKey: HAFFKTJSQPQAPC-UHFFFAOYSA-N</t>
  </si>
  <si>
    <t xml:space="preserve"> 77-83-8</t>
  </si>
  <si>
    <t xml:space="preserve"> 3-METHYL-3-PHENYL GLYCIDIC ACID ETHYL ESTER</t>
  </si>
  <si>
    <t xml:space="preserve"> &amp;diams; ETHYL 3-METHYL-3-PHENYLGLYCIDATE&lt;br /&gt;&amp;diams; EMPG&lt;br /&gt;&amp;diams; ETHYL 2,3-EPOXY-2-METHYL-3-PHENYLPROPIONATE&lt;br /&gt;&amp;diams; ETHYL 3-METHYL-3-PHENYLOXIRANECARBOXYLATE&lt;br /&gt;&amp;diams; ETHYL ALPHA,BETA-EPOXY-BETA-METHYLHYDROCINNAMATE&lt;br /&gt;&amp;diams; HYDROCINNAMIC ACID, ALPHA,BETA-EPOXY-BETA-METHYL-, ETHYL ESTER&lt;br /&gt;&amp;diams; OXIRANECARBOXYLIC ACID, 3-METHYL-3-PHENYL-, ETHYL ESTER&lt;br /&gt;&amp;diams; STRAWBERRY ALDEHYDE</t>
  </si>
  <si>
    <t xml:space="preserve"> 21834-92-4</t>
  </si>
  <si>
    <t xml:space="preserve"> 5-METHYL-2-PHENYL-2-HEXENAL</t>
  </si>
  <si>
    <t xml:space="preserve"> &amp;diams; 5-METHYL-2-PHENYL-2-HEXENAL&lt;br /&gt;&amp;diams; ALPHA-3-METHYLBUTYLIDENEBENZENEACETALDEHYDE&lt;br /&gt;&amp;diams; BENZENEACETALDEHYDE, ALPHA-(3-METHYLBUTYLIDENE)-&lt;br /&gt;&amp;diams; ALPHA-(3-METHYLBUTYLIDENE)BENZENEACETALDEHYDE&lt;br /&gt;&amp;diams; 2-HEXENAL, 5-METHYL-2-PHENYL-</t>
  </si>
  <si>
    <t xml:space="preserve"> 5349-62-2</t>
  </si>
  <si>
    <t xml:space="preserve"> 4-METHYL-1-PHENYL-2-PENTANONE</t>
  </si>
  <si>
    <t xml:space="preserve"> &amp;diams; 4-METHYL-1-PHENYL-2-PENTANONE&lt;br /&gt;&amp;diams; BENZYL ISOBUTYL KETONE&lt;br /&gt;&amp;diams; ISOBUTYL BENZYL KETONE&lt;br /&gt;&amp;diams; 2-PENTANONE, 4-METHYL-1-PHENYL-</t>
  </si>
  <si>
    <t xml:space="preserve"> 26643-91-4</t>
  </si>
  <si>
    <t xml:space="preserve"> 4-METHYL-2-PHENYL-2-PENTENAL</t>
  </si>
  <si>
    <t xml:space="preserve"> &amp;diams; 4-METHYL-2-PHENYL-2-PENTENAL&lt;br /&gt;&amp;diams; ALPHA-2-METHYLPROPYLIDENEBENZENEACETALDEHYDE&lt;br /&gt;&amp;diams; BENZENEACETALDEHYDE, ALPHA-(2-METHYLPROPYLIDENE)-&lt;br /&gt;&amp;diams; ALPHA-(2-METHYLPROPYLIDENE)BENZENEACETALDEHYDE&lt;br /&gt;&amp;diams; ALPHA-ISOBUTYLIDENEBENZENEACETALDEHYDE&lt;br /&gt;&amp;diams; 2-PENTENAL, 4-METHYL-2-PHENYL-</t>
  </si>
  <si>
    <t xml:space="preserve"> 103-25-3</t>
  </si>
  <si>
    <t xml:space="preserve"> METHYL 3-PHENYLPROPIONATE</t>
  </si>
  <si>
    <t xml:space="preserve"> &amp;diams; METHYL 3-PHENYLPROPIONATE&lt;br /&gt;&amp;diams; BENZENEPROPANOIC ACID, METHYL ESTER&lt;br /&gt;&amp;diams; HYDROCINNAMIC ACID, METHYL ESTER&lt;br /&gt;&amp;diams; METHYL BENZENEPROPANOATE&lt;br /&gt;&amp;diams; METHYL HYDROCINNAMATE&lt;br /&gt;&amp;diams; METHYL DIHYDROCINNAMATE&lt;br /&gt;&amp;diams; METHYL PHENYLPROPIONATE&lt;br /&gt;&amp;diams; METHYL BETA-PHENYLPROPIONATE&lt;br /&gt;&amp;diams; METHYL 3-PHENYLPROPANOATE</t>
  </si>
  <si>
    <t xml:space="preserve"> 100-68-5</t>
  </si>
  <si>
    <t xml:space="preserve"> METHYL PHENYL SULFIDE</t>
  </si>
  <si>
    <t xml:space="preserve"> &amp;diams; METHYL PHENYL SULFIDE&lt;br /&gt;&amp;diams; BENZENE, (METHYLTHIO)-&lt;br /&gt;&amp;diams; (METHYLTHIO)BENZENE&lt;br /&gt;&amp;diams; METHYLPHENYL THIOETHER&lt;br /&gt;&amp;diams; PHENYL METHYL SULFIDE&lt;br /&gt;&amp;diams; PHENYLTHIOMETHANE&lt;br /&gt;&amp;diams; THIOANISOLE&lt;br /&gt;&amp;diams; SULFIDE, METHYL PHENYL&lt;br /&gt;&amp;diams; 1-PHENYL-1-THIAETHANE</t>
  </si>
  <si>
    <t xml:space="preserve"> 109-05-7</t>
  </si>
  <si>
    <t xml:space="preserve"> 2-METHYLPIPERIDINE</t>
  </si>
  <si>
    <t xml:space="preserve"> &amp;diams; 2-METHYLPIPERIDINE&lt;br /&gt;&amp;diams; piperidine, 2-methyl-&lt;br /&gt;&amp;diams; alpha-pipecoline&lt;br /&gt;&amp;diams; alpha-methylpiperidine&lt;br /&gt;&amp;diams; 2-pipecoline</t>
  </si>
  <si>
    <t xml:space="preserve"> 9004-73-3</t>
  </si>
  <si>
    <t xml:space="preserve"> METHYLPOLYSILICONE</t>
  </si>
  <si>
    <t xml:space="preserve"> &amp;diams; METHICONE&lt;br /&gt;&amp;diams; POLY(OXY(METHYLSILYLENE))</t>
  </si>
  <si>
    <t xml:space="preserve"> 67952-60-7</t>
  </si>
  <si>
    <t xml:space="preserve"> 2-METHYL-2-(METHYLDITHIO)PROPANAL</t>
  </si>
  <si>
    <t xml:space="preserve"> &amp;diams; 2-(METHYLDITHIO)ISOBUTYRALDEHYDE&lt;br /&gt;&amp;diams; PROPANAL, 2-METHYL-2-(METHYLDITHIO)-&lt;br /&gt;&amp;diams; 2-METHYL-2-(METHYLDITHIO)PROPANAL</t>
  </si>
  <si>
    <t xml:space="preserve"> 5925-75-7</t>
  </si>
  <si>
    <t xml:space="preserve"> S-METHYL PROPANETHIOATE</t>
  </si>
  <si>
    <t xml:space="preserve"> &amp;diams; S-METHYL PROPANTHIOATE&lt;br /&gt;&amp;diams; propanethioic acid, s-methyl ester&lt;br /&gt;&amp;diams; propionic acid, thio-, s-methyl ester&lt;br /&gt;&amp;diams; s-methyl thiopropionate</t>
  </si>
  <si>
    <t xml:space="preserve"> 513-44-0</t>
  </si>
  <si>
    <t xml:space="preserve"> 2-METHYL-1-PROPANETHIOL</t>
  </si>
  <si>
    <t xml:space="preserve"> &amp;diams; ISOBUTANETHIOL&lt;br /&gt;&amp;diams; ISOBUTYL MERCAPTAN&lt;br /&gt;&amp;diams; 1-ISOBUTANETHIOL&lt;br /&gt;&amp;diams; 2-METHYL-1-PROPANETHIOL&lt;br /&gt;&amp;diams; 1-PROPANETHIOL, 2-METHYL-</t>
  </si>
  <si>
    <t xml:space="preserve"> 5905-47-5</t>
  </si>
  <si>
    <t xml:space="preserve"> METHYL PROPENYL DISULFIDE</t>
  </si>
  <si>
    <t xml:space="preserve"> &amp;diams; METHYL PROPENYL DISULFIDE&lt;br /&gt;&amp;diams; DISULFIDE, METHYL 1-PROPENYL&lt;br /&gt;&amp;diams; DISULFIDE, METHYL PROPENYL&lt;br /&gt;&amp;diams; METHYL 1-PROPENYL DISULFIDE&lt;br /&gt;&amp;diams; METHYLDITHIO-1-PROPENE&lt;br /&gt;&amp;diams; 1-PROPENYL METHYL DISULFIDE</t>
  </si>
  <si>
    <t xml:space="preserve"> 10152-77-9</t>
  </si>
  <si>
    <t xml:space="preserve"> METHYL 1-PROPENYL SULFIDE</t>
  </si>
  <si>
    <t xml:space="preserve"> &amp;diams; METHYL 1-PROPENYL SULFIDE&lt;br /&gt;&amp;diams; methyl propenyl sulfide&lt;br /&gt;&amp;diams; 1-(methylthio)-1-propene&lt;br /&gt;&amp;diams; sulfide, methyl propenyl&lt;br /&gt;&amp;diams; 1-propene, 1-(methylthio)-</t>
  </si>
  <si>
    <t xml:space="preserve"> 103-95-7</t>
  </si>
  <si>
    <t xml:space="preserve"> 2-METHYL-3-(P-ISOPROPYLPHENYL) PROPIONALDEHYDE</t>
  </si>
  <si>
    <t xml:space="preserve"> &amp;diams; CYCLAMEN ALDEHYDE&lt;br /&gt;&amp;diams; ALDEHYDE B&lt;br /&gt;&amp;diams; CYCLOSAL&lt;br /&gt;&amp;diams; 2-METHYL-3-(P-ISOPROPYLPHENYL)PROPIONALDEHYDE&lt;br /&gt;&amp;diams; CYCLAVIOL&lt;br /&gt;&amp;diams; ALPHA-METHYL-P-ISOPROPYLHYDROCINNAMALDEHYDE&lt;br /&gt;&amp;diams; ALPHA-METHYL-P-ISOPROPYLPHENYLPROPYLALDEHYDE&lt;br /&gt;&amp;diams; BENZENEPROPANAL, ALPHA-METHYL-4-(1-METHYLETHYL)-&lt;br /&gt;&amp;diams; ALPHA-METHYL-4-(1-METHYLETHYL)BENZENEPROPANAL&lt;br /&gt;&amp;diams; HYDROCINNAMALDEHYDE, P-ISOPROPYL-ALPHA-METHYL-&lt;br /&gt;&amp;diams; ISOPROPYL-ALPHA-METHYLHYDROCINNAMALDEHYDE, P-&lt;br /&gt;&amp;diams; ISOPROPYLMETHYLHYDROCINNAMALDEHYDE&lt;br /&gt;&amp;diams; 3-P-CUMENYL-2-METHYLPROPIONALDEHYDE&lt;br /&gt;&amp;diams; 4-ISOPROPYL-ALPHA-METHYLHYDROCINNAMIC ALDEHYDE&lt;br /&gt;&amp;diams; 3-(P-ISOPROPYLPHENYL)-2-METHYLPROPIONALDEHYDE</t>
  </si>
  <si>
    <t xml:space="preserve"> 554-12-1</t>
  </si>
  <si>
    <t xml:space="preserve"> METHYL PROPIONATE</t>
  </si>
  <si>
    <t xml:space="preserve"> &amp;diams; METHYL PROPIONATE&lt;br /&gt;&amp;diams; METHYL PROPANOATE&lt;br /&gt;&amp;diams; PROPANOIC ACID, METHYL ESTER&lt;br /&gt;&amp;diams; PROPIONIC ACID, METHYL ESTER&lt;br /&gt;&amp;diams; METHYL PROPYLATE</t>
  </si>
  <si>
    <t xml:space="preserve"> 3720-16-9</t>
  </si>
  <si>
    <t xml:space="preserve"> 3-METHYL-5-PROPYL-2-CYCLOHEXEN-1-ONE</t>
  </si>
  <si>
    <t xml:space="preserve"> &amp;diams; 3-METHYL-5-PROPYL-2-CYCLOHEXEN-1-ONE&lt;br /&gt;&amp;diams; CELERY KETONE&lt;br /&gt;&amp;diams; 2-CYCLOHEXEN-1-ONE, 3-METHYL-5-PROPYL-</t>
  </si>
  <si>
    <t xml:space="preserve"> 2179-60-4</t>
  </si>
  <si>
    <t xml:space="preserve"> METHYL PROPYL DISULFIDE</t>
  </si>
  <si>
    <t xml:space="preserve"> &amp;diams; METHYL PROPYL DISULFIDE&lt;br /&gt;&amp;diams; DISULFIDE, METHYL PROPYL&lt;br /&gt;&amp;diams; METHYLDITHIOPROPANE&lt;br /&gt;&amp;diams; 2,3-DITHIAHEXANE</t>
  </si>
  <si>
    <t xml:space="preserve"> 589-59-3</t>
  </si>
  <si>
    <t xml:space="preserve"> 2-METHYLPROPYL-3-METHYLBUTYRATE</t>
  </si>
  <si>
    <t xml:space="preserve"> &amp;diams; ISOBUTYL ISOVALERATE&lt;br /&gt;&amp;diams; 2-METHYLPROPYL 3-METHYLBUTANOATE&lt;br /&gt;&amp;diams; 2-METHYLPROPYL 3-METHYLBUTYRATE&lt;br /&gt;&amp;diams; BUTANOIC ACID, 3-METHYL-, 2-METHYLPROPYL ESTER&lt;br /&gt;&amp;diams; ISOVALERIC ACID, ISOBUTYL ESTER</t>
  </si>
  <si>
    <t xml:space="preserve"> 67715-80-4</t>
  </si>
  <si>
    <t xml:space="preserve"> 2-METHYL-4-PROPYL-1,3-OXATHIANE</t>
  </si>
  <si>
    <t xml:space="preserve"> &amp;diams; 2-METHYL-4-PROPYL-1,3-OXATHIANE&lt;br /&gt;&amp;diams; 1,3-OXATHIANE, 2-METHYL-4-PROPYL-</t>
  </si>
  <si>
    <t xml:space="preserve"> 1064678-08-5</t>
  </si>
  <si>
    <t xml:space="preserve"> (+/-)-4-METHYL-2-PROPYL-1,3-OXATHIANE</t>
  </si>
  <si>
    <t xml:space="preserve"> &amp;diams; 4-METHYL-2-PROPYL-1,3-OXATHIANE&lt;br /&gt;&amp;diams; 1,3-oxathiane, 4-methyl-2-propyl-</t>
  </si>
  <si>
    <t xml:space="preserve"> 6304-24-1</t>
  </si>
  <si>
    <t xml:space="preserve"> 2-(2-METHYLPROPYL)PYRIDINE</t>
  </si>
  <si>
    <t xml:space="preserve"> &amp;diams; 2-ISOBUTYLPYRIDINE&lt;br /&gt;&amp;diams; 2-(2-METHYLPROPYL)PYRIDINE&lt;br /&gt;&amp;diams; PYRIDINE, 2-(2-METHYLPROPYL)-&lt;br /&gt;&amp;diams; PYRIDINE, 2-ISOBUTYL-</t>
  </si>
  <si>
    <t xml:space="preserve"> 14159-61-6</t>
  </si>
  <si>
    <t xml:space="preserve"> 3-(2-METHYLPROPYL)PYRIDINE</t>
  </si>
  <si>
    <t xml:space="preserve"> &amp;diams; 3-ISOBUTYLPYRIDINE&lt;br /&gt;&amp;diams; BETA-ISOBUTYLPYRIDINE&lt;br /&gt;&amp;diams; 3-(2-METHYLPROPYL)PYRIDINE&lt;br /&gt;&amp;diams; PYRIDINE, 3-(2-METHYLPROPYL)-&lt;br /&gt;&amp;diams; PYRIDINE, 3-ISOBUTYL-</t>
  </si>
  <si>
    <t xml:space="preserve"> 18277-27-5</t>
  </si>
  <si>
    <t xml:space="preserve"> 2-(1-METHYLPROPYL)THIAZOLE</t>
  </si>
  <si>
    <t xml:space="preserve"> &amp;diams; 2-(1-METHYLPROPYL)THIAZOLE&lt;br /&gt;&amp;diams; THIAZOLE, 2-(1-METHYLPROPYL)-&lt;br /&gt;&amp;diams; THIAZOLE, 2-SEC-BUTYL-&lt;br /&gt;&amp;diams; 2-SEC-BUTYLTHIAZOLE</t>
  </si>
  <si>
    <t xml:space="preserve"> 17619-36-2</t>
  </si>
  <si>
    <t xml:space="preserve"> METHYL PROPYL TRISULFIDE</t>
  </si>
  <si>
    <t xml:space="preserve"> &amp;diams; METHYL PROPYL TRISULFIDE&lt;br /&gt;&amp;diams; PROPYL METHYL TRISULFIDE&lt;br /&gt;&amp;diams; TRISULFIDE, METHYL PROPYL</t>
  </si>
  <si>
    <t xml:space="preserve"> 109-08-0</t>
  </si>
  <si>
    <t xml:space="preserve"> 2-METHYLPYRAZINE</t>
  </si>
  <si>
    <t xml:space="preserve"> &amp;diams; METHYLPYRAZINE&lt;br /&gt;&amp;diams; 2-METHYLPYRAZINE&lt;br /&gt;&amp;diams; 2-METHYL-1,4-DIAZINE&lt;br /&gt;&amp;diams; PYRAZINE, METHYL-</t>
  </si>
  <si>
    <t xml:space="preserve"> 1072-83-9</t>
  </si>
  <si>
    <t xml:space="preserve"> METHYL 2-PYRROLYL KETONE</t>
  </si>
  <si>
    <t xml:space="preserve"> &amp;diams; METHYL PYRROL-2-YL KETONE&lt;br /&gt;&amp;diams; ETHANONE, 1-(1H-PYRROL-2-YL)-&lt;br /&gt;&amp;diams; METHYL 2-PYRROLYL KETONE&lt;br /&gt;&amp;diams; KETONE, METHYL PYRROL-2-YL&lt;br /&gt;&amp;diams; 2-ACETYLPYRROLE&lt;br /&gt;&amp;diams; 1-(1H-PYRROL-2-YL)ETHANONE&lt;br /&gt;&amp;diams; 2-PYRROLYL METHYL KETONE&lt;br /&gt;&amp;diams; 1-(2-PYRROLYL)-1-ETHANONE&lt;br /&gt;&amp;diams; 2-PYRROLYLETHANONE&lt;br /&gt;&amp;diams; 2-ACETYL-1H-PYRROLE</t>
  </si>
  <si>
    <t xml:space="preserve"> 91-62-3</t>
  </si>
  <si>
    <t xml:space="preserve"> 6-METHYLQUINOLINE</t>
  </si>
  <si>
    <t xml:space="preserve"> &amp;diams; 6-METHYLQUINOLINE&lt;br /&gt;&amp;diams; METHYLQUINOLINE, P-&lt;br /&gt;&amp;diams; TOLLIQUINOLINE, P-&lt;br /&gt;&amp;diams; QUINOLINE, 6-METHYL-</t>
  </si>
  <si>
    <t xml:space="preserve"> 13708-12-8</t>
  </si>
  <si>
    <t xml:space="preserve"> 5-METHYLQUINOXALINE</t>
  </si>
  <si>
    <t xml:space="preserve"> &amp;diams; 5-METHYLQUINOXALINE&lt;br /&gt;&amp;diams; QUINOXALINE, 5-METHYL-</t>
  </si>
  <si>
    <t xml:space="preserve"> 119-36-8</t>
  </si>
  <si>
    <t xml:space="preserve"> METHYL SALICYLATE</t>
  </si>
  <si>
    <t xml:space="preserve"> &amp;diams; METHYL SALICYLATE&lt;br /&gt;&amp;diams; WINTERGREEN OIL, SYNTHETIC&lt;br /&gt;&amp;diams; METHYL 2-HYDROXYBENZOATE&lt;br /&gt;&amp;diams; METHYL O-HYDROXYBENZOATE&lt;br /&gt;&amp;diams; BENZOIC ACID, 2-HYDROXY-, METHYL ESTER&lt;br /&gt;&amp;diams; SALICYLIC ACID, METHYL ESTER&lt;br /&gt;&amp;diams; 2-CARBOMETHOXYPHENOL</t>
  </si>
  <si>
    <t xml:space="preserve"> 689-89-4</t>
  </si>
  <si>
    <t xml:space="preserve"> METHYL SORBATE</t>
  </si>
  <si>
    <t xml:space="preserve"> &amp;diams; METHYL SORBATE&lt;br /&gt;&amp;diams; 2,4-HEXADIENOIC ACID, METHYL ESTER, (E,E)-&lt;br /&gt;&amp;diams; METHYL 2,4-HEXADIENOATE, (E,E)-&lt;br /&gt;&amp;diams; SORBIC ACID, METHYL ESTER, (E,E)-&lt;br /&gt;&amp;diams; METHYL SORBATE, (E,E)-&lt;br /&gt;&amp;diams; METHYL TRANS,TRANS-SORBATE&lt;br /&gt;&amp;diams; 2-TRANS,4-TRANS-METHYL SORBATE&lt;br /&gt;&amp;diams; SORBIC ACID, METHYL ESTER&lt;br /&gt;&amp;diams; METHYL (2E,4E)-HEXADIENOATE</t>
  </si>
  <si>
    <t xml:space="preserve"> 75-18-3</t>
  </si>
  <si>
    <t xml:space="preserve"> METHYL SULFIDE</t>
  </si>
  <si>
    <t xml:space="preserve"> &amp;diams; METHYL SULFIDE&lt;br /&gt;&amp;diams; 2-THIOPROPANE&lt;br /&gt;&amp;diams; THIOBIS(METHANE)&lt;br /&gt;&amp;diams; DIMETHYL THIOETHER&lt;br /&gt;&amp;diams; 2-THIAPROPANE&lt;br /&gt;&amp;diams; METHYL MONOSULFIDE&lt;br /&gt;&amp;diams; DIMETHYL MONOSULFIDE</t>
  </si>
  <si>
    <t xml:space="preserve"> 3549-23-3</t>
  </si>
  <si>
    <t xml:space="preserve"> METHYL P-TERT-BUTYLPHENYLACETATE</t>
  </si>
  <si>
    <t xml:space="preserve"> &amp;diams; METHYL P-TERT-BUTYLPHENYLACETATE&lt;br /&gt;&amp;diams; BENZENEACETIC ACID, 4-(1,1-DIMETHYLETHYL)-, METHYL ESTER&lt;br /&gt;&amp;diams; ACETIC ACID, (P-TERT-BUTYLPHENYL)-, METHYL ESTER&lt;br /&gt;&amp;diams; METHYL 4-(1,1-DIMETHYLETHYL)BENZENEACETATE&lt;br /&gt;&amp;diams; METHYL (P-TERT-BUTYLPHENYL)ACETATE</t>
  </si>
  <si>
    <t xml:space="preserve"> 3188-00-9</t>
  </si>
  <si>
    <t xml:space="preserve"> 2-METHYLTETRAHYDROFURAN-3-ONE</t>
  </si>
  <si>
    <t xml:space="preserve"> &amp;diams; 2-METHYLTETRAHYDROFURAN-3-ONE&lt;br /&gt;&amp;diams; DIHYDRO-2-METHYL-3(2H)-FURANONE&lt;br /&gt;&amp;diams; DIHYDRO-2-METHYL-3-FURANONE&lt;br /&gt;&amp;diams; TETRAHYDRO-2-METHYL-3-FURANONE&lt;br /&gt;&amp;diams; 2-METHYL-3-OXOTETRAHYDROFURAN&lt;br /&gt;&amp;diams; 3(2H)-FURANONE, DIHYDRO-2-METHYL-&lt;br /&gt;&amp;diams; 2-METHYL-3-KETOTETRAHYDROFURAN&lt;br /&gt;&amp;diams; 2-METHYL-2H-FURAN-3-ONE</t>
  </si>
  <si>
    <t xml:space="preserve"> 57124-87-5</t>
  </si>
  <si>
    <t xml:space="preserve"> 2-METHYL-3-TETRAHYDROFURANTHIOL</t>
  </si>
  <si>
    <t xml:space="preserve"> &amp;diams; TETRAHYDRO-2-METHYL-3-FURANTHIOL&lt;br /&gt;&amp;diams; 2-METHYL-3-TETRAHYDROFURANTHIOL&lt;br /&gt;&amp;diams; 2-METHYL-3-MERCAPTOTETRAHYDROFURAN&lt;br /&gt;&amp;diams; 3-FURANTHIOL, TETRAHYDRO-2-METHYL-</t>
  </si>
  <si>
    <t xml:space="preserve"> 252736-41-7</t>
  </si>
  <si>
    <t xml:space="preserve"> (+/-)-2-METHYLTETRAHYDROFURAN-3-THIOL ACETATE</t>
  </si>
  <si>
    <t xml:space="preserve"> &amp;diams; S-(TETRAHYDRO-2-METHYL-3-FURANYL) THIOACETATE&lt;br /&gt;&amp;diams; 2-methyltetrahydrofuran-3-thiol acetate&lt;br /&gt;&amp;diams; ethanethioic acid, S-(tetrahydro-2-methyl-3-furanyl) ester&lt;br /&gt;&amp;diams; S-(tetrahydro-2-methyl-3-furanyl) ethanethioate&lt;br /&gt;&amp;diams; 2-methyltetrahydrofuran-3-yl thioacetate</t>
  </si>
  <si>
    <t xml:space="preserve"> 34545-88-5</t>
  </si>
  <si>
    <t xml:space="preserve"> 7-METHYL-4,4A,5,6-TETRAHYDRO-2(3H)-NAPHTHALENONE</t>
  </si>
  <si>
    <t xml:space="preserve"> &amp;diams; 7-METHYL-4,4A,5,6-TETRAHYDRO-2(3H)-NAPHTHALENONE&lt;br /&gt;&amp;diams; 2(3H)-NAPHTHALENONE, 4,4A,5,6-TETRAHYDRO-7-METHYL-&lt;br /&gt;&amp;diams; 4,4A,5,6-TETRAHYDRO-7-METHYL-2(3H)-NAPHTHALENONE</t>
  </si>
  <si>
    <t xml:space="preserve"> 13679-85-1</t>
  </si>
  <si>
    <t xml:space="preserve"> 2-METHYLTETRAHYDROTHIOPHEN-3-ONE</t>
  </si>
  <si>
    <t xml:space="preserve"> &amp;diams; 2-METHYLTETRAHYDROTHIOPHEN-3-ONE&lt;br /&gt;&amp;diams; DIHYDRO-2-METHYL-3(2H)-THIOPHENONE&lt;br /&gt;&amp;diams; DIHYDRO-2-METHYL-3-THIOPHENONE&lt;br /&gt;&amp;diams; 2-METHYL-4,5-DIHYDRO-3(2H)-THIOPHENONE&lt;br /&gt;&amp;diams; 2-METHYLTHIOLAN-3-ONE&lt;br /&gt;&amp;diams; 3(2H)-THIOPHENONE, DIHYDRO-2-METHYL-&lt;br /&gt;&amp;diams; 2-METHYL-3-OXOTETRAHYDROTHIOPHENE</t>
  </si>
  <si>
    <t xml:space="preserve"> 693-95-8</t>
  </si>
  <si>
    <t xml:space="preserve"> 4-METHYLTHIAZOLE</t>
  </si>
  <si>
    <t xml:space="preserve"> &amp;diams; 4-METHYLTHIAZOLE&lt;br /&gt;&amp;diams; THIAZOLE, 4-METHYL-</t>
  </si>
  <si>
    <t xml:space="preserve"> 137-00-8</t>
  </si>
  <si>
    <t xml:space="preserve"> 4-METHYL-5-THIAZOLEETHANOL</t>
  </si>
  <si>
    <t xml:space="preserve"> &amp;diams; 4-METHYL-5-THIAZOLEETHANOL&lt;br /&gt;&amp;diams; MHT&lt;br /&gt;&amp;diams; 2-(4-METHYLTHIAZOLE-5-YL)ETHANOL&lt;br /&gt;&amp;diams; 5-(2-HYDROXYETHYL)-4-METHYLTHIAZOLE&lt;br /&gt;&amp;diams; 4-METHYL-5-(2-HYDROXYETHYL)THIAZOLE&lt;br /&gt;&amp;diams; 4-METHYL-5-HYDROXETHYLTHIAZOLE&lt;br /&gt;&amp;diams; 4-METHYL-5-(BETA-HYDROXYETHYL)THIAZOLE&lt;br /&gt;&amp;diams; 5-THIAZOLEETHANOL, 4-METHYL-&lt;br /&gt;&amp;diams; 5-(BETA-HYDROXYETHYL)-4-METHYLTHIAZOLE</t>
  </si>
  <si>
    <t xml:space="preserve"> 656-53-1</t>
  </si>
  <si>
    <t xml:space="preserve"> 4-METHYL-5-THIAZOLEETHANOL ACETATE</t>
  </si>
  <si>
    <t xml:space="preserve"> &amp;diams; 4-METHYL-5-THIAZOLEETHANOL ACETATE&lt;br /&gt;&amp;diams; 4-METHYL-5-(BETA-ACETOXYETHYL)THIAZOLE&lt;br /&gt;&amp;diams; 4-METHYL-5-(2-ACETOXYETHYL)THIAZOLE&lt;br /&gt;&amp;diams; 5-THIAZOLEETHANOL, 4-METHYL-, ACETATE ESTER&lt;br /&gt;&amp;diams; 5-THIAZOLEETHANOL, 4-METHYL-, ACETATE&lt;br /&gt;&amp;diams; 5-(2-ACETOXYETHYL)-4-METHYLTHIAZOLE</t>
  </si>
  <si>
    <t xml:space="preserve"> 52558-99-3</t>
  </si>
  <si>
    <t xml:space="preserve"> 4-METHYL-3-THIAZOLINE</t>
  </si>
  <si>
    <t xml:space="preserve"> &amp;diams; 4-METHYL-3-THIAZOLINE&lt;br /&gt;&amp;diams; thiazole, 2,5-dihydro-4-methyl-&lt;br /&gt;&amp;diams; 2,5-dihydro-4-methylthiazole&lt;br /&gt;&amp;diams; 3-thiazoline, 4-methyl-</t>
  </si>
  <si>
    <t xml:space="preserve"> 94159-31-6</t>
  </si>
  <si>
    <t xml:space="preserve"> 2-(4-METHYL-5-THIAZOLYL)ETHYL BUTANOATE</t>
  </si>
  <si>
    <t xml:space="preserve"> &amp;diams; 2-(4-METHYL)-5-THIAZOLYL)ETHYL BUTANOATE&lt;br /&gt;&amp;diams; butanoic acid, 2-(4-methyl)-5-thizolyl)ethyl ester&lt;br /&gt;&amp;diams; 4-methyl-5-thiazoleethanol butanoate&lt;br /&gt;&amp;diams; InChI=1S/C10H15NO2S/c1-3-4-10(12)13-6-5-9-8(2)11-7-14-9/h7H,3-6H2,1-2H3&lt;br /&gt;&amp;diams; InChIKey: GDRZNYCKSKHESZ-UHFFFAOYSA-N</t>
  </si>
  <si>
    <t xml:space="preserve"> 101426-31-7</t>
  </si>
  <si>
    <t xml:space="preserve"> 2-(4-METHYL-5-THIAZOLYL)ETHYL DECANOATE</t>
  </si>
  <si>
    <t xml:space="preserve"> &amp;diams; 2-(4-METHYL-5-THIAZOLYL)ETHYL DECANOATE&lt;br /&gt;&amp;diams; decanoic acid, 2-(4-methyl-5-thiazolyl)ethyl ester&lt;br /&gt;&amp;diams; 4-methyl-5-thiazoleethanol decanoate&lt;br /&gt;&amp;diams; InChI=1S/C16H27NO2S/c1-3-4-5-6-7-8-9-10-16(18)19-12-11-15-14(2)17-13-20-15/h13H,3-12H2,1-2H3&lt;br /&gt;&amp;diams; InChIKey: RUOLKIITSCGKJQ-UHFFFAOYSA-N</t>
  </si>
  <si>
    <t xml:space="preserve"> 90731-56-9</t>
  </si>
  <si>
    <t xml:space="preserve"> 2-(4-METHYL-5-THIAZOLYL)ETHYL FORMATE</t>
  </si>
  <si>
    <t xml:space="preserve"> &amp;diams; 2-(4-METHYL-5-THIAZOLYL)ETHYL FORMATE&lt;br /&gt;&amp;diams; 5-thiazoleethanol, 4-methyl-, 5-formate&lt;br /&gt;&amp;diams; 4-methyl-5-thiazoleethanol 5-formate&lt;br /&gt;&amp;diams; 5-thiazoleethanol, 4-methyl-, formate (ester)&lt;br /&gt;&amp;diams; 4-methyl-5-thiazoleethanol formate (ester)&lt;br /&gt;&amp;diams; 4-methyl-5-thiazoleethanol formate&lt;br /&gt;&amp;diams; InChI=1S/C7H9NO2S/c1-6-7(8-4-11-6)2-3-10-5-9/h4-5H,2-3H2,1H3&lt;br /&gt;&amp;diams; CPIWIFHDFQMGKR-UHFFFAOYSA-N</t>
  </si>
  <si>
    <t xml:space="preserve"> 94159-32-7</t>
  </si>
  <si>
    <t xml:space="preserve"> 2-(4-METHYL-5-THIAZOLYL)ETHYL HEXANOATE</t>
  </si>
  <si>
    <t xml:space="preserve"> &amp;diams; 2-(4-METHYL-5-THIAZOLYL)ETHYL HEXANOATE&lt;br /&gt;&amp;diams; hexanoic acid, 2-(4-methyl-5-thiazolyl)ethyl ester&lt;br /&gt;&amp;diams; 4-methyl-5-thiazoleethanol hexanoate&lt;br /&gt;&amp;diams; InChI=1S/C12H19NO2S/c1-3-4-5-6-12(14)15-8-7-11-10(2)13-9-16-11/h9H,3-8H2,1-2H3&lt;br /&gt;&amp;diams; InChIKey: VJULDCZELAIZHC-UHFFFAOYSA-N</t>
  </si>
  <si>
    <t xml:space="preserve"> 94021-42-8</t>
  </si>
  <si>
    <t xml:space="preserve"> 2-(4-METHYL-5-THIAZOLYL)ETHYL ISOBUTYRATE</t>
  </si>
  <si>
    <t xml:space="preserve"> &amp;diams; 2-(5-METHYL-4-THIAZOLYL)ETHYL ISOBUTYRATE&lt;br /&gt;&amp;diams; propanoic acid, 2-methyl-, 2-(5-methyl-4-thiazolyl)ethyl ester&lt;br /&gt;&amp;diams; 2-(5-methyl-4-thiazolyl)ethyl 2-methylpropanoate&lt;br /&gt;&amp;diams; 5-methyl-4-thiazoleethanol 2-methylpropanoate&lt;br /&gt;&amp;diams; InChI=1S/C10H15NO2S/c1-7(2)10(12)13-5-4-9-8(3)14-6-11-9/h6-7H,4-5H2,1-3H3&lt;br /&gt;&amp;diams; InChIKey: KMEDDQQKAPHCLF-UHFFFAOYSA-N</t>
  </si>
  <si>
    <t xml:space="preserve"> 163266-17-9</t>
  </si>
  <si>
    <t xml:space="preserve"> 2-(4-METHYL-5-THIAZOLYL)ETHYL OCTANOATE</t>
  </si>
  <si>
    <t xml:space="preserve"> &amp;diams; 2-(4-METHYL-5-THIAZOLYL)ETHYL OCTANOATE&lt;br /&gt;&amp;diams; octanoic acid, 2-(4-methyl-5-thiazolyl)ethyl ester&lt;br /&gt;&amp;diams; 4-methyl-5-thiazoleethanol octanoate&lt;br /&gt;&amp;diams; InChI=1S/C14H23NO2S/c1-3-4-5-6-7-8-14(16)17-10-9-13-12(2)15-11-18-13/h11H,3-10H2,1-2H3&lt;br /&gt;&amp;diams; InChIKey: OGJATLSJIMPQBD-UHFFFAOYSA-N</t>
  </si>
  <si>
    <t xml:space="preserve"> 324742-96-3</t>
  </si>
  <si>
    <t xml:space="preserve"> 2-(4-METHYL-5-THIAZOLYL)ETHYL PROPIONATE</t>
  </si>
  <si>
    <t xml:space="preserve"> &amp;diams; 2-(4-METHYL-5-THIAZOLYL)ETHYL PROPIONATE&lt;br /&gt;&amp;diams; 5-thiazoleethanol, 4-methyl-, 5-propanoate&lt;br /&gt;&amp;diams; 4-methyl-5-thiazoleethanol 5-propanoate&lt;br /&gt;&amp;diams; 5-thiazoleethanol, 4-methyl-, propanoate (ester)&lt;br /&gt;&amp;diams; 4-methyl-5-thiazoleethanol propanoate (ester)&lt;br /&gt;&amp;diams; 4-methyl-5-thiazoleethanol propanoate&lt;br /&gt;&amp;diams; InChI=1S/C9H13NO2S/c1-3-9(11)12-5-4-8-7(2)10-6-13-8/h6H,3-5H2,1-2H3&lt;br /&gt;&amp;diams; KXYXTLJGFPUWOE-UHFFFAOYSA-N</t>
  </si>
  <si>
    <t xml:space="preserve"> 23328-62-3</t>
  </si>
  <si>
    <t xml:space="preserve"> 2-METHYLTHIOACETALDEHYDE</t>
  </si>
  <si>
    <t xml:space="preserve"> &amp;diams; METHYLTHIOACETALDEHYDE&lt;br /&gt;&amp;diams; ACETALDEHYDE, (METHYLTHIO)-&lt;br /&gt;&amp;diams; (METHYLTHIO)ACETALDEHYDE&lt;br /&gt;&amp;diams; METHYLMERCAPTO ACETALDEHYDE&lt;br /&gt;&amp;diams; 2-(METHYLTHIO)ACETALDEHYDE&lt;br /&gt;&amp;diams; 2-(METHYLMERCAPTO)ACETALDEHYDE</t>
  </si>
  <si>
    <t xml:space="preserve"> 1534-08-3</t>
  </si>
  <si>
    <t xml:space="preserve"> S-METHYL THIOACETATE</t>
  </si>
  <si>
    <t xml:space="preserve"> &amp;diams; S-METHYL THIOACETATE&lt;br /&gt;&amp;diams; ETHANETHIOIC ACID, S-METHYL ESTER&lt;br /&gt;&amp;diams; S-METHYL ETHANETHIOATE&lt;br /&gt;&amp;diams; ACETIC ACID, THIO-, S-METHYL ESTER&lt;br /&gt;&amp;diams; METHANETHIOL ACETATE</t>
  </si>
  <si>
    <t xml:space="preserve"> 26486-14-6</t>
  </si>
  <si>
    <t xml:space="preserve"> 2-METHYL-3-THIOACETOXY-4,5-DIHYDROFURAN</t>
  </si>
  <si>
    <t xml:space="preserve"> &amp;diams; 2-METHYL-3-THIOACETOXY-4,5-DIHYDROFURAN&lt;br /&gt;&amp;diams; ACETIC ACID, THIO-, S-(4,5-DIHYDRO-2-METHYL-3-FURYL) ESTER&lt;br /&gt;&amp;diams; ETHANETHIOIC ACID, S-(4,5-DIHYDRO-2-METHYL-3-FURANYL) ESTER&lt;br /&gt;&amp;diams; S-(4,5-DIHYDRO-2-METHYL-3-FURANYL) ETHANETHIOATE&lt;br /&gt;&amp;diams; S-(4,5-DIHYDRO-2-METHYL-3-FURYL) THIOACETATE&lt;br /&gt;&amp;diams; 2-METHYL-4,5-DIHYDRO-3-FURANTHIOL ACETATE&lt;br /&gt;&amp;diams; 3-FURANTHIOL, 4,5-DIHYDRO-2-METHYL-, ACETATE&lt;br /&gt;&amp;diams; 4,5-DIHYDRO-2-METHYL-3-FURANTHIYL ACETATE</t>
  </si>
  <si>
    <t xml:space="preserve"> 74586-09-7</t>
  </si>
  <si>
    <t xml:space="preserve"> METHYLTHIO 2-(ACETYLOXY)PROPIONATE</t>
  </si>
  <si>
    <t xml:space="preserve"> &amp;diams; S-METHYL 2-(ACETYLOXY)PROPANETHIOATE&lt;br /&gt;&amp;diams; ACETYLLACTIC ACID THIOMETHYL ESTER&lt;br /&gt;&amp;diams; METHYLTHIO 2-(ACETYLOXY)PROPIONATE&lt;br /&gt;&amp;diams; PROPANETHIOIC ACID, 2-(ACETYLOXY)-, S-METHYL ESTER</t>
  </si>
  <si>
    <t xml:space="preserve"> 16630-52-7</t>
  </si>
  <si>
    <t xml:space="preserve"> 3-(METHYLTHIO)BUTANAL</t>
  </si>
  <si>
    <t xml:space="preserve"> &amp;diams; 3-(METHYLTHIO)BUTANAL&lt;br /&gt;&amp;diams; BUTANAL, 3-(METHYLTHIO)-&lt;br /&gt;&amp;diams; BUTYRALDEHYDE, 3-(METHYLTHIO)-&lt;br /&gt;&amp;diams; BETA-(METHYLTHIO)BUTYRALDEHYDE&lt;br /&gt;&amp;diams; 3-(METHYLTHIO)BUTYRALDEHYDE</t>
  </si>
  <si>
    <t xml:space="preserve"> 20582-85-8</t>
  </si>
  <si>
    <t xml:space="preserve"> 4-(METHYLTHIO)BUTANOL</t>
  </si>
  <si>
    <t xml:space="preserve"> &amp;diams; 4-(METHYLTHIO)BUTANOL&lt;br /&gt;&amp;diams; 1-BUTANOL, 4-(METHYLTHIO)-&lt;br /&gt;&amp;diams; 4-(METHYLTHIO)-1-BUTANOL</t>
  </si>
  <si>
    <t xml:space="preserve"> 53475-15-3</t>
  </si>
  <si>
    <t xml:space="preserve"> 3-(METHYLTHIO)-2-BUTANONE</t>
  </si>
  <si>
    <t xml:space="preserve"> &amp;diams; 3-(METHYLTHIO)BUTANONE&lt;br /&gt;&amp;diams; 2-butanone, 3-(methylthio)-&lt;br /&gt;&amp;diams; InChI=1S/C5H10OS/c1-4(6)5(2)7-3/h5H,1-3H3/t5-/m1/s1&lt;br /&gt;&amp;diams; InChIKey: HFVLNCDRAMUMCC-RXMQYKEDSA-N</t>
  </si>
  <si>
    <t xml:space="preserve"> 13678-58-5</t>
  </si>
  <si>
    <t xml:space="preserve"> 1-(METHYLTHIO)-2-BUTANONE</t>
  </si>
  <si>
    <t xml:space="preserve"> &amp;diams; 1-(METHYLTHIO)-2-BUTANONE&lt;br /&gt;&amp;diams; 2-BUTANONE, 1-(METHYLTHIO)-&lt;br /&gt;&amp;diams; 1-METHYLTHIO-2-BUTANONE</t>
  </si>
  <si>
    <t xml:space="preserve"> 34047-39-7</t>
  </si>
  <si>
    <t xml:space="preserve"> 4-(METHYLTHIO)-2-BUTANONE</t>
  </si>
  <si>
    <t xml:space="preserve"> &amp;diams; 4-(METHYLTHIO)-2-BUTANONE&lt;br /&gt;&amp;diams; 2-BUTANONE, 4-(METHYLTHIO)-</t>
  </si>
  <si>
    <t xml:space="preserve"> 4430-36-8</t>
  </si>
  <si>
    <t xml:space="preserve"> 4-(METHYLTHIO)BUTYL ISOTHIOCYANATE</t>
  </si>
  <si>
    <t xml:space="preserve"> &amp;diams; 4-(METHYLTHIO)BUTYL ISOTHIOCYANATE&lt;br /&gt;&amp;diams; butane, 1-isothiocyanato-4-(methylthio)-&lt;br /&gt;&amp;diams; 1-isothiocyanato-4-(methylthio)butane&lt;br /&gt;&amp;diams; isothiocyanic acid, 4-(methylthio)butyl ester&lt;br /&gt;&amp;diams; InChI=1S/C6H11NS2/c1-9-5-3-2-4-7-6-8/h2-5H2,1H3&lt;br /&gt;&amp;diams; InChIKey: IHQDGXUYTSZGOG-UHFFFAOYSA-N</t>
  </si>
  <si>
    <t xml:space="preserve"> 2432-51-1</t>
  </si>
  <si>
    <t xml:space="preserve"> METHYL THIOBUTYRATE</t>
  </si>
  <si>
    <t xml:space="preserve"> &amp;diams; METHYL THIOBUTYRATE&lt;br /&gt;&amp;diams; METHANETHIOL BUTYRATE&lt;br /&gt;&amp;diams; BUTANETHIOIC ACID, S-METHYL ESTER&lt;br /&gt;&amp;diams; S-METHYL BUTANETHIOATE&lt;br /&gt;&amp;diams; BUTYRIC ACID, THIO-, S-METHYL ESTER&lt;br /&gt;&amp;diams; S-METHYL THIOBUTYRATE</t>
  </si>
  <si>
    <t xml:space="preserve"> 68697-67-6</t>
  </si>
  <si>
    <t xml:space="preserve"> 1-(3-(METHYLTHIO)-BUTYRYL)-2,6,6-TRIMETHYLCYCLOHEXENE</t>
  </si>
  <si>
    <t xml:space="preserve"> &amp;diams; 3-(METHYLTHIO)-1-(2,6,6-TRIMETHYL-1-CYCLOHEXEN-1-YL)-1-BUTANONE&lt;br /&gt;&amp;diams; 1-butanone, 3-(methylthio)-1-(2,6,6-trimethyl-1-cyclohexen-1-yl)-&lt;br /&gt;&amp;diams; 1-(3-(methlthio)butyryl)-2,6,6-trimethyl-1-cyclohexene</t>
  </si>
  <si>
    <t xml:space="preserve"> 5271-38-5</t>
  </si>
  <si>
    <t xml:space="preserve"> 2-(METHYLTHIO)ETHANOL</t>
  </si>
  <si>
    <t xml:space="preserve"> &amp;diams; 2-(METHYLTHIO)ETHANOL&lt;br /&gt;&amp;diams; BETA-HYDROXYETHYL METHYL SULFIDE&lt;br /&gt;&amp;diams; BETA-(METHYLTHIO)ETHANOL&lt;br /&gt;&amp;diams; BETA-METHYLMERCAPTOETHANOL&lt;br /&gt;&amp;diams; ETHANOL, 2-(METHYLTHIO)-&lt;br /&gt;&amp;diams; HYDROXYETHYL METHYL SULFIDE&lt;br /&gt;&amp;diams; METHYL 2-HYDROXYETHYL SULFIDE&lt;br /&gt;&amp;diams; S-METHYLMERCAPTOETHANOL&lt;br /&gt;&amp;diams; 2-HYDROXYETHYL METHYL SULFIDE&lt;br /&gt;&amp;diams; 2-METHYLMERCAPTOETHANOL</t>
  </si>
  <si>
    <t xml:space="preserve"> 5862-47-5</t>
  </si>
  <si>
    <t xml:space="preserve"> 2-(METHYLTHIO)ETHYL ACETATE</t>
  </si>
  <si>
    <t xml:space="preserve"> &amp;diams; 2-(METHYLTHIO)ETHYL ACETATE&lt;br /&gt;&amp;diams; ethanol, 2-(methylthio)-, 1-acetate&lt;br /&gt;&amp;diams; 2-(methylthio)ethyl 1-acetate&lt;br /&gt;&amp;diams; ethanol, 2-(methylthio)-, acetate&lt;br /&gt;&amp;diams; 2-acetoxyethyl methyl sulfide&lt;br /&gt;&amp;diams; InChI=1S/C5H10O2S/c1-5(6)7-3-4-8-2/h3-4H2,1-2H3&lt;br /&gt;&amp;diams; InChIKey: CQIKBSVHIBIPGY-UHFFFAOYSA-N</t>
  </si>
  <si>
    <t xml:space="preserve"> 13679-61-3</t>
  </si>
  <si>
    <t xml:space="preserve"> METHYL 2-THIOFUROATE</t>
  </si>
  <si>
    <t xml:space="preserve"> &amp;diams; METHYL 2-THIOFUROATE&lt;br /&gt;&amp;diams; METHYLTHIOL FUROATE&lt;br /&gt;&amp;diams; 2-FURANCARBOTHIOIC ACID, S-METHYL ESTER&lt;br /&gt;&amp;diams; S-METHYL 2-FURANCARBOTHIOATE&lt;br /&gt;&amp;diams; 2-FUROIC ACID, THIO-, S-METHYL ESTER&lt;br /&gt;&amp;diams; S-METHYL THIO-2-FUROATE&lt;br /&gt;&amp;diams; METHYL THIOFUROATE</t>
  </si>
  <si>
    <t xml:space="preserve"> 51755-70-5</t>
  </si>
  <si>
    <t xml:space="preserve"> (+/-)-3-(METHYLTHIO)HEPTANAL</t>
  </si>
  <si>
    <t xml:space="preserve"> &amp;diams; 3-(METHYLTHIO)HEPTANAL&lt;br /&gt;&amp;diams; heptanal, 3-(methylthio)-&lt;br /&gt;&amp;diams; InChI=1S/C8H16OS/c1-3-4-5-8(10-2)6-7-9/h7-8H,3-6H2,1-2H3&lt;br /&gt;&amp;diams; InChiKey=RQOSXGWCILNIKB-UHFFFAOYSA-N</t>
  </si>
  <si>
    <t xml:space="preserve"> 51755-66-9</t>
  </si>
  <si>
    <t xml:space="preserve"> 3-(METHYLTHIO)-1-HEXANOL</t>
  </si>
  <si>
    <t xml:space="preserve"> &amp;diams; 3-(METHYLTHIO)-1-HEXANOL&lt;br /&gt;&amp;diams; 3-(METHYLMERCAPTO)-1-HEXANOL&lt;br /&gt;&amp;diams; 1-HEXANOL, 3-(METHYLTHIO)-&lt;br /&gt;&amp;diams; 3-(METHYLTHIO)HEXANOL</t>
  </si>
  <si>
    <t xml:space="preserve"> 38433-74-8</t>
  </si>
  <si>
    <t xml:space="preserve"> 3-METHYLTHIOHEXENAL</t>
  </si>
  <si>
    <t xml:space="preserve"> &amp;diams; 3-(METHYLTHIO)HEXANAL&lt;br /&gt;&amp;diams; HEXANAL, 3-(METHYLTHIO)-&lt;br /&gt;&amp;diams; 3-METHYLTHIOHEXANAL</t>
  </si>
  <si>
    <t xml:space="preserve"> 51755-85-2</t>
  </si>
  <si>
    <t xml:space="preserve"> 3-(METHYLTHIO)HEXYL ACETATE</t>
  </si>
  <si>
    <t xml:space="preserve"> &amp;diams; 3-(METHYLTHIO)HEXYL ACETATE&lt;br /&gt;&amp;diams; 1-HEXANOL, 3-(METHYLTHIO)-, ACETATE</t>
  </si>
  <si>
    <t xml:space="preserve"> 4430-39-1</t>
  </si>
  <si>
    <t xml:space="preserve"> 6-(METHYLTHIO)HEXYL ISOTHIOCYANATE</t>
  </si>
  <si>
    <t xml:space="preserve"> &amp;diams; 6-(METHYLTHIO)HEXYL ISOTHIOCYANATE&lt;br /&gt;&amp;diams; hexane, 1-isothiocyanato-6-(methylthio)-&lt;br /&gt;&amp;diams; 1-isothiocyanato-6-(methylthio)hexane&lt;br /&gt;&amp;diams; isothiocyanic acid, 6-(methylthio)hexyl ester&lt;br /&gt;&amp;diams; lesquerellin&lt;br /&gt;&amp;diams; InChI=1S/C8H15NS2/c1-11-7-5-3-2-4-6-9-8-10/h2-7H2,1H3&lt;br /&gt;&amp;diams; InChIKey: YIBXPFAXPUDDTK-UHFFFAOYSA-N</t>
  </si>
  <si>
    <t xml:space="preserve"> 40878-72-6</t>
  </si>
  <si>
    <t xml:space="preserve"> 2-((METHYLTHIO)METHYL)-2-BUTENAL</t>
  </si>
  <si>
    <t xml:space="preserve"> &amp;diams; 2-((METHYLTHIO)METHYL)-2-BUTENAL&lt;br /&gt;&amp;diams; 2-ETHYLIDENE METHIONAL&lt;br /&gt;&amp;diams; 2-BUTENAL, 2-((METHYLTHIO)METHYL)-&lt;br /&gt;&amp;diams; 2-(METHYLMERCAPTO)METHYL-2-BUTENAL</t>
  </si>
  <si>
    <t xml:space="preserve"> 74758-93-3</t>
  </si>
  <si>
    <t xml:space="preserve"> METHYLTHIOMETHYL BUTYRATE</t>
  </si>
  <si>
    <t xml:space="preserve"> &amp;diams; METHYLTHIOMETHYL BUTYRATE&lt;br /&gt;&amp;diams; BUTANOIC ACID, (METHYLTHIO)METHYL ESTER&lt;br /&gt;&amp;diams; (METHYLTHIO)METHYL BUTANOATE</t>
  </si>
  <si>
    <t xml:space="preserve"> 74758-91-1</t>
  </si>
  <si>
    <t xml:space="preserve"> METHYLTHIOMETHYL HEXANOATE</t>
  </si>
  <si>
    <t xml:space="preserve"> &amp;diams; METHYLTHIOMETHYL HEXANOATE&lt;br /&gt;&amp;diams; (METHYLTHIO)METHYL HEXANOATE&lt;br /&gt;&amp;diams; HEXANOIC ACID, (METHYLTHIO)METHYL ESTER&lt;br /&gt;&amp;diams; METHYLTHIOMETHYL CAPROATE</t>
  </si>
  <si>
    <t xml:space="preserve"> 29414-47-9</t>
  </si>
  <si>
    <t xml:space="preserve"> METHYLTHIOMETHYLMERCAPTAN</t>
  </si>
  <si>
    <t xml:space="preserve"> &amp;diams; METHYLTHIOMETHYL MERCAPTAN&lt;br /&gt;&amp;diams; methanethiol, 1-methylthio-&lt;br /&gt;&amp;diams; (methylthio)methanethiol&lt;br /&gt;&amp;diams; 1-methylthiomethanethiol&lt;br /&gt;&amp;diams; InChI=1S/C2H6S2/c1-4-2-3/h3H,2H2,1H3&lt;br /&gt;&amp;diams; InChIKey: IXBUFAUQDFHNGI-UHFFFAOYSA-N</t>
  </si>
  <si>
    <t xml:space="preserve"> 65887-08-3</t>
  </si>
  <si>
    <t xml:space="preserve"> 2-(METHYLTHIOMETHYL)-3-PHENYLPROPENAL</t>
  </si>
  <si>
    <t xml:space="preserve"> &amp;diams; 2-(METHYLTHIOMETHYL)-3-PHENYLPROPENAL&lt;br /&gt;&amp;diams; ALPHA-BENZYLIDENEMETHIONAL&lt;br /&gt;&amp;diams; 2-((METHYLTHIO)METHYL)-3-PHENYL-2-PROPENAL&lt;br /&gt;&amp;diams; 2-PROPENAL, 2-((METHYLTHIO)METHYL)-3-PHENYL-</t>
  </si>
  <si>
    <t xml:space="preserve"> 61675-72-7</t>
  </si>
  <si>
    <t xml:space="preserve"> 3-(METHYLTHIO)METHYLTHIOPHENE</t>
  </si>
  <si>
    <t xml:space="preserve"> &amp;diams; 3-(METHYLTHIO)METHYLTHIOPHENE&lt;br /&gt;&amp;diams; 3-methylsulfanylmethylthiophene&lt;br /&gt;&amp;diams; thiophene, 3-((methylthio)methyl)-&lt;br /&gt;&amp;diams; 3-((methylthio)methyl)thiophene&lt;br /&gt;&amp;diams; InChI=1S/C6H8S2/c1-7-4-6-2-3-8-5-6/h2-3,5H,4H2,1H3&lt;br /&gt;&amp;diams; InChiKey=YWUFGNXATBTVEB-UHFFFAOYSA-N</t>
  </si>
  <si>
    <t xml:space="preserve"> 61837-77-2</t>
  </si>
  <si>
    <t xml:space="preserve"> 1-(METHYLTHIO)-3-OCTANONE</t>
  </si>
  <si>
    <t xml:space="preserve"> &amp;diams; 1-(METHYLTHIO)-3-OCTANONE&lt;br /&gt;&amp;diams; 3-octanone, 1-(methylthio)-</t>
  </si>
  <si>
    <t xml:space="preserve"> 583-92-6</t>
  </si>
  <si>
    <t xml:space="preserve"> 4-(METHYLTHIO)-2-OXOBUTANOIC ACID</t>
  </si>
  <si>
    <t xml:space="preserve"> &amp;diams; 4-(METHYLTHIO)-2-OXOBUTYRIC ACID&lt;br /&gt;&amp;diams; BUTANOIC ACID, 4-(METHYLTHIO)-2-OXO-&lt;br /&gt;&amp;diams; ALPHA-KETO-GAMMA-(METHYLTHIO)BUTYRIC ACID&lt;br /&gt;&amp;diams; BUTYRIC ACID, 4-(METHYLTHIO)-2-OXO-&lt;br /&gt;&amp;diams; ALPHA-OXO-GAMMA-(METHYLTHIO)BUTYRIC ACID&lt;br /&gt;&amp;diams; 2-KETO-4-(METHYLTHIO)BUTYRIC ACID&lt;br /&gt;&amp;diams; 2-KETO-4-(METHYLTHIO)BUTANOIC ACID&lt;br /&gt;&amp;diams; 2-OXO-4-(METHYLTHIO)BUTYRIC ACID&lt;br /&gt;&amp;diams; 4-(METHYLTHIO)-2-OXOBUTANOIC ACID&lt;br /&gt;&amp;diams; 4-(METHYLMERCAPTO)-2-OXOBUTANOIC ACID</t>
  </si>
  <si>
    <t xml:space="preserve"> 143764-28-7</t>
  </si>
  <si>
    <t xml:space="preserve"> 4-(METHYLTHIO)-2-PENTANONE</t>
  </si>
  <si>
    <t xml:space="preserve"> &amp;diams; 4-(METHYLTHIO)-2-PENTANONE&lt;br /&gt;&amp;diams; 2-pentanone, 4-(methylthio)-&lt;br /&gt;&amp;diams; InChI=1S/C6H12OS/c1-5(7)4-6(2)8-3/h6H,4H2,1-3H3&lt;br /&gt;&amp;diams; InChiKey=PNJBGQMNUMZADU-UHFFFAOYSA-N</t>
  </si>
  <si>
    <t xml:space="preserve"> 4430-42-6</t>
  </si>
  <si>
    <t xml:space="preserve"> 5-(METHYLTHIO)PENTYL ISOTHIOCYANATE</t>
  </si>
  <si>
    <t xml:space="preserve"> &amp;diams; 1-ISOTHIOCYANATO-5-(METHYLTHIO)PENTANE&lt;br /&gt;&amp;diams; 5-(METHYLTHIO)PENTYL ISOTHIOCYANATE&lt;br /&gt;&amp;diams; 5-METHYLTHIOPENTYL ISOTHIOCYANATE&lt;br /&gt;&amp;diams; pentane, 1-isothiocyanato-5-(methylthio)-&lt;br /&gt;&amp;diams; isothiocyanic acid, 5-(methylthio)pentyl ester&lt;br /&gt;&amp;diams; InChI=1S/C7H13NS2/c1-10-6-4-2-3-5-8-7-9/h2-6H2,1H3&lt;br /&gt;&amp;diams; InChIKey=HBVIMVJTUQNSEP-UHFFFAOYSA-N</t>
  </si>
  <si>
    <t xml:space="preserve"> 13679-70-4</t>
  </si>
  <si>
    <t xml:space="preserve"> 5-METHYL-2-THIOPHENECARBOXALDEHYDE</t>
  </si>
  <si>
    <t xml:space="preserve"> &amp;diams; 5-METHYL-2-THIOPHENECARBOXALDEHYDE&lt;br /&gt;&amp;diams; 2-THIOPHENECARBOXALDEHYDE, 5-METHYL-&lt;br /&gt;&amp;diams; 2-FORMYL-5-METHYLTHIOPHENE&lt;br /&gt;&amp;diams; 5-METHYL-2-THENALDEHYDE&lt;br /&gt;&amp;diams; 5-METHYL-2-FORMYLTHIOPHENE&lt;br /&gt;&amp;diams; 5-METHYLTHIOPHENE-2-CARBALDEHYDE</t>
  </si>
  <si>
    <t xml:space="preserve"> 1073-29-6</t>
  </si>
  <si>
    <t xml:space="preserve"> O-(METHYLTHIO)PHENOL</t>
  </si>
  <si>
    <t xml:space="preserve"> &amp;diams; 2-(METHYLTHIO)PHENOL&lt;br /&gt;&amp;diams; (METHYLTHIO)PHENOL, O-&lt;br /&gt;&amp;diams; METHYL (2-HYDROXYPHENYL) SULFIDE&lt;br /&gt;&amp;diams; THIOGUAIACOL&lt;br /&gt;&amp;diams; 1-HYDROXY-2-METHYLMERCAPTOBENZENE&lt;br /&gt;&amp;diams; 2-METHYLMERCAPTOPHENOL&lt;br /&gt;&amp;diams; PHENOL, 2-(METHYLTHIO)-&lt;br /&gt;&amp;diams; PHENOL, O-(METHYLTHIO)-&lt;br /&gt;&amp;diams; HYDROXYTHIOANISOLE, O-&lt;br /&gt;&amp;diams; 2-HYDROXYTHIOANISOLE</t>
  </si>
  <si>
    <t xml:space="preserve"> 14109-72-9</t>
  </si>
  <si>
    <t xml:space="preserve"> 1-METHYLTHIO-2-PROPANONE</t>
  </si>
  <si>
    <t xml:space="preserve"> &amp;diams; (METHYLTHIO)ACETONE&lt;br /&gt;&amp;diams; 2-PROPANONE, 1-(METHYLTHIO)-&lt;br /&gt;&amp;diams; 1-(METHYLTHIO)-2-PROPANONE&lt;br /&gt;&amp;diams; 2-PROPANONE, (METHYLTHIO)-&lt;br /&gt;&amp;diams; (METHYLTHIO)-2-PROPANONE&lt;br /&gt;&amp;diams; ALPHA-(METHYLTHIO)ACETONE&lt;br /&gt;&amp;diams; ALPHA-(METHYLTHIO)PROPANONE&lt;br /&gt;&amp;diams; 2-THIA-4-PENTANONE</t>
  </si>
  <si>
    <t xml:space="preserve"> 3268-49-3</t>
  </si>
  <si>
    <t xml:space="preserve"> 3-(METHYLTHIO)PROPIONALDEHYDE</t>
  </si>
  <si>
    <t xml:space="preserve"> &amp;diams; METHIONAL&lt;br /&gt;&amp;diams; 3-(METHYLTHIO)PROPANAL&lt;br /&gt;&amp;diams; 3-(METHYLTHIO)PROPIONALDEHYDE&lt;br /&gt;&amp;diams; 3-METHYLMERCAPTOPROPYL ALDEHYDE&lt;br /&gt;&amp;diams; BETA-(METHYLTHIO)PROPIONALDEHYDE&lt;br /&gt;&amp;diams; BETA-(METHYLMERCAPTO)PROPIONALDEHYDE&lt;br /&gt;&amp;diams; PROPANAL, 3-(METHYLTHIO)-&lt;br /&gt;&amp;diams; PROPIONALDEHYDE, 3-(METHYLTHIO)-&lt;br /&gt;&amp;diams; 3-(METHYLMERCAPTO)PROPIONALDEHYDE</t>
  </si>
  <si>
    <t xml:space="preserve"> 977161-96-8</t>
  </si>
  <si>
    <t xml:space="preserve"> METHYLTHIO 2-(PROPIONYLOXY)PROPIONATE</t>
  </si>
  <si>
    <t xml:space="preserve"> &amp;diams; S-METHYL 2-(PROPIONYLOXY)PROPANETHIOATE&lt;br /&gt;&amp;diams; METHYLTHIO 2-(PROPIONYLOXY)PROPIONATE&lt;br /&gt;&amp;diams; PROPIONYLLACTIC ACID THIOMETHYL ESTER</t>
  </si>
  <si>
    <t xml:space="preserve"> 16630-55-0</t>
  </si>
  <si>
    <t xml:space="preserve"> 3-(METHYLTHIO)PROPYL ACETATE</t>
  </si>
  <si>
    <t xml:space="preserve"> &amp;diams; 3-(METHYLTHIO)PROPYL ACETATE&lt;br /&gt;&amp;diams; METHIONYL ACETATE&lt;br /&gt;&amp;diams; 1-PROPANOL, 3-(METHYLTHIO)-, ACETATE&lt;br /&gt;&amp;diams; 3-(METHYLTHIO)-1-PROPYL ACETATE&lt;br /&gt;&amp;diams; 3-ACETOXYPROPYL METHYL SULFIDE</t>
  </si>
  <si>
    <t xml:space="preserve"> 4104-45-4</t>
  </si>
  <si>
    <t xml:space="preserve"> 3-(METHYLTHIO)PROPYLAMINE</t>
  </si>
  <si>
    <t xml:space="preserve"> &amp;diams; 3-(METHYLTHIO)PROPYLAMINE&lt;br /&gt;&amp;diams; 1-propanamine, 3-(methylthio)-&lt;br /&gt;&amp;diams; 3-(methylthio)-1-propanamine&lt;br /&gt;&amp;diams; propylamine, 3-(methylthio)-&lt;br /&gt;&amp;diams; 3-(methylmercapto)propylamine</t>
  </si>
  <si>
    <t xml:space="preserve"> 906079-63-8</t>
  </si>
  <si>
    <t xml:space="preserve"> 3-(METHYLTHIO)PROPYL HEXANOATE</t>
  </si>
  <si>
    <t xml:space="preserve"> &amp;diams; 3-(METHYLTHIO)PROPYL HEXANOATE&lt;br /&gt;&amp;diams; hexanoic acid, 3-(methylthio)propyl ester</t>
  </si>
  <si>
    <t xml:space="preserve"> 505-79-3</t>
  </si>
  <si>
    <t xml:space="preserve"> 3-METHYLTHIOPROPYL ISOTHIOCYANATE</t>
  </si>
  <si>
    <t xml:space="preserve"> &amp;diams; 3-METHYLTHIOPROPYL ISOTHIOCYANATE&lt;br /&gt;&amp;diams; ISOTHIOCYANIC ACID, 3-(METHYLTHIO)PROPYL ESTER&lt;br /&gt;&amp;diams; PROPANE, 1-ISOTHIOCYANATO-3-(METHYLTHIO)-&lt;br /&gt;&amp;diams; 3-METHYLMERCAPTOPROPYL ISOTHIOCYANATE&lt;br /&gt;&amp;diams; 1-ISOTHIOCYANATO-3-(METHYLTHIO)PROPANE</t>
  </si>
  <si>
    <t xml:space="preserve"> 852997-30-9</t>
  </si>
  <si>
    <t xml:space="preserve"> 3-(METHYLTHIO)PROPYL MERCAPTOACETATE</t>
  </si>
  <si>
    <t xml:space="preserve"> &amp;diams; 3-(METHYLTHIO)PROPYL MERCAPTOACETATE&lt;br /&gt;&amp;diams; acetic acid, 2-mercapto-, 3-(methylthio)propyl ester&lt;br /&gt;&amp;diams; acetic acid, mercapto-, 3-(methylthio)propyl ester&lt;br /&gt;&amp;diams; 3-(methylthio)propyl 2-mercaptoacetate</t>
  </si>
  <si>
    <t xml:space="preserve"> 977044-51-1</t>
  </si>
  <si>
    <t xml:space="preserve"> 2-METHYL-3-TOLYLPROPIONALDEHYDE (MIXED O-, M-, P-)</t>
  </si>
  <si>
    <t xml:space="preserve"> &amp;diams; 2-METHYL-3-TOLYLPROPIONALDEHYDE&lt;br /&gt;&amp;diams; ALPHA,2(OR 3 OR 4)-DIMETHYLBENZENEPROPANAL&lt;br /&gt;&amp;diams; SATINALDEHYDE&lt;br /&gt;&amp;diams; 2-METHYL-3-TOLYLPROPIONALDEHYDE, MIXED O-,M-,P-</t>
  </si>
  <si>
    <t xml:space="preserve"> 75853-49-5</t>
  </si>
  <si>
    <t xml:space="preserve"> 12-METHYLTRIDECANAL</t>
  </si>
  <si>
    <t xml:space="preserve"> &amp;diams; 12-METHYLTRIDECANAL&lt;br /&gt;&amp;diams; TRIDECANAL, 12-METHYL-</t>
  </si>
  <si>
    <t xml:space="preserve"> 43040-01-3</t>
  </si>
  <si>
    <t xml:space="preserve"> 3-METHYL-1,2,4-TRITHIANE</t>
  </si>
  <si>
    <t xml:space="preserve"> &amp;diams; 3-METHYL-1,2,4-TRITHIANE&lt;br /&gt;&amp;diams; 3-METHYL-1,2,4-TRITHIACYCLOHEXANE&lt;br /&gt;&amp;diams; 1,2,4-TRITHIANE, 3-METHYL-</t>
  </si>
  <si>
    <t xml:space="preserve"> 110-41-8</t>
  </si>
  <si>
    <t xml:space="preserve"> 2-METHYLUNDECANAL</t>
  </si>
  <si>
    <t xml:space="preserve"> &amp;diams; METHYL NONYL ACETALDEHYDE&lt;br /&gt;&amp;diams; ALDEHYDE C-12 MNA&lt;br /&gt;&amp;diams; METHYL NONYL ACETIC ALDEHYDE&lt;br /&gt;&amp;diams; UNDECANAL, 2-METHYL-&lt;br /&gt;&amp;diams; 2-METHYLUNDECANAL&lt;br /&gt;&amp;diams; 2-METHYL-1-UNDECANAL&lt;br /&gt;&amp;diams; 2-METHYLHENDECANAL</t>
  </si>
  <si>
    <t xml:space="preserve"> 111-81-9</t>
  </si>
  <si>
    <t xml:space="preserve"> METHYL 10-UNDECENOATE</t>
  </si>
  <si>
    <t xml:space="preserve"> &amp;diams; METHYL 10-UNDECENOATE&lt;br /&gt;&amp;diams; 10-undecenoic acid, methyl ester&lt;br /&gt;&amp;diams; methyl 10-undecylenate&lt;br /&gt;&amp;diams; methyl undec-10-enylate</t>
  </si>
  <si>
    <t xml:space="preserve"> 5760-50-9</t>
  </si>
  <si>
    <t xml:space="preserve"> METHYL 9-UNDECENOATE</t>
  </si>
  <si>
    <t xml:space="preserve"> &amp;diams; METHYL 9-UNDECENOATE&lt;br /&gt;&amp;diams; METHYL 9-UNDECYLENATE&lt;br /&gt;&amp;diams; METHYL UNDECYLENATE&lt;br /&gt;&amp;diams; 9-UNDECENOIC ACID, METHYL ESTER</t>
  </si>
  <si>
    <t xml:space="preserve"> 10522-18-6</t>
  </si>
  <si>
    <t xml:space="preserve"> METHYL 2-UNDECYNOATE</t>
  </si>
  <si>
    <t xml:space="preserve"> &amp;diams; METHYL 2-UNDECYNOATE&lt;br /&gt;&amp;diams; METHYL DECYNE CARBONATE&lt;br /&gt;&amp;diams; 2-UNDECYNOIC ACID, METHYL ESTER&lt;br /&gt;&amp;diams; METHYL DECINE CARBONATE</t>
  </si>
  <si>
    <t xml:space="preserve"> 624-24-8</t>
  </si>
  <si>
    <t xml:space="preserve"> METHYL VALERATE</t>
  </si>
  <si>
    <t xml:space="preserve"> &amp;diams; METHYL VALERATE&lt;br /&gt;&amp;diams; METHYL PENTANOATE&lt;br /&gt;&amp;diams; METHYL VALERIANATE&lt;br /&gt;&amp;diams; PENTANOIC ACID, METHYL ESTER&lt;br /&gt;&amp;diams; VALERIC ACID, METHYL ESTER</t>
  </si>
  <si>
    <t xml:space="preserve"> 97-61-0</t>
  </si>
  <si>
    <t xml:space="preserve"> 2-METHYLVALERIC ACID</t>
  </si>
  <si>
    <t xml:space="preserve"> &amp;diams; 2-METHYLVALERIC ACID&lt;br /&gt;&amp;diams; 2-METHYLPENTANOIC ACID&lt;br /&gt;&amp;diams; METHYLPROPYLACETIC ACID&lt;br /&gt;&amp;diams; PENTANOIC ACID, 2-METHYL-&lt;br /&gt;&amp;diams; VALERIC ACID, 2-METHYL-&lt;br /&gt;&amp;diams; ALPHA-METHYLVALERIC ACID</t>
  </si>
  <si>
    <t xml:space="preserve"> 13925-08-1</t>
  </si>
  <si>
    <t xml:space="preserve"> 2-METHYL-5-VINYLPYRAZINE</t>
  </si>
  <si>
    <t xml:space="preserve"> &amp;diams; 2-METHYL-5-VINYLPYRAZINE&lt;br /&gt;&amp;diams; PYRAZINE, 2-ETHENYL-5-METHYL-&lt;br /&gt;&amp;diams; PYRAZINE, 2-METHYL-5-VINYL-&lt;br /&gt;&amp;diams; 2-ETHENYL-5-METHYLPYRAZINE</t>
  </si>
  <si>
    <t xml:space="preserve"> 67920-63-2</t>
  </si>
  <si>
    <t xml:space="preserve"> (+/-)-2-(5-METHYL-5-VINYLTETRAHYDROFURAN-2-YL)PROPIONALDEHYDE</t>
  </si>
  <si>
    <t xml:space="preserve"> &amp;diams; TETRAHYDRO-ALPHA,5-DIMETHYL-5-VINYL-2-FURANACETALDEHYDE&lt;br /&gt;&amp;diams; 2-furanacetaldehyde, 5-ethenyltetrahydro-alpha,5-dimethyl-&lt;br /&gt;&amp;diams; 5-ethenyltetrahydro-alpha,5-dimethyl-2-furanacetaldehyde&lt;br /&gt;&amp;diams; 2-(5-methyl-5-vinyltetrahydrofuran-2-yl)propionaldehyde&lt;br /&gt;&amp;diams; 2-(1-formylethyl)-5-methyl-5-vinyltetrahydrofuran&lt;br /&gt;&amp;diams; lilac aldehyde, (+-)-</t>
  </si>
  <si>
    <t xml:space="preserve"> 1759-28-0</t>
  </si>
  <si>
    <t xml:space="preserve"> 4-METHYL-5-VINYLTHIAZOLE</t>
  </si>
  <si>
    <t xml:space="preserve"> &amp;diams; 4-METHYL-5-VINYLTHIAZOLE&lt;br /&gt;&amp;diams; THIAZOLE, 5-ETHENYL-4-METHYL-&lt;br /&gt;&amp;diams; THIAZOLE, 4-METHYL-5-VINYL-&lt;br /&gt;&amp;diams; 5-ETHENYL-4-METHYLTHIAZOLE</t>
  </si>
  <si>
    <t xml:space="preserve"> 12001-26-2</t>
  </si>
  <si>
    <t xml:space="preserve"> MICA</t>
  </si>
  <si>
    <t xml:space="preserve"> &amp;diams; MICA-GROUP MINERALS</t>
  </si>
  <si>
    <t xml:space="preserve"> 92457-18-6</t>
  </si>
  <si>
    <t xml:space="preserve"> MICHELIA ALBA, EXTRACT</t>
  </si>
  <si>
    <t xml:space="preserve"> &amp;diams; MICHELIA ALBA EXTRACT&lt;br /&gt;&amp;diams; MICHELIA ALBA, EXT.</t>
  </si>
  <si>
    <t xml:space="preserve"> 977132-83-4</t>
  </si>
  <si>
    <t xml:space="preserve"> MICROPARTICULATED PROTEIN PRODUCT</t>
  </si>
  <si>
    <t xml:space="preserve"> &amp;diams; MICROPARTICULATED PROTEIN PRODUCT&lt;br /&gt;&amp;diams; EGG AND MILK PROTEIN PRODUCT, MICROPARTICULATED&lt;br /&gt;&amp;diams; EGG WHITES AND MILK PROTEIN&lt;br /&gt;&amp;diams; EGG AND MILK PROTEIN PRODUCT, MODIFIED&lt;br /&gt;&amp;diams; MICROPARTICULATED EGG AND MILK PROTEIN PRODUCT</t>
  </si>
  <si>
    <t xml:space="preserve"> 977183-89-3</t>
  </si>
  <si>
    <t xml:space="preserve"> MILK CLOTTING ENZYME, ASPERGILLUS ORYZAE RECOMBINANT</t>
  </si>
  <si>
    <t xml:space="preserve"> &amp;diams; MICROBIAL RENNET, ASPERGILLUS ORYZAE RECOMBINANT</t>
  </si>
  <si>
    <t xml:space="preserve"> 977017-74-5</t>
  </si>
  <si>
    <t xml:space="preserve"> MILK CLOTTING ENZYME FROM BACILLUS CEREUS (FRANKLAND AND FRANKLAND)</t>
  </si>
  <si>
    <t xml:space="preserve"> &amp;diams; MICROBIAL RENNET, BACILLUS CEREUS&lt;br /&gt;&amp;diams; MILK CLOTTING ENZYME, BACILLUS CEREUS</t>
  </si>
  <si>
    <t xml:space="preserve"> 977017-73-4</t>
  </si>
  <si>
    <t xml:space="preserve"> MILK CLOTTING ENZYME FROM ENDOTHIA PARASITICA</t>
  </si>
  <si>
    <t xml:space="preserve"> &amp;diams; MICROBIAL RENNET, ENDOTHIA PARASITICA&lt;br /&gt;&amp;diams; MILK CLOTTING ENZYME, ENDOTHIA PARASITICA</t>
  </si>
  <si>
    <t xml:space="preserve"> 977017-76-7</t>
  </si>
  <si>
    <t xml:space="preserve"> MILK CLOTTING ENZYME FROM MUCOR MIEHEI COONEY ET EMERSON</t>
  </si>
  <si>
    <t xml:space="preserve"> &amp;diams; MICROBIAL RENNET, MUCOR MIEHEI&lt;br /&gt;&amp;diams; MILK CLOTTING ENZYME, MUCOR MIEHEI&lt;br /&gt;&amp;diams; MUCOR MIEHEI MILK CLOTTING ENZYME&lt;br /&gt;&amp;diams; MICROBIAL RENNET, RHIZOMUCOR MIEHEI</t>
  </si>
  <si>
    <t xml:space="preserve"> 977017-75-6</t>
  </si>
  <si>
    <t xml:space="preserve"> MILK CLOTTING ENZYME FROM MUCOR PUSILLUS L.</t>
  </si>
  <si>
    <t xml:space="preserve"> &amp;diams; MICROBIAL RENNET, MUCOR PUSILLUS&lt;br /&gt;&amp;diams; MILK CLOTTING ENZYME, MUCOR PUSILLUS LINDT&lt;br /&gt;&amp;diams; MUCOR PUSILLUS RENNET&lt;br /&gt;&amp;diams; MICROBIAL RENNET, RHIZOMUCOR PUSILLUS&lt;br /&gt;&amp;diams; RENNET, MUCOR PUSILLUS&lt;br /&gt;&amp;diams; RHIZOMUCOR PUSILLUS RENNET</t>
  </si>
  <si>
    <t xml:space="preserve"> 977053-44-3</t>
  </si>
  <si>
    <t xml:space="preserve"> MILK POWDER, WHOLE, ENZYME-MODIFIED</t>
  </si>
  <si>
    <t xml:space="preserve"> &amp;diams; MILK, DRY WHOLE, ENZYME-MODIFIED&lt;br /&gt;&amp;diams; ENZYME-MODIFIED MILK POWDER&lt;br /&gt;&amp;diams; DRY WHOLE MILK, ENZYME-MODIFIED&lt;br /&gt;&amp;diams; MILK POWDER, WHOLE, ENZYME-MODIFIED&lt;br /&gt;&amp;diams; WHOLE MILK POWDER, ENZYME-MODIFIED&lt;br /&gt;&amp;diams; WHOLE DRY MILK, ENZYME-MODIFIED</t>
  </si>
  <si>
    <t xml:space="preserve"> ANTICAKING AGENT OR FREE-FLOW AGENT,&lt;br /&gt; DRYING AGENT,&lt;br /&gt; FLAVOR ENHANCER,&lt;br /&gt; FLAVORING AGENT OR ADJUVANT,&lt;br /&gt; FORMULATION AID,&lt;br /&gt; HUMECTANT,&lt;br /&gt; MALTING OR FERMENTING AID,&lt;br /&gt; NUTRIENT SUPPLEMENT,&lt;br /&gt; STABILIZER OR THICKENER,&lt;br /&gt; TEXTURIZER</t>
  </si>
  <si>
    <t xml:space="preserve"> 977092-60-6</t>
  </si>
  <si>
    <t xml:space="preserve"> MIMOSA, ABSOLUTE (ACACIA DECURRENS WILLD. VAR. DEALBATA)</t>
  </si>
  <si>
    <t xml:space="preserve"> &amp;diams; MIMOSA ABSOLUTE&lt;br /&gt;&amp;diams; BLACK WATTLE ABSOLUTE&lt;br /&gt;&amp;diams; ACACIA DECURRENS ABSOLUTE</t>
  </si>
  <si>
    <t xml:space="preserve"> 977184-00-1</t>
  </si>
  <si>
    <t xml:space="preserve"> MIMOSA CONCRETE (ACACIA DECURRENS WILLD. VAR. DEALBATA)</t>
  </si>
  <si>
    <t xml:space="preserve"> &amp;diams; MIMOSA CONCRETE&lt;br /&gt;&amp;diams; BLACK WATTLE CONCRETE&lt;br /&gt;&amp;diams; ACACIA DECURRENS CONCRETE&lt;br /&gt;&amp;diams; SILVER WATTLE EXTRACT</t>
  </si>
  <si>
    <t xml:space="preserve"> 8012-95-1</t>
  </si>
  <si>
    <t xml:space="preserve"> MINERAL OIL, WHITE</t>
  </si>
  <si>
    <t xml:space="preserve"> &amp;diams; MINERAL OIL&lt;br /&gt;&amp;diams; PARAFFIN OIL&lt;br /&gt;&amp;diams; WHITE MINERAL OIL&lt;br /&gt;&amp;diams; MINERAL OIL, WHITE&lt;br /&gt;&amp;diams; MINERAL OIL, PALE&lt;br /&gt;&amp;diams; PARAFFINIC MINERAL OIL&lt;br /&gt;&amp;diams; PETROLATUM, LIQUID&lt;br /&gt;&amp;diams; JUTE BATCHING OIL&lt;br /&gt;&amp;diams; WHITE OIL&lt;br /&gt;&amp;diams; PARAFFIN OILS&lt;br /&gt;&amp;diams; PARAFFINIC OIL&lt;br /&gt;&amp;diams; MINERAL SEAL OIL&lt;br /&gt;&amp;diams; LIQUID PARAFFIN&lt;br /&gt;&amp;diams; PARAFFIN, LIQUID</t>
  </si>
  <si>
    <t xml:space="preserve"> FORMULATION AID,&lt;br /&gt; LUBRICANT OR RELEASE AGENT,&lt;br /&gt; PROCESSING AID,&lt;br /&gt; SOLVENT OR VEHICLE,&lt;br /&gt; STABILIZER OR THICKENER,&lt;br /&gt; SURFACE-ACTIVE AGENT,&lt;br /&gt; SURFACE-FINISHING AGENT,&lt;br /&gt; TEXTURIZER</t>
  </si>
  <si>
    <t xml:space="preserve"> 13341-72-5</t>
  </si>
  <si>
    <t xml:space="preserve"> MINTLACTONE</t>
  </si>
  <si>
    <t xml:space="preserve"> &amp;diams; MINTLACTONE&lt;br /&gt;&amp;diams; 2(4H)-BENZOFURANONE, 5,6,7,7A-TETRAHYDRO-3,6-DIMETHYL-&lt;br /&gt;&amp;diams; 5,6,7,7A-TETRAHYDRO-3,6-DIMETHYL-2(4H)-BENZOFURANONE&lt;br /&gt;&amp;diams; 3,6-DIMETHYL-5,6,7,7A-TETRAHYDRO-2(4H)-BENZOFURANONE&lt;br /&gt;&amp;diams; DEHYDROXYMENTHOFUROLACTONE</t>
  </si>
  <si>
    <t xml:space="preserve"> 977187-86-2</t>
  </si>
  <si>
    <t xml:space="preserve"> MIXTURE OF BUTYL PROPYL DISULFIDE AND PROPYL AND BUTYL DISULFIDE</t>
  </si>
  <si>
    <t xml:space="preserve"> &amp;diams; BUTYL PROPYL DISULFIDE/BUTYL DISULFIDE/PROPYL DISULFIDE MIXTURE&lt;br /&gt;&amp;diams; mixture of butyl propyl disulfide and propyl and butyl disulfide&lt;br /&gt;&amp;diams; butyl propyl disulfide, mixture with butyl disulfide and propyl disulfide</t>
  </si>
  <si>
    <t xml:space="preserve"> 977083-12-7</t>
  </si>
  <si>
    <t xml:space="preserve"> MOLASSES, CONCENTRATE</t>
  </si>
  <si>
    <t xml:space="preserve"> &amp;diams; MOLASSES CONCENTRATE</t>
  </si>
  <si>
    <t xml:space="preserve"> 977091-60-3</t>
  </si>
  <si>
    <t xml:space="preserve"> MOLASSES, EXTRACT (SACCHARUM OFFICINARUM L.)</t>
  </si>
  <si>
    <t xml:space="preserve"> &amp;diams; MOLASSES EXTRACT</t>
  </si>
  <si>
    <t xml:space="preserve"> 977001-99-2</t>
  </si>
  <si>
    <t xml:space="preserve"> MOLASSES (SACCHARUM OFFICINARUM L.)</t>
  </si>
  <si>
    <t xml:space="preserve"> &amp;diams; MOLASSES&lt;br /&gt;&amp;diams; MELASSE</t>
  </si>
  <si>
    <t xml:space="preserve"> 131.112 ,  131.170 ,  131.200 ,  131.203 ,  131.206</t>
  </si>
  <si>
    <t xml:space="preserve"> 68954-24-5</t>
  </si>
  <si>
    <t xml:space="preserve"> MOLECULAR SIEVE RESINS</t>
  </si>
  <si>
    <t xml:space="preserve"> &amp;diams; POLY(DEXTRAN-CO-EPICHLOROHYDRIN)&lt;br /&gt;&amp;diams; DEXTRAN, CROSS-LINKED WITH EPICHLOROHYDRIN&lt;br /&gt;&amp;diams; DEXTRAN, POLYMER WITH (CHLOROMETHYL)OXIRANE&lt;br /&gt;&amp;diams; OXIRANE, (CHLOROMETHYL)-, POLYMER WITH DEXTRAN&lt;br /&gt;&amp;diams; POLY((CHLOROMETHYL)OXIRANE-CO-DEXTRAN)</t>
  </si>
  <si>
    <t xml:space="preserve"> 7558-63-6</t>
  </si>
  <si>
    <t xml:space="preserve"> MONOAMMONIUM GLUTAMATE</t>
  </si>
  <si>
    <t xml:space="preserve"> &amp;diams; MONOAMMONIUM GLUTAMATE&lt;br /&gt;&amp;diams; AMMONIUM GLUTAMATE&lt;br /&gt;&amp;diams; AMMONIUM DIGLUTAMATE&lt;br /&gt;&amp;diams; GLUTAMIC ACID, MONOAMMONIUM SALT, L-&lt;br /&gt;&amp;diams; MONOAMMONIUM L-GLUTAMATE&lt;br /&gt;&amp;diams; L-GLUTAMIC ACID, MONOAMMONIUM SALT</t>
  </si>
  <si>
    <t xml:space="preserve"> 67254-73-3</t>
  </si>
  <si>
    <t xml:space="preserve"> MONO- AND DIGLYCERIDES</t>
  </si>
  <si>
    <t xml:space="preserve"> &amp;diams; MONO- AND DIGLYCERIDES&lt;br /&gt;&amp;diams; FATTY ACIDS, EDIBLE, MONO- AND DIGLYCERIDES&lt;br /&gt;&amp;diams; GLYCERIDES, MIXED MONO- AND DI-&lt;br /&gt;&amp;diams; MONO- AND DIGLYCERIDES OF EDIBLE FATTY ACIDS&lt;br /&gt;&amp;diams; MONO- AND DIGLYCERIDES OF EDIBLE FATS AND OILS&lt;br /&gt;&amp;diams; MONO- AND DIGLYCERIDES OF EDIBLE FAT-FORMING ACIDS&lt;br /&gt;&amp;diams; MONO- AND DIGLYCERIDES OF FAT-FORMING FATTY ACIDS&lt;br /&gt;&amp;diams; MIXED MONO- AND DIGLYCERIDES&lt;br /&gt;&amp;diams; MONO- AND DIGLYCERIDES OF FATTY ACIDS</t>
  </si>
  <si>
    <t xml:space="preserve"> EMULSIFIER OR EMULSIFIER SALT,&lt;br /&gt; FLAVOR ENHANCER,&lt;br /&gt; FLAVORING AGENT OR ADJUVANT,&lt;br /&gt; LUBRICANT OR RELEASE AGENT,&lt;br /&gt; MASTICATORY SUBSTANCE,&lt;br /&gt; STABILIZER OR THICKENER,&lt;br /&gt; SURFACE-ACTIVE AGENT,&lt;br /&gt; TEXTURIZER</t>
  </si>
  <si>
    <t xml:space="preserve"> 977093-26-7</t>
  </si>
  <si>
    <t xml:space="preserve"> MONO- AND DIGLYCERIDES, ACETIC ACID ESTERS AND SODIUM AND CALCIUM SALTS</t>
  </si>
  <si>
    <t xml:space="preserve"> &amp;diams; MONO- AND DIGLYCERIDES, ACETYLATED, SODIUM AND CALCIUM SALTS&lt;br /&gt;&amp;diams; MONO- AND DIGLYCERIDES, ACETIC ACID ESTERS AND SODIUM AND CALCIUM SALTS</t>
  </si>
  <si>
    <t xml:space="preserve"> 977093-27-8</t>
  </si>
  <si>
    <t xml:space="preserve"> MONO- AND DIGLYCERIDES, ACETYLTARTARIC ACID ESTERS AND SODIUM AND CALCIUM SALTS</t>
  </si>
  <si>
    <t xml:space="preserve"> &amp;diams; MONO- AND DIGLYCERIDES, ACETYLTARTRATED, SODIUM AND CALCIUM SALTS&lt;br /&gt;&amp;diams; MONO- AND DIGLYCERIDES, ACETYLTARTARIC ACID ESTERS AND SODIUM AND CALCIUM SALTS</t>
  </si>
  <si>
    <t xml:space="preserve"> EMULSIFIER OR EMULSIFIER SALT,&lt;br /&gt; TEXTURIZER</t>
  </si>
  <si>
    <t xml:space="preserve"> 977093-28-9</t>
  </si>
  <si>
    <t xml:space="preserve"> MONO- AND DIGLYCERIDES, CITRIC ACID ESTERS AND SODIUM AND CALCIUM SALTS</t>
  </si>
  <si>
    <t xml:space="preserve"> &amp;diams; MONO- AND DIGLYCERIDES, CITRATED, SODIUM AND CALCIUM SALTS&lt;br /&gt;&amp;diams; MONO- AND DIGLYCERIDES, CITRIC ACID ESTERS AND SODIUM AND CALCIUM SALTS</t>
  </si>
  <si>
    <t xml:space="preserve"> 977051-29-8</t>
  </si>
  <si>
    <t xml:space="preserve"> MONO- AND DIGLYCERIDES, DIACETYLTARTARIC ACID ESTERS</t>
  </si>
  <si>
    <t xml:space="preserve"> &amp;diams; MONO- AND DIGLYCERIDES, DIACETYLTARTRATED&lt;br /&gt;&amp;diams; ACETYLATED TARTARIC ACID ESTERS OF MONO- AND DIGLYCERIDES&lt;br /&gt;&amp;diams; DIACETYLTARTARIC ACID ESTERS OF MONO- AND DIGLYCERIDES&lt;br /&gt;&amp;diams; DIACETYLTARTARIC ACID GLYCERIDES&lt;br /&gt;&amp;diams; DIACETYL TARTARIC ACID GLYCERIDES&lt;br /&gt;&amp;diams; DIACETYLTARTARIC AND FATTY ACID ESTERS OF GYLCEROL&lt;br /&gt;&amp;diams; MONO- AND DIGLYCERIDES, DIACETYLTARTARIC ACID ESTERS&lt;br /&gt;&amp;diams; MONO- AND DIGLYCERIDES OF FATTY ACIDS, MONO- AND DIACETYL TARTARIC ACID ESTERS&lt;br /&gt;&amp;diams; MONO- AND DIACETYL TARTARIC ACID ESTERS OF MONO- AND DIGLYCERIDES</t>
  </si>
  <si>
    <t xml:space="preserve"> 61163-33-5</t>
  </si>
  <si>
    <t xml:space="preserve"> MONO- AND DIGLYCERIDES, ETHOXYLATED</t>
  </si>
  <si>
    <t xml:space="preserve"> &amp;diams; PEG-20 MONO- AND DIGLYCERIDES&lt;br /&gt;&amp;diams; ETHOXYLATED MONO- AND DIGLYCERIDES (20 MOLES)&lt;br /&gt;&amp;diams; MONO- AND DIGLYCERIDES, ETHOXYLATED (20 MOLES)&lt;br /&gt;&amp;diams; POLYGLYCERATE 60&lt;br /&gt;&amp;diams; POLYOXYETHYLENE (20) MONO- AND DIGLYCERIDES</t>
  </si>
  <si>
    <t xml:space="preserve"> DOUGH STRENGTHENER,&lt;br /&gt; EMULSIFIER OR EMULSIFIER SALT,&lt;br /&gt; LEAVENING AGENT</t>
  </si>
  <si>
    <t xml:space="preserve"> 977093-29-0</t>
  </si>
  <si>
    <t xml:space="preserve"> MONO- AND DIGLYCERIDES, LACTIC ACID ESTERS AND SODIUM AND CALCIUM SALTS</t>
  </si>
  <si>
    <t xml:space="preserve"> &amp;diams; MONO- AND DIGLYCERIDES, LACTATED, SODIUM AND CALCIUM SALTS&lt;br /&gt;&amp;diams; MONO- AND DIGLYCERIDES, LACTIC ACID ESTERS AND SODIUM AND CALCIUM SALTS</t>
  </si>
  <si>
    <t xml:space="preserve"> 977051-32-3</t>
  </si>
  <si>
    <t xml:space="preserve"> MONO- AND DIGLYCERIDES, MONOSODIUM PHOSPHATE DERIVATIVES</t>
  </si>
  <si>
    <t xml:space="preserve"> &amp;diams; MONO- AND DIGLYCERIDES, MONOSODIUM PHOSPHATE DERIVATIVES&lt;br /&gt;&amp;diams; MONOSODIUM PHOSPHATE MONO- AND DIGLYCERIDES&lt;br /&gt;&amp;diams; MONO- AND DIGLYCERIDE PHOSPHATES, SODIUM SALTS&lt;br /&gt;&amp;diams; SODIUM MONO- AND DIGLYCERIDE PHOSPHATES</t>
  </si>
  <si>
    <t xml:space="preserve"> EMULSIFIER OR EMULSIFIER SALT,&lt;br /&gt; LEAVENING AGENT,&lt;br /&gt; LUBRICANT OR RELEASE AGENT,&lt;br /&gt; SURFACE-ACTIVE AGENT</t>
  </si>
  <si>
    <t xml:space="preserve"> 977052-47-3</t>
  </si>
  <si>
    <t xml:space="preserve"> MONO- AND DIGLYCERIDES, SODIUM SULFOACETATE DERIVATIVES</t>
  </si>
  <si>
    <t xml:space="preserve"> &amp;diams; MONO- AND DIGLYCERIDES, SODIUM SULFOACETATE DERIVATIVES&lt;br /&gt;&amp;diams; SODIUM SULFOACETYLATED MONO- AND DIGLYCERIDES&lt;br /&gt;&amp;diams; SODIUM MONO- AND DIGLYCERIDE SULFOACETATE</t>
  </si>
  <si>
    <t xml:space="preserve"> 79-11-8</t>
  </si>
  <si>
    <t xml:space="preserve"> MONOCHLOROACETIC ACID--PROHIBITED WITH EXCEPTIONS</t>
  </si>
  <si>
    <t xml:space="preserve"> &amp;diams; CHLOROACETIC ACID&lt;br /&gt;&amp;diams; MONOCHLOROACETIC ACID&lt;br /&gt;&amp;diams; ACETIC ACID, CHLORO-&lt;br /&gt;&amp;diams; CHLOROETHANOIC ACID&lt;br /&gt;&amp;diams; ALPHA-CHLOROACETIC ACID&lt;br /&gt;&amp;diams; MONOCHLOROETHANOIC ACID</t>
  </si>
  <si>
    <t xml:space="preserve"> 977012-39-7</t>
  </si>
  <si>
    <t xml:space="preserve"> MONO-, DI-, AND TRIGLYCERIDES</t>
  </si>
  <si>
    <t xml:space="preserve"> &amp;diams; MONO-, DI-, AND TRIGLYCERIDES</t>
  </si>
  <si>
    <t xml:space="preserve"> 141-43-5</t>
  </si>
  <si>
    <t xml:space="preserve"> MONOETHANOLAMINE</t>
  </si>
  <si>
    <t xml:space="preserve"> &amp;diams; MONOETHANOLAMINE&lt;br /&gt;&amp;diams; GLYCINOL (MONOETHANOLAMINE)&lt;br /&gt;&amp;diams; 2-AMINOETHANOL&lt;br /&gt;&amp;diams; COLAMINE&lt;br /&gt;&amp;diams; ETHANOL, 2-AMINO-&lt;br /&gt;&amp;diams; BETA-AMINOETHYL ALCOHOL&lt;br /&gt;&amp;diams; 2-HYDROXYETHYLAMINE</t>
  </si>
  <si>
    <t xml:space="preserve"> 36291-32-4</t>
  </si>
  <si>
    <t xml:space="preserve"> MONOGLYCERIDE CITRATE</t>
  </si>
  <si>
    <t xml:space="preserve"> &amp;diams; MONOGLYCERIDE CITRATE&lt;br /&gt;&amp;diams; CITRIC ACID MONOGLYCERIDE&lt;br /&gt;&amp;diams; CITRIC ACID, ESTER WITH GLYCEROL&lt;br /&gt;&amp;diams; 1,2,3-PROPANETRICARBOXYLIC ACID, 2-HYDROXY-, MONOESTER WITH 1,2,3-PROPANETRIOL&lt;br /&gt;&amp;diams; 1,2,3-PROPANETRIOL MONO(2-HYDROXY-1,2,3-PROPANETRICARBOXYLATE)</t>
  </si>
  <si>
    <t xml:space="preserve"> ANTIOXIDANT,&lt;br /&gt; EMULSIFIER OR EMULSIFIER SALT,&lt;br /&gt; SEQUESTRANT,&lt;br /&gt; SYNERGIST</t>
  </si>
  <si>
    <t xml:space="preserve"> 977051-34-5</t>
  </si>
  <si>
    <t xml:space="preserve"> MONOGLYCERIDES, ACETYLATED</t>
  </si>
  <si>
    <t xml:space="preserve"> &amp;diams; MONOGLYCERIDES, ACETYLATED&lt;br /&gt;&amp;diams; ACETOGLYCERIDES&lt;br /&gt;&amp;diams; ACETIC ACID ESTERS OF MONO- AND DIGLYCERIDES&lt;br /&gt;&amp;diams; MONO- AND DIGLYCERIDES, ACETYLATED&lt;br /&gt;&amp;diams; MONO- AND DIGLYCERIDES OF FATTY ACIDS, ACETIC ACID ESTERS</t>
  </si>
  <si>
    <t xml:space="preserve"> ANTICAKING AGENT OR FREE-FLOW AGENT,&lt;br /&gt; COLOR OR COLORING ADJUNCT,&lt;br /&gt; DRYING AGENT,&lt;br /&gt; EMULSIFIER OR EMULSIFIER SALT,&lt;br /&gt; FORMULATION AID,&lt;br /&gt; HUMECTANT,&lt;br /&gt; LUBRICANT OR RELEASE AGENT,&lt;br /&gt; MASTICATORY SUBSTANCE,&lt;br /&gt; PROCESSING AID,&lt;br /&gt; SURFACE-FINISHING AGENT</t>
  </si>
  <si>
    <t xml:space="preserve"> 1321-57-9</t>
  </si>
  <si>
    <t xml:space="preserve"> MONOISOPROPYL CITRATE</t>
  </si>
  <si>
    <t xml:space="preserve"> &amp;diams; MONOISOPROPYL CITRATE&lt;br /&gt;&amp;diams; CITRIC ACID, MONOISOPROPYL ESTER&lt;br /&gt;&amp;diams; MONO(1-METHYLETHYL) 2-HYDROXY-1,2,3-PROPANETRICARBOXYLATE&lt;br /&gt;&amp;diams; 1,2,3-PROPANETRICARBOXYLIC ACID, 2-HYDROXY-, MONO(1-METHYLETHYL) ESTER</t>
  </si>
  <si>
    <t xml:space="preserve"> FORMULATION AID,&lt;br /&gt; SEQUESTRANT,&lt;br /&gt; SYNERGIST</t>
  </si>
  <si>
    <t xml:space="preserve"> 220621-22-7</t>
  </si>
  <si>
    <t xml:space="preserve"> MONOMENTHYL GLUTARATE, L-</t>
  </si>
  <si>
    <t xml:space="preserve"> &amp;diams; MONOMENTHYL GLUTARATE, L-&lt;br /&gt;&amp;diams; PENTANEDIOIC ACID, MONO((1R,2S,5R)-5-METHYL-2-(1-METHYLETHYL)CYCLOHEXYL) ESTER</t>
  </si>
  <si>
    <t xml:space="preserve"> 77341-67-4</t>
  </si>
  <si>
    <t xml:space="preserve"> MONOMENTHYL SUCCINATE</t>
  </si>
  <si>
    <t xml:space="preserve"> &amp;diams; MONOMENTHYL SUCCINATE&lt;br /&gt;&amp;diams; butanedioic acid, 1-((1R,2S,5R)-5-methyl-2-(1-methylethyl)cyclohexyl) ester&lt;br /&gt;&amp;diams; butanedioic acid, mono((1R,2S,5R)-5-methyl-2-(1-methylethyl)cyclohexyl) ester&lt;br /&gt;&amp;diams; mono(5-methyl-2-(1-methylethyl)cyclohexyl) butanedioate, (1R-(1alpha,2beta,5alpha))-&lt;br /&gt;&amp;diams; 1-((1R,2S,5R)-5-methyl-2-(1-methylethyl)cyclohexyl) butanedioate&lt;br /&gt;&amp;diams; mono((1R,2S,5R)-5-methyl-2-(1-methylethyl)cyclohexyl) butanedioate</t>
  </si>
  <si>
    <t xml:space="preserve"> 19473-49-5</t>
  </si>
  <si>
    <t xml:space="preserve"> MONOPOTASSIUM GLUTAMATE</t>
  </si>
  <si>
    <t xml:space="preserve"> &amp;diams; MONOPOTASSIUM GLUTAMATE&lt;br /&gt;&amp;diams; GLUTAMIC ACID, MONOPOTASSIUM SALT, L-&lt;br /&gt;&amp;diams; MONOPOTASSIUM L-GLUTAMATE&lt;br /&gt;&amp;diams; L-GLUTAMIC ACID, MONOPOTASSIUM SALT&lt;br /&gt;&amp;diams; POTASSIUM GLUTAMATE&lt;br /&gt;&amp;diams; POTASSIUM DIGLUTAMATE</t>
  </si>
  <si>
    <t xml:space="preserve"> FLAVOR ENHANCER,&lt;br /&gt; NUTRIENT SUPPLEMENT</t>
  </si>
  <si>
    <t xml:space="preserve"> 977093-49-4</t>
  </si>
  <si>
    <t xml:space="preserve"> MONTAN WAX FATTY ACIDS, OXIDATIVELY REFINED, POLYHYDRIC ALCOHOL DIESTERS</t>
  </si>
  <si>
    <t xml:space="preserve"> &amp;diams; MONTAN WAX FATTY ACIDS, OXIDATIVELY REFINED, POLYHYDRIC ALCOHOL DIESTERS&lt;br /&gt;&amp;diams; POLYHYDRIC ALCOHOL DIESTERS OF MONTAN WAX ACIDS</t>
  </si>
  <si>
    <t xml:space="preserve"> 110-91-8</t>
  </si>
  <si>
    <t xml:space="preserve"> MORPHOLINE</t>
  </si>
  <si>
    <t xml:space="preserve"> &amp;diams; MORPHOLINE&lt;br /&gt;&amp;diams; TETRAHYDRO-1,4-OXAZINE&lt;br /&gt;&amp;diams; TETRAHYDRO-2H-1,4-OXAZINE</t>
  </si>
  <si>
    <t xml:space="preserve"> 977034-72-2</t>
  </si>
  <si>
    <t xml:space="preserve"> MORPHOLINE, FATTY ACID SALTS</t>
  </si>
  <si>
    <t xml:space="preserve"> &amp;diams; FATTY ACIDS, MORPHOLINE SALTS&lt;br /&gt;&amp;diams; MORPHOLINE SALTS OF FATTY ACIDS&lt;br /&gt;&amp;diams; MORPHOLINE, FATTY ACID SALTS</t>
  </si>
  <si>
    <t xml:space="preserve"> 977048-48-8</t>
  </si>
  <si>
    <t xml:space="preserve"> MOUNTAIN MAPLE (ACER SPICATUM LAM.)</t>
  </si>
  <si>
    <t xml:space="preserve"> &amp;diams; MOUNTAIN MAPLE&lt;br /&gt;&amp;diams; ACER SPICATUM&lt;br /&gt;&amp;diams; FALSE CRAMP-BARK&lt;br /&gt;&amp;diams; MAPLE, MOUNTAIN</t>
  </si>
  <si>
    <t xml:space="preserve"> 977089-64-7</t>
  </si>
  <si>
    <t xml:space="preserve"> MOUNTAIN MAPLE BARK (ACER SPICATUM LAM.)</t>
  </si>
  <si>
    <t xml:space="preserve"> &amp;diams; MOUNTAIN MAPLE BARK&lt;br /&gt;&amp;diams; ACER SPICATUM BARK</t>
  </si>
  <si>
    <t xml:space="preserve"> 977089-65-8</t>
  </si>
  <si>
    <t xml:space="preserve"> MOUNTAIN MAPLE, EXTRACT SOLID (ACER SPICATUM LAM.)</t>
  </si>
  <si>
    <t xml:space="preserve"> &amp;diams; MOUNTAIN MAPLE EXTRACT, SOLID&lt;br /&gt;&amp;diams; ACER SPICATUM EXTRACT, SOLID</t>
  </si>
  <si>
    <t xml:space="preserve"> 977048-46-6</t>
  </si>
  <si>
    <t xml:space="preserve"> MULLEIN FLOWERS (VERBASCUM SPP.)</t>
  </si>
  <si>
    <t xml:space="preserve"> &amp;diams; MULLEIN FLOWER&lt;br /&gt;&amp;diams; MULLEN FLOWER&lt;br /&gt;&amp;diams; VERBASCUM FLOWER</t>
  </si>
  <si>
    <t xml:space="preserve"> 68917-13-5</t>
  </si>
  <si>
    <t xml:space="preserve"> MUSHROOM OIL, DISTILLED</t>
  </si>
  <si>
    <t xml:space="preserve"> &amp;diams; MUSHROOM OIL, DISTILLED&lt;br /&gt;&amp;diams; oils, mushroom&lt;br /&gt;&amp;diams; mushroom oils</t>
  </si>
  <si>
    <t xml:space="preserve"> 83-66-9</t>
  </si>
  <si>
    <t xml:space="preserve"> MUSK AMBRETTE--NLFG</t>
  </si>
  <si>
    <t xml:space="preserve"> &amp;diams; MUSK AMBRETTE&lt;br /&gt;&amp;diams; 2,6-DINITRO-3-METHOXY-4-TERT-BUTYLTOLUENE&lt;br /&gt;&amp;diams; 6-TERT-BUTYL-3-METHYL-2,4-DINITROANISOLE&lt;br /&gt;&amp;diams; 4-TERT-BUTYL-3-METHOXY-1-METHYL-2,6-DINITROBENZENE&lt;br /&gt;&amp;diams; 2,6-DINITRO-3-METHOXY-1-METHYL-4-TERT-BUTYLBENZENE&lt;br /&gt;&amp;diams; 2,4-DINITRO-3-METHYL-6-TERT-BUTYLANISOLE&lt;br /&gt;&amp;diams; 4-METHOXY-1,3-DINITRO-2-METHYL-5-TERT-BUTYLBENZENE&lt;br /&gt;&amp;diams; MUSK AMBRETTE, ARTIFICIAL&lt;br /&gt;&amp;diams; ANISOLE, 6-TERT-BUTYL-3-METHYL-2,4-DINITRO-&lt;br /&gt;&amp;diams; BENZENE, 1-(1,1-DIMETHYLETHYL)-2-METHOXY-4-METHYL-3,5-DINITRO-&lt;br /&gt;&amp;diams; 1-(1,1-DIMETHYLETHYL)-2-METHOXY-4-METHYL-3,5-DINITROBENZENE</t>
  </si>
  <si>
    <t xml:space="preserve"> NLFG-2758</t>
  </si>
  <si>
    <t xml:space="preserve"> 3, 13</t>
  </si>
  <si>
    <t xml:space="preserve"> No longer FEMA GRAS (GRAS Pub. 13, 1984)</t>
  </si>
  <si>
    <t xml:space="preserve"> 81-14-1</t>
  </si>
  <si>
    <t xml:space="preserve"> MUSK, KETONE</t>
  </si>
  <si>
    <t xml:space="preserve"> &amp;diams; MUSK KETONE&lt;br /&gt;&amp;diams; 3,5-DINITRO-2,6-DIMETHYL-4-TERT-BUTYLACETOPHENONE&lt;br /&gt;&amp;diams; 2,6-DINITRO-3,5-DIMETHYL-4-ACETYL-TERT-BUTYLBENZENE&lt;br /&gt;&amp;diams; 4-TERT-BUTYL-3,5-DINITRO-2,6-DIMETHYLACETOPHENONE</t>
  </si>
  <si>
    <t xml:space="preserve"> 8001-04-5</t>
  </si>
  <si>
    <t xml:space="preserve"> MUSK TONQUIN (MOSCHUS MOSCHIFERUS L.)</t>
  </si>
  <si>
    <t xml:space="preserve"> &amp;diams; MUSK&lt;br /&gt;&amp;diams; MUSK TONQUIN&lt;br /&gt;&amp;diams; MUSKS&lt;br /&gt;&amp;diams; MUSK DEER OIL</t>
  </si>
  <si>
    <t xml:space="preserve"> 977051-38-9</t>
  </si>
  <si>
    <t xml:space="preserve"> MUSTARD, BROWN (BRASSICA SPP.)</t>
  </si>
  <si>
    <t xml:space="preserve"> &amp;diams; BROWN MUSTARD&lt;br /&gt;&amp;diams; BRASSICA JUNCEA&lt;br /&gt;&amp;diams; INDIAN MUSTARD&lt;br /&gt;&amp;diams; LEAF MUSTARD&lt;br /&gt;&amp;diams; MUSTARD SPINACH&lt;br /&gt;&amp;diams; MOUTARDE BLONDE (BRASSICA JUNCEA)&lt;br /&gt;&amp;diams; SICHUAN PRESERVED VEGETABLE&lt;br /&gt;&amp;diams; ZHA CAI&lt;br /&gt;&amp;diams; MUSTARD, BROWN&lt;br /&gt;&amp;diams; BRASSICA JUNCEA VAR. TIMIDA</t>
  </si>
  <si>
    <t xml:space="preserve"> COLOR OR COLORING ADJUNCT,&lt;br /&gt; FLAVORING AGENT OR ADJUVANT,&lt;br /&gt; STABILIZER OR THICKENER</t>
  </si>
  <si>
    <t xml:space="preserve"> 977091-79-4</t>
  </si>
  <si>
    <t xml:space="preserve"> MUSTARD, BROWN, EXTRACT (BRASSICA SPP.)</t>
  </si>
  <si>
    <t xml:space="preserve"> &amp;diams; MUSTARD EXTRACT, BROWN&lt;br /&gt;&amp;diams; BRASSICA JUNCEA EXTRACT</t>
  </si>
  <si>
    <t xml:space="preserve"> 977071-79-6</t>
  </si>
  <si>
    <t xml:space="preserve"> MUSTARD FLOUR</t>
  </si>
  <si>
    <t xml:space="preserve"> &amp;diams; MUSTARD FLOUR&lt;br /&gt;&amp;diams; MUSTARD, POWDERED&lt;br /&gt;&amp;diams; MUSTARD, DRY</t>
  </si>
  <si>
    <t xml:space="preserve"> COLOR OR COLORING ADJUNCT,&lt;br /&gt; FLAVORING AGENT OR ADJUVANT,&lt;br /&gt; PROCESSING AID,&lt;br /&gt; STABILIZER OR THICKENER,&lt;br /&gt; SURFACE-FINISHING AGENT,&lt;br /&gt; TEXTURIZER</t>
  </si>
  <si>
    <t xml:space="preserve"> 8007-40-7</t>
  </si>
  <si>
    <t xml:space="preserve"> MUSTARD OIL</t>
  </si>
  <si>
    <t xml:space="preserve"> &amp;diams; MUSTARD OIL&lt;br /&gt;&amp;diams; MUSTARD SEED OIL&lt;br /&gt;&amp;diams; OILS, MUSTARD&lt;br /&gt;&amp;diams; BRASSICA SEED OIL</t>
  </si>
  <si>
    <t xml:space="preserve"> 977088-95-1</t>
  </si>
  <si>
    <t xml:space="preserve"> MUSTARD, ORIENTAL</t>
  </si>
  <si>
    <t xml:space="preserve"> &amp;diams; MUSTARD, ORIENTAL</t>
  </si>
  <si>
    <t xml:space="preserve"> 977051-39-0</t>
  </si>
  <si>
    <t xml:space="preserve"> MUSTARD, YELLOW (BRASSICA SPP.)</t>
  </si>
  <si>
    <t xml:space="preserve"> &amp;diams; MUSTARD, WHITE&lt;br /&gt;&amp;diams; MUSTARD, YELLOW&lt;br /&gt;&amp;diams; BRASSICA HIRTA&lt;br /&gt;&amp;diams; MOUTARDE BLANCHE (BRAXICA HIRTA OU SINAPIS ALBA)&lt;br /&gt;&amp;diams; MUSTARD, WHITE OR YELLOW&lt;br /&gt;&amp;diams; SINAPIS ALBA&lt;br /&gt;&amp;diams; YELLOW MUSTARD&lt;br /&gt;&amp;diams; WHITE MUSTARD</t>
  </si>
  <si>
    <t xml:space="preserve"> FLAVORING AGENT OR ADJUVANT,&lt;br /&gt; STABILIZER OR THICKENER,&lt;br /&gt; TEXTURIZER</t>
  </si>
  <si>
    <t xml:space="preserve"> 977091-80-7</t>
  </si>
  <si>
    <t xml:space="preserve"> MUSTARD, YELLOW, EXTRACT (BRASSICA SPP.)</t>
  </si>
  <si>
    <t xml:space="preserve"> &amp;diams; MUSTARD EXTRACT, WHITE&lt;br /&gt;&amp;diams; BRASSICA HIRTA EXTRACT&lt;br /&gt;&amp;diams; MUSTARD EXTRACT, YELLOW</t>
  </si>
  <si>
    <t xml:space="preserve"> 24202-00-4</t>
  </si>
  <si>
    <t xml:space="preserve"> MYRCENYL METHYL ETHER</t>
  </si>
  <si>
    <t xml:space="preserve"> &amp;diams; 7-METHOXY-7-METHYL-3-METHYLENE-1-OCTENE&lt;br /&gt;&amp;diams; 1-octene, 7-methoxy-7-methyl-3-methylene-&lt;br /&gt;&amp;diams; ether, 1,1-dimethyl-5-methylene-6-heptenyl methyl&lt;br /&gt;&amp;diams; 1,1-dimethyl-5-methylene-6-heptenyl methyl ether&lt;br /&gt;&amp;diams; myrcenyl methyl ether&lt;br /&gt;&amp;diams; 7-methoxy-7-methyl-3-methylene-1-octene</t>
  </si>
  <si>
    <t xml:space="preserve"> 17912-87-7</t>
  </si>
  <si>
    <t xml:space="preserve"> MYRICITRIN</t>
  </si>
  <si>
    <t xml:space="preserve"> &amp;diams; MYRICITRIN&lt;br /&gt;&amp;diams; MYRICETIN 3-RHAMNOSIDE&lt;br /&gt;&amp;diams; 4H-1-benzopyran-4-one, 3-((6-deoxy-alpha-L-mannopyranosyl)oxy)-5,7-dihydroxy-2-(3,4,5-trihydroxyphenyl)-&lt;br /&gt;&amp;diams; 3-((6-deoxy-alpha-L-mannopyranosyl)oxy)-5,7-dihydroxy-2-(3,4,5-trihydroxyphenyl)-4H-1-benzopyran-4-one&lt;br /&gt;&amp;diams; 3,3',4',5,5',7-hexahydroxyflavone, 3-rhamnoside&lt;br /&gt;&amp;diams; InChI=1S/C21H20O12/c1-6-14(26)17(29)18(30)21(31-6)33-20-16(28)13-9(23)4-8(22)5-12(13)32-19(20)7-2-10(24)15(27)11(25)3-7/h2-6,14,17-18,21-27,29-30H,1H3/t6-,14-,17+,18+,21-/m0/s1&lt;br /&gt;&amp;diams; InChIKey: DCYOADKBABEMIQ-OWMUPTOHSA-N</t>
  </si>
  <si>
    <t xml:space="preserve"> 124-25-4</t>
  </si>
  <si>
    <t xml:space="preserve"> MYRISTALDEHYDE</t>
  </si>
  <si>
    <t xml:space="preserve"> &amp;diams; MYRISTALDEHYDE&lt;br /&gt;&amp;diams; ALDEHYDE C-14&lt;br /&gt;&amp;diams; TETRADECANAL&lt;br /&gt;&amp;diams; TETRADECYL ALDEHYDE</t>
  </si>
  <si>
    <t xml:space="preserve"> 544-63-8</t>
  </si>
  <si>
    <t xml:space="preserve"> MYRISTIC ACID</t>
  </si>
  <si>
    <t xml:space="preserve"> &amp;diams; MYRISTIC ACID&lt;br /&gt;&amp;diams; TETRADECANOIC ACID&lt;br /&gt;&amp;diams; C14 FATTY ACID&lt;br /&gt;&amp;diams; 1-TRIDECANECARBOXYLIC ACID</t>
  </si>
  <si>
    <t xml:space="preserve"> 112-72-1</t>
  </si>
  <si>
    <t xml:space="preserve"> MYRISTYL ALCOHOL</t>
  </si>
  <si>
    <t xml:space="preserve"> &amp;diams; MYRISTYL ALCOHOL&lt;br /&gt;&amp;diams; ALCOHOL(C14)&lt;br /&gt;&amp;diams; TETRADECYL ALCOHOL&lt;br /&gt;&amp;diams; 1-TETRADECANOL&lt;br /&gt;&amp;diams; C14 ALCOHOL&lt;br /&gt;&amp;diams; FATTY ALCOHOL(C14)&lt;br /&gt;&amp;diams; TETRADECANOL&lt;br /&gt;&amp;diams; 1-HYDROXYTETRADECANE</t>
  </si>
  <si>
    <t xml:space="preserve"> FORMULATION AID,&lt;br /&gt; LUBRICANT OR RELEASE AGENT</t>
  </si>
  <si>
    <t xml:space="preserve"> 100084-96-6</t>
  </si>
  <si>
    <t xml:space="preserve"> MYRRH, EXTRACT</t>
  </si>
  <si>
    <t xml:space="preserve"> &amp;diams; MYRRH EXTRACT&lt;br /&gt;&amp;diams; COMMIPHORA ERYTHRAEA, EXT.&lt;br /&gt;&amp;diams; COMMIPHORA ERYTHRAEA EXTRACT</t>
  </si>
  <si>
    <t xml:space="preserve"> 9000-45-7</t>
  </si>
  <si>
    <t xml:space="preserve"> MYRRH, GUM (COMMIPHORA SPP.)</t>
  </si>
  <si>
    <t xml:space="preserve"> &amp;diams; MYRRH&lt;br /&gt;&amp;diams; MYRRH GUM&lt;br /&gt;&amp;diams; COMMIPHORA GUM</t>
  </si>
  <si>
    <t xml:space="preserve"> 8016-37-3</t>
  </si>
  <si>
    <t xml:space="preserve"> MYRRH, OIL (COMMIPHORA SPP.)</t>
  </si>
  <si>
    <t xml:space="preserve"> &amp;diams; MYRRH OIL&lt;br /&gt;&amp;diams; OILS, MYRRH&lt;br /&gt;&amp;diams; COMMIPHORA OIL</t>
  </si>
  <si>
    <t xml:space="preserve"> 515-00-4</t>
  </si>
  <si>
    <t xml:space="preserve"> MYRTENOL</t>
  </si>
  <si>
    <t xml:space="preserve"> &amp;diams; MYRTENOL&lt;br /&gt;&amp;diams; 2-PINEN-10-OL&lt;br /&gt;&amp;diams; 2-HYDROXYMETHYL-6,6-DIMETHYLBICYCLO(3.1.1)HEPT-2-ENE&lt;br /&gt;&amp;diams; 6,6-DIMETHYL-2-HYDROXYMETHYLBICYCLO(3.1.1)HEPT-2-ENE&lt;br /&gt;&amp;diams; 6,6-DIMETHYLBICYCLO(3.1.1)HEPT-2-ENE-2-METHANOL&lt;br /&gt;&amp;diams; BICYCLO(3.1.1)HEPT-2-ENE-2-METHANOL, 6,6-DIMETHYL-</t>
  </si>
  <si>
    <t xml:space="preserve"> 1079-01-2</t>
  </si>
  <si>
    <t xml:space="preserve"> MYRTENYL ACETATE</t>
  </si>
  <si>
    <t xml:space="preserve"> &amp;diams; MYRTENYL ACETATE&lt;br /&gt;&amp;diams; 2-PINEN-10-YL ACETATE&lt;br /&gt;&amp;diams; BICYCLO(3.1.1)HEPT-2-ENE-2-METHANOL, 6,6-DIMETHYL-, ACETATE, (1S)-&lt;br /&gt;&amp;diams; 2-PINEN-10-OL, ACETATE&lt;br /&gt;&amp;diams; MYRTENYL ACETATE, (+)-</t>
  </si>
  <si>
    <t xml:space="preserve"> 977070-85-1</t>
  </si>
  <si>
    <t xml:space="preserve"> MYRTLE LEAVES (MYRTUS COMMUNIS L.)</t>
  </si>
  <si>
    <t xml:space="preserve"> &amp;diams; MYRTLE LEAF&lt;br /&gt;&amp;diams; MYRTUS COMMUNIS LEAF</t>
  </si>
  <si>
    <t xml:space="preserve"> 8008-46-6</t>
  </si>
  <si>
    <t xml:space="preserve"> MYRTLE, OIL (MYRTUS COMMUNIS L.)</t>
  </si>
  <si>
    <t xml:space="preserve"> &amp;diams; MYRTLE OIL&lt;br /&gt;&amp;diams; OILS, MYRTLE&lt;br /&gt;&amp;diams; MYRTUS COMMUNIS OIL</t>
  </si>
  <si>
    <t xml:space="preserve"> 977126-64-9</t>
  </si>
  <si>
    <t xml:space="preserve"> NAPHTHA</t>
  </si>
  <si>
    <t xml:space="preserve"> &amp;diams; NAPHTHA, UNSPECIFIED ORIGIN</t>
  </si>
  <si>
    <t xml:space="preserve"> 91-60-1</t>
  </si>
  <si>
    <t xml:space="preserve"> 2-NAPHTHALENTHIOL</t>
  </si>
  <si>
    <t xml:space="preserve"> &amp;diams; 2-NAPHTHALENETHIOL&lt;br /&gt;&amp;diams; 2-MERCAPTONAPHTHALENE&lt;br /&gt;&amp;diams; 2-NAPHTHYL MERCAPTAN&lt;br /&gt;&amp;diams; 2-THIONAPHTHOL&lt;br /&gt;&amp;diams; BETA-NAPHTHYL MERCAPTAN&lt;br /&gt;&amp;diams; BETA-THIONAPHTHOL&lt;br /&gt;&amp;diams; BETA-MERCAPTONAPHTHALENE&lt;br /&gt;&amp;diams; BETA-NAPHTHALENETHIOL</t>
  </si>
  <si>
    <t xml:space="preserve"> 63449-68-3</t>
  </si>
  <si>
    <t xml:space="preserve"> BETA-NAPHTHYL ANTHRANILATE</t>
  </si>
  <si>
    <t xml:space="preserve"> &amp;diams; 2-NAPHTHYL ANTHRANILATE&lt;br /&gt;&amp;diams; BETA-NAPHTHYL ANTHRANILATE&lt;br /&gt;&amp;diams; ANTHRANILIC ACID, 2-NAPHTHYL ESTER&lt;br /&gt;&amp;diams; 2-NAPHTHYL O-AMINOBENZOATE&lt;br /&gt;&amp;diams; 2-NAPHTHALENOL, 2-AMINOBENZOYL ESTER&lt;br /&gt;&amp;diams; 2-AMINOBENZOYL 2-NAPHTHALENOL</t>
  </si>
  <si>
    <t xml:space="preserve"> 93-18-5</t>
  </si>
  <si>
    <t xml:space="preserve"> BETA-NAPHTHYL ETHYL ETHER</t>
  </si>
  <si>
    <t xml:space="preserve"> &amp;diams; 2-ETHOXYNAPHTHALENE&lt;br /&gt;&amp;diams; ETHYL BETA-NAPHTHYL ETHER&lt;br /&gt;&amp;diams; BETA-NAPHTHYL ETHYL ETHER&lt;br /&gt;&amp;diams; BROMELIA (COMPOUND)&lt;br /&gt;&amp;diams; NEROLIN (NEW)&lt;br /&gt;&amp;diams; ETHYL 2-NAPHTHYL ETHER&lt;br /&gt;&amp;diams; NAPHTHALENE, 2-ETHOXY-</t>
  </si>
  <si>
    <t xml:space="preserve"> 2173-57-1</t>
  </si>
  <si>
    <t xml:space="preserve"> BETA-NAPHTHYL ISOBUTYL ETHER</t>
  </si>
  <si>
    <t xml:space="preserve"> &amp;diams; 2-(2-METHYLPROPOXY)NAPHTHALENE&lt;br /&gt;&amp;diams; 2-ISOBUTOXYNAPHTHALENE&lt;br /&gt;&amp;diams; 2-NAPHTHYL ISOBUTYL ETHER&lt;br /&gt;&amp;diams; BETA-NAPHTHYL ISOBUTYL ETHER&lt;br /&gt;&amp;diams; ISOBUTYL 2-NAPHTHYL ETHER&lt;br /&gt;&amp;diams; ISOBUTYL BETA-NAPHTHYL ETHER&lt;br /&gt;&amp;diams; NAPHTHALENE, 2-(2-METHYLPROPOXY)-&lt;br /&gt;&amp;diams; NAPHTHALENE, 2-ISOBUTOXY-</t>
  </si>
  <si>
    <t xml:space="preserve"> 93-04-9</t>
  </si>
  <si>
    <t xml:space="preserve"> BETA-NAPHTHYL METHYL ETHER</t>
  </si>
  <si>
    <t xml:space="preserve"> &amp;diams; 2-METHOXYNAPHTHALENE&lt;br /&gt;&amp;diams; METHYL BETA-NAPHTHYL ETHER&lt;br /&gt;&amp;diams; BETA-NAPHTHYL METHYL ETHER&lt;br /&gt;&amp;diams; YARA YARA&lt;br /&gt;&amp;diams; NEROLIN (OLD)&lt;br /&gt;&amp;diams; BETA-METHOXYNAPHTHALENE&lt;br /&gt;&amp;diams; NAPHTHALENE, 2-METHOXY-</t>
  </si>
  <si>
    <t xml:space="preserve"> 18916-17-1</t>
  </si>
  <si>
    <t xml:space="preserve"> NARINGIN DIHYDROCHALCONE</t>
  </si>
  <si>
    <t xml:space="preserve"> &amp;diams; NARINGIN DIHYDROCHALCONE&lt;br /&gt;&amp;diams; GLUCOPYRANOSIDE, 3,5-DIHYDROXY-4-(P-HYDROXYHYDROCINNAMOYL)PHENYL 2-O-(6-DEOXY-ALPHA-L-MANNOPYRANOSYL)-, BETA-D-&lt;br /&gt;&amp;diams; PHLORETIN 4'-(2-O-ALPHA-L-RHAMNO-BETA-D-GLUCOPYRANOSIDE)&lt;br /&gt;&amp;diams; 1-PROPANONE, 1-(4-((2-O-(6-DEOXY-ALPHA-L-MANNOPYRANOSYL)-BETA-D-GLUCOPYRANOSYL)OXY)-2,6-DIHYDROXYPHENYL)-3-(4-HYDROXYPHENYL)-&lt;br /&gt;&amp;diams; 1-(4-((2-O-(6-DEOXY-ALPHA-L-MANNOPYRANOSYL)-BETA-D-GLUCOPYRANOSYL)OXY)-2,6-DIHYDROXYPHENYL)-3-(4-HYDROXYPHENYL)-1-PROPANONE&lt;br /&gt;&amp;diams; 3,5-DIHYDROXY-4-(P-HYDROXYHYDROCINNAMOYL)PHENYL 2-O-(6-DEOXY-ALPHA-L-MANNOPYRANOSYL)-BETA-D-GLUCOPYRANOSIDE</t>
  </si>
  <si>
    <t xml:space="preserve"> 977038-87-1</t>
  </si>
  <si>
    <t xml:space="preserve"> NARINGIN, EXTRACT (CITRUS PARADISI MACF.)</t>
  </si>
  <si>
    <t xml:space="preserve"> &amp;diams; NARINGIN EXTRACT</t>
  </si>
  <si>
    <t xml:space="preserve"> 7681-93-8</t>
  </si>
  <si>
    <t xml:space="preserve"> NATAMYCIN</t>
  </si>
  <si>
    <t xml:space="preserve"> &amp;diams; NATAMYCIN&lt;br /&gt;&amp;diams; PIMARICIN&lt;br /&gt;&amp;diams; TENNECETIN</t>
  </si>
  <si>
    <t xml:space="preserve"> 8006-14-2</t>
  </si>
  <si>
    <t xml:space="preserve"> NATURAL GAS</t>
  </si>
  <si>
    <t xml:space="preserve"> &amp;diams; NATURAL GAS&lt;br /&gt;&amp;diams; GAS, NATURAL</t>
  </si>
  <si>
    <t xml:space="preserve"> 51115-77-6</t>
  </si>
  <si>
    <t xml:space="preserve"> N-(1,1-DIMETHYL-2-HYDROXYETHYL)-2,2-DIETHYLBUTANAMIDE</t>
  </si>
  <si>
    <t xml:space="preserve"> &amp;diams; 2,2-DIETHYL-N-(2-HYDROXY-1,1-DIMETHYLETHYL)BUTANAMIDE&lt;br /&gt;&amp;diams; butanamide, 2,2-diethyl-N-(2-hydroxy-1,1-dimethylethyl)-&lt;br /&gt;&amp;diams; N-(1,1-dimethyl-2-hydroxyethyl)-2,2-diethylbutanamide</t>
  </si>
  <si>
    <t xml:space="preserve"> 20702-77-6</t>
  </si>
  <si>
    <t xml:space="preserve"> NEOHESPERIDIN DIHYDROCHALCONE</t>
  </si>
  <si>
    <t xml:space="preserve"> &amp;diams; NEOHESPERIDIN DIHYDROCHALCONE&lt;br /&gt;&amp;diams; GLUCOPYRANOSIDE, 3,5-DIHYDROXY-4-(3-HYDROXY-4-METHOXYHYDROCINNAMOYL)PHENYL 2-O-(6-DEOXY-ALPHA-L-MANNOPYRANOSYL)-, BETA-D-&lt;br /&gt;&amp;diams; NEOHESPERIDIN DHC&lt;br /&gt;&amp;diams; NEOHESPERIDIN DC&lt;br /&gt;&amp;diams; NHDC&lt;br /&gt;&amp;diams; 1-PROPANONE, 1-(4-((2-O-(6-DEOXY-ALPHA-L-MANNOPYRANOSYL)-BETA-D-GLUCOPYRANOSYL)OXY)-2,6-DIHYDROXYPHENYL)-3-(3-HYDROXY-4-METHOXYPHENYL)-&lt;br /&gt;&amp;diams; 1-(4-((2-O-(6-DEOXY-ALPHA-L-MANNOPYRANOSYL)-BETA-D-GLUCOPYRANOSYL)OXY)-2,6-DIHYDROXYPHENYL)-3-(3-HYDROXY-4-METHOXYPHENYL)-1-PROPANONE&lt;br /&gt;&amp;diams; 3,5-DIHYDROXY-4-(3-HYDROXY-4-METHOXYHYDROCINNAMOYL)PHENYL) 2-O-(6-DEOXY-ALPHA-L-MANNOPYRANOSYL)-BETA-D-GLUCOPYRANOSIDE</t>
  </si>
  <si>
    <t xml:space="preserve"> 17, 23</t>
  </si>
  <si>
    <t xml:space="preserve"> 2216-52-6</t>
  </si>
  <si>
    <t xml:space="preserve"> D-NEOMENTHOL</t>
  </si>
  <si>
    <t xml:space="preserve"> &amp;diams; NEOMENTHOL, D-&lt;br /&gt;&amp;diams; NEOMENTHOL, (+)-&lt;br /&gt;&amp;diams; CYCLOHEXANOL, 5-METHYL-2-(1-METHYLETHYL)-, (1S-(1ALPHA,2ALPHA,5BETA))-&lt;br /&gt;&amp;diams; 5-METHYL-2-(1-METHYLETHYL)CYCLOHEXANOL, (1S-(1ALPHA,2ALPHA,5BETA))-&lt;br /&gt;&amp;diams; MENTHOL, (1R,3S,4S)-(+)-&lt;br /&gt;&amp;diams; 2-ISOPROPYL-5-METHYLCYCLOHEXANOL STEREOISOMER&lt;br /&gt;&amp;diams; NEOMENTHOL, (1S,2S,5R)-</t>
  </si>
  <si>
    <t xml:space="preserve"> 165450-17-9</t>
  </si>
  <si>
    <t xml:space="preserve"> NEOTAME</t>
  </si>
  <si>
    <t xml:space="preserve"> &amp;diams; NEOTAME&lt;br /&gt;&amp;diams; 1-METHYL N-(N-(3,3-DIMETHYLBUTYL)-L-ALPHA-ASPARTYL)-L-PHENYLALANINATE&lt;br /&gt;&amp;diams; L-PHENYLALANINE, N-(3,3-DIMETHYLBUTYL)-L-ALPHA-ASPARTYL-, 2-METHYL ESTER&lt;br /&gt;&amp;diams; 2-METHYL N-(3,3-DIMETHYLBUTYL)-L-ALPHA-ASPARTYL-L-PHENYLALANINATE</t>
  </si>
  <si>
    <t xml:space="preserve"> 106-25-2</t>
  </si>
  <si>
    <t xml:space="preserve"> NEROL</t>
  </si>
  <si>
    <t xml:space="preserve"> &amp;diams; NEROL&lt;br /&gt;&amp;diams; NERYL ALCOHOL&lt;br /&gt;&amp;diams; 3,7-DIMETHYL-2,6-OCTADIEN-1-OL, CIS-&lt;br /&gt;&amp;diams; 2,6-OCTADIEN-1-OL, 3,7-DIMETHYL-, (Z)-&lt;br /&gt;&amp;diams; 3,7-DIMETHYL-2,6-OCTADIEN-1-OL, (Z)-&lt;br /&gt;&amp;diams; GERANIOL, CIS-&lt;br /&gt;&amp;diams; GERANIOL, (Z)-&lt;br /&gt;&amp;diams; NEROL, BETA-&lt;br /&gt;&amp;diams; NSC-46105&lt;br /&gt;&amp;diams; BETA-NEROL</t>
  </si>
  <si>
    <t xml:space="preserve"> 8016-38-4</t>
  </si>
  <si>
    <t xml:space="preserve"> NEROLI, BIGARADE OIL (CITRUS AURANTIUM L.)</t>
  </si>
  <si>
    <t xml:space="preserve"> &amp;diams; ORANGE FLOWER OIL&lt;br /&gt;&amp;diams; NEROLI BIGARADE OIL&lt;br /&gt;&amp;diams; NEROLI OIL&lt;br /&gt;&amp;diams; ORANGE FLOWER OIL, BITTER&lt;br /&gt;&amp;diams; OILS, NEROLI&lt;br /&gt;&amp;diams; CITRUS AURANTIUM FLOWER OIL</t>
  </si>
  <si>
    <t xml:space="preserve"> 7212-44-4</t>
  </si>
  <si>
    <t xml:space="preserve"> NEROLIDOL</t>
  </si>
  <si>
    <t xml:space="preserve"> &amp;diams; NEROLIDOL&lt;br /&gt;&amp;diams; METHYLVINYLHOMOGERANYL CARBINOL&lt;br /&gt;&amp;diams; 3,7,11-TRIMETHYL-1,6,10-DODECATRIEN-3-OL&lt;br /&gt;&amp;diams; 1,6,10-DODECATRIEN-3-OL, 3,7,11-TRIMETHYL-&lt;br /&gt;&amp;diams; PERUVIOL</t>
  </si>
  <si>
    <t xml:space="preserve"> 1424-83-5</t>
  </si>
  <si>
    <t xml:space="preserve"> NEROLIDOL OXIDE</t>
  </si>
  <si>
    <t xml:space="preserve"> &amp;diams; NEROLIDOL OXIDE&lt;br /&gt;&amp;diams; 2-furanmethanol, 5-ethenyltetrahydro-alpha,5-dimethyl-alpha-(4-methyl-3-penten-1-yl)-&lt;br /&gt;&amp;diams; 5-ethenyltetrahydro-alpha,5-dimethyl-alpha-(4-methyl-3-penten-1-yl)-2-furanmethanol&lt;br /&gt;&amp;diams; 2-furanmethanol, 5-ethenyltetrahydro-alpha,5-dimethyl-alpha-(4-methyl-3-pentenyl)-&lt;br /&gt;&amp;diams; 5-ethenyltetrahydro-alpha,5-dimethyl-alpha-(4-methyl-3-pentenyl)-2-furanmethanol&lt;br /&gt;&amp;diams; furfuryl alcohol, tetrahydro-alpha,5-dimethyl-alpha-(4-methyl-3-pentenyl)-5-vinyl-, stereoisomers&lt;br /&gt;&amp;diams; tetrahydro-alpha,5-dimethyl-alpha-(4-methyl-5-pentenyl)-5-vinylfurfuryl alcohol&lt;br /&gt;&amp;diams; furfuryl alcohol, tetrahydro-alpha,5-dimethyl-alpha-(4-methyl-3-pentenyl)-5-vinyl-</t>
  </si>
  <si>
    <t xml:space="preserve"> 141-12-8</t>
  </si>
  <si>
    <t xml:space="preserve"> NERYL ACETATE</t>
  </si>
  <si>
    <t xml:space="preserve"> &amp;diams; NERYL ACETATE&lt;br /&gt;&amp;diams; 3,7-DIMETHYL-2,6-OCTADIEN-1-YL ACETATE, CIS-&lt;br /&gt;&amp;diams; 3,7-DIMETHYL-2,6-OCTADIEN-1-YL ETHANOATE, CIS-&lt;br /&gt;&amp;diams; NERYL ETHANOATE&lt;br /&gt;&amp;diams; 2,6-OCTADIEN-1-OL, 3,7-DIMETHYL-, ACETATE, (Z)-&lt;br /&gt;&amp;diams; 3,7-DIMETHYL-2,6-OCTADIENYL ACETATE, (Z)-&lt;br /&gt;&amp;diams; GERANYL ACETATE, CIS-&lt;br /&gt;&amp;diams; NSC-72031</t>
  </si>
  <si>
    <t xml:space="preserve"> 999-40-6</t>
  </si>
  <si>
    <t xml:space="preserve"> NERYL BUTYRATE</t>
  </si>
  <si>
    <t xml:space="preserve"> &amp;diams; NERYL BUTYRATE&lt;br /&gt;&amp;diams; 3,7-DIMETHYL-2,6-OCTADIEN-1-YL BUTANOATE, CIS-&lt;br /&gt;&amp;diams; NERYL BUTANOATE&lt;br /&gt;&amp;diams; BUTANOIC ACID, 3,7-DIMETHYL-2,6-OCTADIENYL ESTER, (Z)-&lt;br /&gt;&amp;diams; 3,7-DIMETHYL-2,6-OCTADIENYL BUTANOATE, (Z)-&lt;br /&gt;&amp;diams; BUTYRIC ACID, 3,7-DIMETHYL-2,6-OCTADIENYL ESTER, (Z)-&lt;br /&gt;&amp;diams; 3,7-DIMETHYL-2,6-OCTADIENYL BUTYRATE, (Z)-</t>
  </si>
  <si>
    <t xml:space="preserve"> 2142-94-1</t>
  </si>
  <si>
    <t xml:space="preserve"> NERYL FORMATE</t>
  </si>
  <si>
    <t xml:space="preserve"> &amp;diams; NERYL FORMATE&lt;br /&gt;&amp;diams; 3,7-DIMETHYL-2,6-OCTADIEN-1-YL FORMATE, CIS-&lt;br /&gt;&amp;diams; 3,7-DIMETHYL-2,6-OCTADIEN-1-YL METHANOATE, CIS-&lt;br /&gt;&amp;diams; NERYL METHANOATE&lt;br /&gt;&amp;diams; 2,6-OCTADIEN-1-OL, 3,7-DIMETHYL-, FORMATE, (Z)-&lt;br /&gt;&amp;diams; 3,7-DIMETHYL-2,6-OCTADIENYL FORMATE, (Z)-</t>
  </si>
  <si>
    <t xml:space="preserve"> 2345-24-6</t>
  </si>
  <si>
    <t xml:space="preserve"> NERYL ISOBUTYRATE</t>
  </si>
  <si>
    <t xml:space="preserve"> &amp;diams; NERYL ISOBUTYRATE&lt;br /&gt;&amp;diams; 3,7-DIMETHYL-2,6-OCTADIEN-1-YL 2-METHYLPROPANOATE, CIS-&lt;br /&gt;&amp;diams; 3,7-DIMETHYL-2,6-OCTADIEN-1-YL ISOBUTYRATE, CIS-&lt;br /&gt;&amp;diams; NERYL 2-METHYLPROPANOATE&lt;br /&gt;&amp;diams; PROPANOIC ACID, 2-METHYL-, 3,7-DIMETHYL-2,6-OCTADIENYL ESTER, (Z)-&lt;br /&gt;&amp;diams; 3,7-DIMETHYL-2,6-OCTADIENYL 2-METHYLPROPANOATE, (Z)-&lt;br /&gt;&amp;diams; ISOBUTYRIC ACID, 3,7-DIMETHYL-2,6-OCTADIENYL ESTER, (Z)-&lt;br /&gt;&amp;diams; 3,7-DIMETHYL-2,6-OCTADIENYL ISOBUTYRATE, (Z)-</t>
  </si>
  <si>
    <t xml:space="preserve"> 3915-83-1</t>
  </si>
  <si>
    <t xml:space="preserve"> NERYL ISOVALERATE</t>
  </si>
  <si>
    <t xml:space="preserve"> &amp;diams; NERYL ISOVALERATE&lt;br /&gt;&amp;diams; 3,7-DIMETHYL-2,6-OCTADIEN-1-YL 3-METHYLBUTANOATE, CIS-&lt;br /&gt;&amp;diams; 3,7-DIMETHYL-2,6-OCTADIEN-1-YL ISOPENTANOATE, CIS-&lt;br /&gt;&amp;diams; 3,7-DIMETHYL-2,6-OCTADIEN-1-YL ISOVALERATE, CIS-&lt;br /&gt;&amp;diams; NERYL ISOVALERIANATE&lt;br /&gt;&amp;diams; NERYL 3-METHYLBUTANOATE&lt;br /&gt;&amp;diams; BUTANOIC ACID, 3-METHYL-, 3,7-DIMETHYL-2,6-OCTADIENYL ESTER, (Z)-&lt;br /&gt;&amp;diams; 3,7-DIMETHYL-2,6-OCTADIENYL 3-METHYLBUTANOATE, (Z)-&lt;br /&gt;&amp;diams; 2,6-OCTADIEN-1-OL, 3,7-DIMETHYL-, ISOVALERATE, (Z)-&lt;br /&gt;&amp;diams; ISOVALERIC ACID, 3,7-DIMETHYL-2,6-OCTADIENYL ESTER, (Z)-&lt;br /&gt;&amp;diams; 3,7-DIMETHYL-2,6-OCTADIENYL ISOVALERATE, (Z)-</t>
  </si>
  <si>
    <t xml:space="preserve"> 105-91-9</t>
  </si>
  <si>
    <t xml:space="preserve"> NERYL PROPIONATE</t>
  </si>
  <si>
    <t xml:space="preserve"> &amp;diams; NERYL PROPIONATE&lt;br /&gt;&amp;diams; 3,7-DIMETHYL-2,6-OCTADIEN-1-YL PROPANOATE, CIS-&lt;br /&gt;&amp;diams; 3,7-DIMETHYL-2,6-OCTADIEN-1-YL PROPIONATE, CIS-&lt;br /&gt;&amp;diams; NERYL PROPANOATE&lt;br /&gt;&amp;diams; 2,6-OCTADIEN-1-OL, 3,7-DIMETHYL-, PROPANOATE, (Z)-&lt;br /&gt;&amp;diams; 3,7-DIMETHYL-2,6-OCTADIENYL PROPANOATE, (Z)-&lt;br /&gt;&amp;diams; 2,6-OCTADIEN-1-OL, 3,7-DIMETHYL-, PROPIONATE, (Z)-&lt;br /&gt;&amp;diams; 3,7-DIMETHYL-2,6-OCTADIENYL PROPIONATE, (Z)-</t>
  </si>
  <si>
    <t xml:space="preserve"> 51115-70-9</t>
  </si>
  <si>
    <t xml:space="preserve"> N-ETHYL-2,2-DIISOPROPYLBUTANAMIDE</t>
  </si>
  <si>
    <t xml:space="preserve"> &amp;diams; N-ETHYL-2,2-DIISOPROPYLBUTANAMIDE&lt;br /&gt;&amp;diams; butanamide, N-ethyl-2,2-bis((1-methylethyl)-&lt;br /&gt;&amp;diams; N-ethyl-2,2-bis(1-methylethyl)butanamide&lt;br /&gt;&amp;diams; butanamide, N,2-diethyl-3-methyl-2-(1-methylethyl)-&lt;br /&gt;&amp;diams; N,2-diethyl-3-methyl-2-(1-methylethyl)butanamide&lt;br /&gt;&amp;diams; InChI=1S/C12H25NO/c1-7-12(9(3)4,10(5)6)11(14)13-8-2/h9-10H,7-8H2,1-6H3,(H,13,14)&lt;br /&gt;&amp;diams; InChIKey: PCOMMNVANAQDMV-UHFFFAOYSA-N</t>
  </si>
  <si>
    <t xml:space="preserve"> 883215-02-9</t>
  </si>
  <si>
    <t xml:space="preserve"> N-(2-HYDROXYETHYL)-2,3-DIMETHYL-2-ISOPROPYLBUTANAMIDE</t>
  </si>
  <si>
    <t xml:space="preserve"> &amp;diams; N-(2-HYDROXYETHYL)-2,3-DIMETHYL-2-ISOPROPYLBUTANAMIDE&lt;br /&gt;&amp;diams; butanamide, N-(2-hydroxyethyl)-2,3-dimethyl-2-(1-methylethyl)-&lt;br /&gt;&amp;diams; N-(2-hydroxyethyl)-2,3-dimethyl-2-(1-methylethyl)butanamide</t>
  </si>
  <si>
    <t xml:space="preserve"> 59-67-6</t>
  </si>
  <si>
    <t xml:space="preserve"> NIACIN</t>
  </si>
  <si>
    <t xml:space="preserve"> &amp;diams; NIACIN&lt;br /&gt;&amp;diams; NICOTINIC ACID&lt;br /&gt;&amp;diams; 3-PYRIDINECARBOXYLIC ACID&lt;br /&gt;&amp;diams; VITAMIN B3</t>
  </si>
  <si>
    <t xml:space="preserve"> 101.9 ,  107.100 ,  136.115 ,  137.165 ,  137.180 ,  137.260 ,  137.305 ,  137.350 ,  139.115 ,  139.117 ,  139.122 ,  139.155</t>
  </si>
  <si>
    <t xml:space="preserve"> 98-92-0</t>
  </si>
  <si>
    <t xml:space="preserve"> NIACINAMIDE</t>
  </si>
  <si>
    <t xml:space="preserve"> &amp;diams; NIACINAMIDE&lt;br /&gt;&amp;diams; NICOTINAMIDE&lt;br /&gt;&amp;diams; 3-PYRIDINECARBOXAMIDE&lt;br /&gt;&amp;diams; NICOTINIC ACID AMIDE</t>
  </si>
  <si>
    <t xml:space="preserve"> 137.260 ,  137.305 ,  137.350 ,  139.115 ,  139.117 ,  139.122 ,  139.155</t>
  </si>
  <si>
    <t xml:space="preserve"> 7440-02-0</t>
  </si>
  <si>
    <t xml:space="preserve"> NICKEL</t>
  </si>
  <si>
    <t xml:space="preserve"> &amp;diams; NICKEL&lt;br /&gt;&amp;diams; RANEY NICKEL</t>
  </si>
  <si>
    <t xml:space="preserve"> 1987-71-9</t>
  </si>
  <si>
    <t xml:space="preserve"> NICOTINAMIDE-ASCORBIC ACID COMPLEX</t>
  </si>
  <si>
    <t xml:space="preserve"> &amp;diams; NIACINAMIDE ASCORBATE&lt;br /&gt;&amp;diams; L-ASCORBIC ACID, MIXT. WITH 3-PYRIDINECARBOXAMIDE&lt;br /&gt;&amp;diams; L-ASCORBIC ACID, MIXT. WITH NICOTINAMIDE&lt;br /&gt;&amp;diams; NICOTINAMIDE-ASCORBIC ACID COMPLEX&lt;br /&gt;&amp;diams; NICOTINAMIDE ASCORBATE</t>
  </si>
  <si>
    <t xml:space="preserve"> 977011-49-6</t>
  </si>
  <si>
    <t xml:space="preserve"> NIGER GUTTA (FICUS PLATYPHYLLA DEL.)</t>
  </si>
  <si>
    <t xml:space="preserve"> &amp;diams; NIGER GUTTA</t>
  </si>
  <si>
    <t xml:space="preserve"> 977127-33-5</t>
  </si>
  <si>
    <t xml:space="preserve"> NISIN PREPARATION</t>
  </si>
  <si>
    <t xml:space="preserve"> &amp;diams; NISIN PREPARATION</t>
  </si>
  <si>
    <t xml:space="preserve"> 12002-12-9</t>
  </si>
  <si>
    <t xml:space="preserve"> NISPERO</t>
  </si>
  <si>
    <t xml:space="preserve"> &amp;diams; NISPERO&lt;br /&gt;&amp;diams; RESINS, NISPERO</t>
  </si>
  <si>
    <t xml:space="preserve"> 977124-88-1</t>
  </si>
  <si>
    <t xml:space="preserve"> NITRATES, SODIUM &amp; POTASSIUM</t>
  </si>
  <si>
    <t xml:space="preserve"> &amp;diams; NITRATES, POTASSIUM AND SODIUM&lt;br /&gt;&amp;diams; NITRATES, SODIUM AND POTASSIUM&lt;br /&gt;&amp;diams; SODIUM NITRATE AND POTASSIUM NITRATE</t>
  </si>
  <si>
    <t xml:space="preserve"> ANTIMICROBIAL AGENT,&lt;br /&gt; COLOR OR COLORING ADJUNCT,&lt;br /&gt; FLAVOR ENHANCER,&lt;br /&gt; FLAVORING AGENT OR ADJUVANT,&lt;br /&gt; PROPELLANT</t>
  </si>
  <si>
    <t xml:space="preserve"> 977124-89-2</t>
  </si>
  <si>
    <t xml:space="preserve"> NITRITES, SODIUM &amp; POTASSIUM</t>
  </si>
  <si>
    <t xml:space="preserve"> &amp;diams; NITRITES, POTASSIUM AND SODIUM&lt;br /&gt;&amp;diams; NITRITES, SODIUM AND POTASSIUM&lt;br /&gt;&amp;diams; SODIUM NITRITE AND POTASSIUM NITRITE</t>
  </si>
  <si>
    <t xml:space="preserve"> ANTIMICROBIAL AGENT,&lt;br /&gt; ANTIOXIDANT,&lt;br /&gt; COLOR OR COLORING ADJUNCT,&lt;br /&gt; FLAVOR ENHANCER,&lt;br /&gt; FLAVORING AGENT OR ADJUVANT,&lt;br /&gt; PROPELLANT</t>
  </si>
  <si>
    <t xml:space="preserve"> 977099-25-4</t>
  </si>
  <si>
    <t xml:space="preserve"> NITROGEN OXIDES</t>
  </si>
  <si>
    <t xml:space="preserve"> &amp;diams; NITROGEN OXIDES</t>
  </si>
  <si>
    <t xml:space="preserve"> 2696-92-6</t>
  </si>
  <si>
    <t xml:space="preserve"> NITROSYL CHLORIDE</t>
  </si>
  <si>
    <t xml:space="preserve"> &amp;diams; NITROSYL CHLORIDE&lt;br /&gt;&amp;diams; NITROSYL CHLORIDE ((NO)CL)&lt;br /&gt;&amp;diams; NITROGEN OXYCHLORIDE&lt;br /&gt;&amp;diams; NITROSONIUM CHLORIDE</t>
  </si>
  <si>
    <t xml:space="preserve"> 10024-97-2</t>
  </si>
  <si>
    <t xml:space="preserve"> NITROUS OXIDE</t>
  </si>
  <si>
    <t xml:space="preserve"> &amp;diams; NITROUS OXIDE&lt;br /&gt;&amp;diams; DINITROGEN MONOXIDE&lt;br /&gt;&amp;diams; FACTITIOUS AIR&lt;br /&gt;&amp;diams; HYPONITROUS ACID ANHYDRIDE&lt;br /&gt;&amp;diams; LAUGHING GAS&lt;br /&gt;&amp;diams; NITROGEN OXIDE (N2O)</t>
  </si>
  <si>
    <t xml:space="preserve"> FLAVOR ENHANCER,&lt;br /&gt; PROPELLANT</t>
  </si>
  <si>
    <t xml:space="preserve"> 781674-18-8</t>
  </si>
  <si>
    <t xml:space="preserve"> (+/-)-N-LACTOYLTYRAMINE</t>
  </si>
  <si>
    <t xml:space="preserve"> &amp;diams; N-LACTOYLTYRAMINE&lt;br /&gt;&amp;diams; propanamide, 2-hydroxy-N-(2-(4-hydroxyphenyl)ethyl)-&lt;br /&gt;&amp;diams; 2-hydroxy-N-(2-(4-hydroxyphenyl)ethyl)propanamide</t>
  </si>
  <si>
    <t xml:space="preserve"> 6750-03-4</t>
  </si>
  <si>
    <t xml:space="preserve"> 2,4-NONADIENAL</t>
  </si>
  <si>
    <t xml:space="preserve"> &amp;diams; 2,4-NONADIENAL</t>
  </si>
  <si>
    <t xml:space="preserve"> 17587-33-6</t>
  </si>
  <si>
    <t xml:space="preserve"> 2-TRANS-6-TRANS-NONADIENAL</t>
  </si>
  <si>
    <t xml:space="preserve"> &amp;diams; 2,6-NONADIENAL, TRANS,TRANS-&lt;br /&gt;&amp;diams; 2-TRANS,6-TRANS-NONADIENAL&lt;br /&gt;&amp;diams; 2,6-NONADIENAL, (E,E)-</t>
  </si>
  <si>
    <t xml:space="preserve"> 106950-34-9</t>
  </si>
  <si>
    <t xml:space="preserve"> 2,6-NONADIENAL DIETHYL ACETAL</t>
  </si>
  <si>
    <t xml:space="preserve"> &amp;diams; 2,6-NONADIENAL DIETHYL ACETAL&lt;br /&gt;&amp;diams; 2,6-NONADIENAL, DIETHYL ACETAL</t>
  </si>
  <si>
    <t xml:space="preserve"> 62488-56-6</t>
  </si>
  <si>
    <t xml:space="preserve"> 2,4-NONADIEN-1-OL</t>
  </si>
  <si>
    <t xml:space="preserve"> &amp;diams; 2,4-NONADIEN-1-OL&lt;br /&gt;&amp;diams; 2,4-NONADIENOL</t>
  </si>
  <si>
    <t xml:space="preserve"> 7786-44-9</t>
  </si>
  <si>
    <t xml:space="preserve"> 2,6-NONADIEN-1-OL</t>
  </si>
  <si>
    <t xml:space="preserve"> &amp;diams; 2,6-NONADIEN-1-OL&lt;br /&gt;&amp;diams; CUCUMBER ALCOHOL&lt;br /&gt;&amp;diams; VIOLET-LEAF ALCOHOL&lt;br /&gt;&amp;diams; 2,6-NONADIENOL</t>
  </si>
  <si>
    <t xml:space="preserve"> 56805-23-3</t>
  </si>
  <si>
    <t xml:space="preserve"> (E)-3-(Z)-6-NONADIEN-1-OL</t>
  </si>
  <si>
    <t xml:space="preserve"> &amp;diams; 3,6-NONADIEN-1-OL, TRANS,CIS-&lt;br /&gt;&amp;diams; 3,6-NONADIEN-1-OL, (3E,6Z)-</t>
  </si>
  <si>
    <t xml:space="preserve"> 53046-97-2</t>
  </si>
  <si>
    <t xml:space="preserve"> (Z)(Z)-3,6-NONADIEN-1-OL</t>
  </si>
  <si>
    <t xml:space="preserve"> &amp;diams; 3,6-NONADIEN-1-OL, CIS,CIS-&lt;br /&gt;&amp;diams; 3,6-NONADIEN-1-OL, (3Z,6Z)-</t>
  </si>
  <si>
    <t xml:space="preserve"> 68555-65-7</t>
  </si>
  <si>
    <t xml:space="preserve"> (E,Z)-2,6-NONADIEN-1-OL ACETATE</t>
  </si>
  <si>
    <t xml:space="preserve"> &amp;diams; 2,6-NONADIENYL ACETATE, TRANS,CIS-&lt;br /&gt;&amp;diams; 2,6-NONADIEN-1-YL ACETATE, (E,Z)-&lt;br /&gt;&amp;diams; 2,6-NONADIEN-1-OL, ACETATE, (E,Z)-&lt;br /&gt;&amp;diams; 2-TRANS,6-CIS-NONADIEN-1-YL ACETATE</t>
  </si>
  <si>
    <t xml:space="preserve"> 211323-05-6</t>
  </si>
  <si>
    <t xml:space="preserve"> (E,Z)-3,6-NONADIEN-1-OL ACETATE</t>
  </si>
  <si>
    <t xml:space="preserve"> &amp;diams; 3,6-NONADIENYL ACETATE, TRANS,CIS-&lt;br /&gt;&amp;diams; 3,6-NONADIEN-1-OL, ACETATE, (3E,6Z)-&lt;br /&gt;&amp;diams; 3,6-NONADIEN-1-YL ACETATE, (E,Z)-&lt;br /&gt;&amp;diams; 3-TRANS,6-CIS-NONADIEN-1-YL ACETATE</t>
  </si>
  <si>
    <t xml:space="preserve"> 83334-93-4</t>
  </si>
  <si>
    <t xml:space="preserve"> CIS,CIS-3,6-NONADIENYL ACETATE</t>
  </si>
  <si>
    <t xml:space="preserve"> &amp;diams; 3,6-NONADIENYL ACETATE, CIS, CIS-&lt;br /&gt;&amp;diams; 3,6-nonadien-1-ol, 1-acetate, (3Z,6Z)-&lt;br /&gt;&amp;diams; 3,6-nonadien-1-ol, acetate, (3Z,6Z)-&lt;br /&gt;&amp;diams; 3,6-nonadienyl acetate, (Z,Z)-</t>
  </si>
  <si>
    <t xml:space="preserve"> 104-61-0</t>
  </si>
  <si>
    <t xml:space="preserve"> GAMMA-NONALACTONE</t>
  </si>
  <si>
    <t xml:space="preserve"> &amp;diams; GAMMA-NONALACTONE&lt;br /&gt;&amp;diams; 1,4-NONYL LACTONE&lt;br /&gt;&amp;diams; 4-HYDROXYNONANOIC ACID LACTONE&lt;br /&gt;&amp;diams; 4-NONALACTONE&lt;br /&gt;&amp;diams; 4-NONANOLIDE&lt;br /&gt;&amp;diams; 4-PENTYLBUTANOLIDE&lt;br /&gt;&amp;diams; COCONUT ALDEHYDE&lt;br /&gt;&amp;diams; NONALACTONE, GAMMA-&lt;br /&gt;&amp;diams; 4-HYDROXYNONANOIC ACID GAMMA-LACTONE&lt;br /&gt;&amp;diams; GAMMA-AMYLBUTYROLACTONE&lt;br /&gt;&amp;diams; GAMMA-PELARGOLACTONE&lt;br /&gt;&amp;diams; PRUNOLIDE&lt;br /&gt;&amp;diams; GAMMA-NONYL LACTONE&lt;br /&gt;&amp;diams; NONANOLIDE-1,4&lt;br /&gt;&amp;diams; 4-AMYL-4-HYDROXYBUTYRIC ACID LACTONE&lt;br /&gt;&amp;diams; 2(3H)-FURANONE, DIHYDRO-5-PENTYL-&lt;br /&gt;&amp;diams; DIHYDRO-5-PENTYL-2(3H)-FURANONE&lt;br /&gt;&amp;diams; GAMMA-PENTYL-GAMMA-BUTYROLACTONE&lt;br /&gt;&amp;diams; ALDEHYDE C-18 (SO-CALLED)&lt;br /&gt;&amp;diams;</t>
  </si>
  <si>
    <t xml:space="preserve"> 124-19-6</t>
  </si>
  <si>
    <t xml:space="preserve"> NONANAL</t>
  </si>
  <si>
    <t xml:space="preserve"> &amp;diams; NONANAL&lt;br /&gt;&amp;diams; ALDEHYDE C-9&lt;br /&gt;&amp;diams; NONYL ALDEHYDE&lt;br /&gt;&amp;diams; PELARGONALDEHYDE&lt;br /&gt;&amp;diams; PELARGONIC ALDEHYDE&lt;br /&gt;&amp;diams; NONANOIC ALDEHYDE&lt;br /&gt;&amp;diams; NONOIC ALDEHYDE&lt;br /&gt;&amp;diams; NONANALDEHYDE</t>
  </si>
  <si>
    <t xml:space="preserve"> 18824-63-0</t>
  </si>
  <si>
    <t xml:space="preserve"> NONANAL DIMETHYL ACETAL</t>
  </si>
  <si>
    <t xml:space="preserve"> &amp;diams; NONANAL DIMETHYL ACETAL&lt;br /&gt;&amp;diams; nonane, 1,1-dimethoxy-&lt;br /&gt;&amp;diams; 1,1-dimethoxynonane&lt;br /&gt;&amp;diams; nonanal, dimethyl acetal&lt;br /&gt;&amp;diams; pelargonaldehyde dimethyl acetal&lt;br /&gt;&amp;diams; InChI=1S/C11H24O2/c1-4-5-6-7-8-9-10-11(12-2)13-3/h11H,4-10H2,1-3H3&lt;br /&gt;&amp;diams; InChIKey: LYLVOCPDQAOQKL-UHFFFAOYSA-N</t>
  </si>
  <si>
    <t xml:space="preserve"> 68391-39-9</t>
  </si>
  <si>
    <t xml:space="preserve"> NONANAL PROPYLENEGLYCOL ACETAL</t>
  </si>
  <si>
    <t xml:space="preserve"> &amp;diams; NONANAL PROPYLENE GLYCOL ACETAL&lt;br /&gt;&amp;diams; 1,3-dioxolane, 4-methyl-2-octyl-&lt;br /&gt;&amp;diams; 4-methyl-2-octyl-1,3-dioxolane&lt;br /&gt;&amp;diams; InChI=1S/C12H24O2/c1-3-4-5-6-7-8-9-12-13-10-11(2)14-12/h11-12H,3-10H2,1-2H3&lt;br /&gt;&amp;diams; InChIKey: AGNUIQKIUPCFET-UHFFFAOYSA-N</t>
  </si>
  <si>
    <t xml:space="preserve"> 1322-17-4</t>
  </si>
  <si>
    <t xml:space="preserve"> 1,3-NONANEDIOL ACETATE (MIXED ESTERS)</t>
  </si>
  <si>
    <t xml:space="preserve"> &amp;diams; 1,3-NONANEDIOL ACETATE&lt;br /&gt;&amp;diams; HEXYLENE GLYCOL DIACETATE&lt;br /&gt;&amp;diams; NONANE DIACETATE&lt;br /&gt;&amp;diams; OCTYL CROTONYL ACETATE&lt;br /&gt;&amp;diams; 1,3-NONANEDIOL, MONOACETATE&lt;br /&gt;&amp;diams; 1,3-NONANEDIOL MONOACETATE</t>
  </si>
  <si>
    <t xml:space="preserve"> 67715-81-5</t>
  </si>
  <si>
    <t xml:space="preserve"> 1,4-NONANEDIOL DIACETATE</t>
  </si>
  <si>
    <t xml:space="preserve"> &amp;diams; 1,4-NONANEDIOL DIACETATE&lt;br /&gt;&amp;diams; NONANEDIOL-1,4-ACETATE&lt;br /&gt;&amp;diams; 1,4-NONADIOL DIACETATE&lt;br /&gt;&amp;diams; 1,4-NONANEDIOL, DIACETATE</t>
  </si>
  <si>
    <t xml:space="preserve"> 3489-28-9</t>
  </si>
  <si>
    <t xml:space="preserve"> 1,9-NONANEDITHIOL</t>
  </si>
  <si>
    <t xml:space="preserve"> &amp;diams; 1,9-NONANEDITHIOL&lt;br /&gt;&amp;diams; 1,9-DIMERCAPTONONANE&lt;br /&gt;&amp;diams; NONAMETHYLENE DIMERCAPTAN</t>
  </si>
  <si>
    <t xml:space="preserve"> 112-05-0</t>
  </si>
  <si>
    <t xml:space="preserve"> NONANOIC ACID</t>
  </si>
  <si>
    <t xml:space="preserve"> &amp;diams; PELARGONIC ACID&lt;br /&gt;&amp;diams; NONANOIC ACID&lt;br /&gt;&amp;diams; NONYLIC ACID&lt;br /&gt;&amp;diams; NONOIC ACID&lt;br /&gt;&amp;diams; 1-OCTANECARBOXYIC ACID</t>
  </si>
  <si>
    <t xml:space="preserve"> 628-99-9</t>
  </si>
  <si>
    <t xml:space="preserve"> 2-NONANOL</t>
  </si>
  <si>
    <t xml:space="preserve"> &amp;diams; 2-NONANOL&lt;br /&gt;&amp;diams; METHYL HEPTYL CARBINOL&lt;br /&gt;&amp;diams; 1-METHYL-1-OCTANOL</t>
  </si>
  <si>
    <t xml:space="preserve"> 821-55-6</t>
  </si>
  <si>
    <t xml:space="preserve"> 2-NONANONE</t>
  </si>
  <si>
    <t xml:space="preserve"> &amp;diams; 2-NONANONE&lt;br /&gt;&amp;diams; METHYL HEPTYL KETONE&lt;br /&gt;&amp;diams; NONAN-2-ONE&lt;br /&gt;&amp;diams; HEPTYL METHYL KETONE</t>
  </si>
  <si>
    <t xml:space="preserve"> 925-78-0</t>
  </si>
  <si>
    <t xml:space="preserve"> 3-NONANONE</t>
  </si>
  <si>
    <t xml:space="preserve"> &amp;diams; ETHYL HEXYL KETONE&lt;br /&gt;&amp;diams; 3-NONANONE</t>
  </si>
  <si>
    <t xml:space="preserve"> 165191-91-3</t>
  </si>
  <si>
    <t xml:space="preserve"> 2-NONANONE PROPYLENEGLYCOL ACETAL</t>
  </si>
  <si>
    <t xml:space="preserve"> &amp;diams; 2-NONANONE PROPYLENE GLYCOL ACETAL&lt;br /&gt;&amp;diams; 2-nonanone propylene glycol acetal&lt;br /&gt;&amp;diams; 1,3-dioxolane, 2-heptyl-2, 4-dimethyl-</t>
  </si>
  <si>
    <t xml:space="preserve"> 67801-46-1</t>
  </si>
  <si>
    <t xml:space="preserve"> 3-NONANON-1-OL</t>
  </si>
  <si>
    <t xml:space="preserve"> &amp;diams; 3-NONANON-1-OL&lt;br /&gt;&amp;diams; 1-HYDROXY-3-NONANONE&lt;br /&gt;&amp;diams; 2-HEPTANOYL-1-ETHANOL&lt;br /&gt;&amp;diams; 3-NONANONE, 1-HYDROXY-</t>
  </si>
  <si>
    <t xml:space="preserve"> 7779-54-6</t>
  </si>
  <si>
    <t xml:space="preserve"> 3-NONANON-1-YL ACETATE</t>
  </si>
  <si>
    <t xml:space="preserve"> &amp;diams; 1-(ACETYLOXY)-3-NONANONE&lt;br /&gt;&amp;diams; 1-HYDROXY-3-NONANONE ACETATE&lt;br /&gt;&amp;diams; 3-NONANONE, 1-(ACETYLOXY)-&lt;br /&gt;&amp;diams; 3-NONANONE, 1-HYDROXY, ACETATE&lt;br /&gt;&amp;diams; 3-OXONONANYL ACETATE&lt;br /&gt;&amp;diams; METHYLOL METHYL HEXYL KETONE ACETATE</t>
  </si>
  <si>
    <t xml:space="preserve"> 2444-46-4</t>
  </si>
  <si>
    <t xml:space="preserve"> NONANOYL 4-HYDROXY-3-METHOXYBENZYLAMIDE</t>
  </si>
  <si>
    <t xml:space="preserve"> &amp;diams; N-VANILLYLNONANAMIDE&lt;br /&gt;&amp;diams; N-((4-HYDROXY-3-METHOXYPHENYL)METHYL)NONANAMIDE&lt;br /&gt;&amp;diams; NONANOYL 4-HYDROXY-3-METHOXYBENZYLAMIDE&lt;br /&gt;&amp;diams; N-VANILLYLNONAMIDE&lt;br /&gt;&amp;diams; PELARGONYL VANILLYLAMIDE&lt;br /&gt;&amp;diams; N-(4-HYDROXY-3-METHOXYBENZYL)NONANAMIDE&lt;br /&gt;&amp;diams; N-NONANOYL VANILLYLAMIDE&lt;br /&gt;&amp;diams; NONANAMIDE, N-((4-HYDROXY-3-METHOXYPHENYL)METHYL)-&lt;br /&gt;&amp;diams; NONANAMIDE, N-VANILLYL-&lt;br /&gt;&amp;diams; PSEUDOCAPSAICIN</t>
  </si>
  <si>
    <t xml:space="preserve"> 56269-22-8</t>
  </si>
  <si>
    <t xml:space="preserve"> NONA-2,4,6-TRIENAL</t>
  </si>
  <si>
    <t xml:space="preserve"> &amp;diams; 2,4,6-NONATRIENAL&lt;br /&gt;&amp;diams; InChI=1S/C9H12O/c1-2-3-4-5-6-7-8-9-10/h3-9H,2H2,1H3&lt;br /&gt;&amp;diams; InChiKey=XHDSWFFUGPJMMN-UHFFFAOYSA-N</t>
  </si>
  <si>
    <t xml:space="preserve"> 2463-53-8</t>
  </si>
  <si>
    <t xml:space="preserve"> 2-NONENAL</t>
  </si>
  <si>
    <t xml:space="preserve"> &amp;diams; 2-NONENAL&lt;br /&gt;&amp;diams; HEPTYLIDENEACETALDEHYDE&lt;br /&gt;&amp;diams; 3-HEXYLACROLEIN&lt;br /&gt;&amp;diams; 3-HEXYL-2-PROPENAL&lt;br /&gt;&amp;diams; 2-NONEN-1-AL</t>
  </si>
  <si>
    <t xml:space="preserve"> 2277-19-2</t>
  </si>
  <si>
    <t xml:space="preserve"> CIS-6-NONENAL</t>
  </si>
  <si>
    <t xml:space="preserve"> &amp;diams; 6-NONENAL, CIS-&lt;br /&gt;&amp;diams; 6-NONENAL, (Z)-&lt;br /&gt;&amp;diams; 6-CIS-NONENAL</t>
  </si>
  <si>
    <t xml:space="preserve"> 124-11-8</t>
  </si>
  <si>
    <t xml:space="preserve"> 1-NONENE</t>
  </si>
  <si>
    <t xml:space="preserve"> &amp;diams; 1-NONENE&lt;br /&gt;&amp;diams; n-non-1-ene</t>
  </si>
  <si>
    <t xml:space="preserve"> 14812-03-4</t>
  </si>
  <si>
    <t xml:space="preserve"> (E)-2-NONENOIC ACID</t>
  </si>
  <si>
    <t xml:space="preserve"> &amp;diams; 2-NONENOIC ACID, TRANS-&lt;br /&gt;&amp;diams; 2-NONENOIC ACID, (2E)-&lt;br /&gt;&amp;diams; 2-NONENOIC ACID, (E)-</t>
  </si>
  <si>
    <t xml:space="preserve"> 21963-26-8</t>
  </si>
  <si>
    <t xml:space="preserve"> 2-NONENOIC ACID GAMMA-LACTONE</t>
  </si>
  <si>
    <t xml:space="preserve"> &amp;diams; 5-PENTYL-2(5H)-FURANONE&lt;br /&gt;&amp;diams; 2(5H)-furanone, 5-pentyl-&lt;br /&gt;&amp;diams; 2-nonenoic acid gamma-lactone&lt;br /&gt;&amp;diams; 4-hydroxy-2-nonenoic acid gamma-lactone&lt;br /&gt;&amp;diams; InChI=1S/C9H14O2/c1-2-3-4-5-8-6-7-9(10)11-8/h6-8H,2-5H2,1H3&lt;br /&gt;&amp;diams; InChiKey=MXZSZHJBUODOJK-UHFFFAOYSA-N&lt;br /&gt;&amp;diams; 5-pentylfuran-2(5H)-one</t>
  </si>
  <si>
    <t xml:space="preserve"> 41453-56-9</t>
  </si>
  <si>
    <t xml:space="preserve"> CIS-2-NONEN-1-OL</t>
  </si>
  <si>
    <t xml:space="preserve"> &amp;diams; 2-NONEN-1-OL, CIS-&lt;br /&gt;&amp;diams; 2-NONEN-1-OL, (Z)-</t>
  </si>
  <si>
    <t xml:space="preserve"> 31502-14-4</t>
  </si>
  <si>
    <t xml:space="preserve"> TRANS-2-NONEN-1-OL</t>
  </si>
  <si>
    <t xml:space="preserve"> &amp;diams; 2-NONEN-1-OL, TRANS-&lt;br /&gt;&amp;diams; 2-NONEN-1-OL, (E)-</t>
  </si>
  <si>
    <t xml:space="preserve"> 35854-86-5</t>
  </si>
  <si>
    <t xml:space="preserve"> CIS-6-NONEN-1-OL</t>
  </si>
  <si>
    <t xml:space="preserve"> &amp;diams; 6-NONEN-1-OL, CIS-&lt;br /&gt;&amp;diams; 6-NONENOL, CIS-&lt;br /&gt;&amp;diams; 6-NONEN-1-OL, (Z)-</t>
  </si>
  <si>
    <t xml:space="preserve"> 14309-57-0</t>
  </si>
  <si>
    <t xml:space="preserve"> 3-NONEN-2-ONE</t>
  </si>
  <si>
    <t xml:space="preserve"> &amp;diams; 3-NONEN-2-ONE</t>
  </si>
  <si>
    <t xml:space="preserve"> 5009-32-5</t>
  </si>
  <si>
    <t xml:space="preserve"> 8-NONEN-2-ONE</t>
  </si>
  <si>
    <t xml:space="preserve"> &amp;diams; 8-NONEN-2-ONE&lt;br /&gt;&amp;diams; InChI=1S/C9H16O/c1-3-4-5-6-7-8-9(2)10/h3H,1,4-8H2,2H3&lt;br /&gt;&amp;diams; InChIKey=OIFXLYCBBBXCIB-UHFFFAOYSA-N</t>
  </si>
  <si>
    <t xml:space="preserve"> 27039-84-5</t>
  </si>
  <si>
    <t xml:space="preserve"> 5-NONEN-TRANS-2-ONE</t>
  </si>
  <si>
    <t xml:space="preserve"> &amp;diams; 5-NONEN-2-ONE</t>
  </si>
  <si>
    <t xml:space="preserve"> 13049-88-2</t>
  </si>
  <si>
    <t xml:space="preserve"> CIS-3-NONENYL ACETATE</t>
  </si>
  <si>
    <t xml:space="preserve"> &amp;diams; 3-NONENYL ACETATE, CIS-&lt;br /&gt;&amp;diams; 3-nonen-1-ol, 1-acetate, (3Z)-&lt;br /&gt;&amp;diams; 3-nonen-1-ol, acetate, (3Z)-&lt;br /&gt;&amp;diams; 3-nonen-1-ol, acetate, (Z)-&lt;br /&gt;&amp;diams; 3-nonen-1-yl acetate, cis-&lt;br /&gt;&amp;diams; InChI=1S/C11H20O2/c1-3-4-5-6-7-8-9-10-13-11(2)12/h7-8H,3-6,9-10H2,1-2H3/b8-7-&lt;br /&gt;&amp;diams; InChIKey: LRQNQAVSERJKNU-FPLPWBNLSA-N</t>
  </si>
  <si>
    <t xml:space="preserve"> 76238-22-7</t>
  </si>
  <si>
    <t xml:space="preserve"> CIS-6-NONENYL ACETATE</t>
  </si>
  <si>
    <t xml:space="preserve"> &amp;diams; 6-NONENYL ACETATE, CIS-&lt;br /&gt;&amp;diams; 6-nonen-1-ol, 1-acetate, (6Z)-&lt;br /&gt;&amp;diams; 6-nonen-1-ol, acetate, (6Z)-&lt;br /&gt;&amp;diams; 6-nonen-1-yl acetate, cis-&lt;br /&gt;&amp;diams; InChI=1S/C11H20O2/c1-3-4-5-6-7-8-9-10-13-11(2)12/h4-5H,3,6-10H2,1-2H3/b5-4-&lt;br /&gt;&amp;diams; InChIKey: DFRXMRZQBMFKMI-PLNGDYQASA-N</t>
  </si>
  <si>
    <t xml:space="preserve"> 143-13-5</t>
  </si>
  <si>
    <t xml:space="preserve"> NONYL ACETATE</t>
  </si>
  <si>
    <t xml:space="preserve"> &amp;diams; NONYL ACETATE&lt;br /&gt;&amp;diams; ACETATE C-9&lt;br /&gt;&amp;diams; NONYL ETHANOATE&lt;br /&gt;&amp;diams; ACETIC ACID, NONYL ESTER&lt;br /&gt;&amp;diams; NONANOL ACETATE&lt;br /&gt;&amp;diams; PELARGONYL ACETATE&lt;br /&gt;&amp;diams; NONYL ALCOHOL ACETATE</t>
  </si>
  <si>
    <t xml:space="preserve"> 60826-15-5</t>
  </si>
  <si>
    <t xml:space="preserve"> 3-NONYL ACETATE</t>
  </si>
  <si>
    <t xml:space="preserve"> &amp;diams; 3-NONYL ACETATE&lt;br /&gt;&amp;diams; 3-NONANOL, ACETATE&lt;br /&gt;&amp;diams; NONAN-3-YL ACETATE, (+-)-&lt;br /&gt;&amp;diams; 1-ETHYLHEPT-1-YL ACETATE</t>
  </si>
  <si>
    <t xml:space="preserve"> 143-08-8</t>
  </si>
  <si>
    <t xml:space="preserve"> NONYL ALCOHOL</t>
  </si>
  <si>
    <t xml:space="preserve"> &amp;diams; NONYL ALCOHOL&lt;br /&gt;&amp;diams; 1-NONANOL&lt;br /&gt;&amp;diams; ALCOHOL(C9)&lt;br /&gt;&amp;diams; C9 ALCOHOL&lt;br /&gt;&amp;diams; FATTY ALCOHOL(C9)&lt;br /&gt;&amp;diams; NONALOL&lt;br /&gt;&amp;diams; OCTYL CARBINOL&lt;br /&gt;&amp;diams; 1-HYDROXYNONANE</t>
  </si>
  <si>
    <t xml:space="preserve"> 7786-47-2</t>
  </si>
  <si>
    <t xml:space="preserve"> NONYL ISOVALERATE</t>
  </si>
  <si>
    <t xml:space="preserve"> &amp;diams; NONYL ISOVALERATE&lt;br /&gt;&amp;diams; NONYL 3-METHYLBUTANOATE&lt;br /&gt;&amp;diams; NONYL ISOVALERIANATE&lt;br /&gt;&amp;diams; NONYL ISOPENTANOATE&lt;br /&gt;&amp;diams; BUTANOIC ACID, 3-METHYL-, NONYL ESTER&lt;br /&gt;&amp;diams; ISOVALERIC ACID, NONYL ESTER</t>
  </si>
  <si>
    <t xml:space="preserve"> 7786-48-3</t>
  </si>
  <si>
    <t xml:space="preserve"> NONYL OCTANOATE</t>
  </si>
  <si>
    <t xml:space="preserve"> &amp;diams; NONYL OCTANOATE&lt;br /&gt;&amp;diams; NONYL CAPRYLATE&lt;br /&gt;&amp;diams; NONYL OCTYLATE&lt;br /&gt;&amp;diams; OCTANOIC ACID, NONYL ESTER</t>
  </si>
  <si>
    <t xml:space="preserve"> 4674-50-4</t>
  </si>
  <si>
    <t xml:space="preserve"> NOOTKATONE</t>
  </si>
  <si>
    <t xml:space="preserve"> &amp;diams; NOOTKATONE&lt;br /&gt;&amp;diams; 4,4A,5,6,7,8-HEXAHYDRO-6-ISOPROPENYL-4,4A-DIMETHYL-2(3H)-NAPHTHALENONE&lt;br /&gt;&amp;diams; 4A,5-DIMETHYL-1,2,3,4,4A,5,6,7-OCTAHYDRO-7-KETO-3-ISOPROPENYLNAPHTHALENE&lt;br /&gt;&amp;diams; 5,6-DIMETHYL-8-ISOPROPENYLBICYCLO(4.4.0)DEC-1-EN-3-ONE&lt;br /&gt;&amp;diams; 2(3H)-NAPHTHALENONE, 4,4A,5,6,7,8-HEXAHYDRO-4,4A-DIMETHYL-6-(1-METHYLETHENYL)-, (4R-(4ALPHA,4AALPHA,6BETA))-&lt;br /&gt;&amp;diams; 4BETAH,5ALPHA-EREMOPHILA-1(10),11-DIEN-2-ONE&lt;br /&gt;&amp;diams; 1(10),11-EREMOPHILADIEN-2-ONE</t>
  </si>
  <si>
    <t xml:space="preserve"> 500-38-9</t>
  </si>
  <si>
    <t xml:space="preserve"> NORDIHYDROGUAIARETIC ACID--PROHIBITED WITH EXCEPTIONS</t>
  </si>
  <si>
    <t xml:space="preserve"> &amp;diams; NORDIHYDROGUAIARETIC ACID&lt;br /&gt;&amp;diams; DIHYDRONORGUAIARETIC ACID&lt;br /&gt;&amp;diams; NDGA&lt;br /&gt;&amp;diams; NORHYDROGUAIARETIC ACID&lt;br /&gt;&amp;diams; PYROCATECHOL, 4,4'-(2,3-DIMETHYLTETRAMETHYLENE)DI-&lt;br /&gt;&amp;diams; 2,3-DIMETHYL-1,4-BIS(3,4-DIHYDROXYPHENYL)BUTANE&lt;br /&gt;&amp;diams; 1,2-BENZENEDIOL, 4,4'-(2,3-DIMETHYL-1,4-BUTANEDIYL)BIS-&lt;br /&gt;&amp;diams; 4,4'-(2,3-DIMETHYLTETRAMETHYLENE)DIPYROCATECHOL&lt;br /&gt;&amp;diams; 4,4'-(2,3-DIMETHYL-1,4-BUTANEDIYL)BIS(1,2-BENZENEDIOL)</t>
  </si>
  <si>
    <t xml:space="preserve"> 852379-28-3</t>
  </si>
  <si>
    <t xml:space="preserve"> N-P-BENZENEACETONITRILEMENTHANECARBOXAMIDE</t>
  </si>
  <si>
    <t xml:space="preserve"> &amp;diams; N-(P-BENZENEACETONITRILE)MENTHANECARBOXAMIDE&lt;br /&gt;&amp;diams; cyclohexanecarboxamide, N-(4-(cyanomethyl)phenyl)-5-methyl-2-(1-methylethyl)-&lt;br /&gt;&amp;diams; N-(4-(cyanomethyl)phenyl)-5-methyl-2-(1-methylethyl)cyclohexanecarboxamide&lt;br /&gt;&amp;diams; N-(4-cyanomethylphenyl)-p-menthanecarboxamide</t>
  </si>
  <si>
    <t xml:space="preserve"> 862731-61-1</t>
  </si>
  <si>
    <t xml:space="preserve"> N-(2-(PYRIDIN-2-YL)ETHYL)-3-P-MENTHANECARBOXAMIDE</t>
  </si>
  <si>
    <t xml:space="preserve"> &amp;diams; 2-ISOPROPYL-5-METHYL-N-(2-(2-PYRIDINYL)ETHYL)CYCLOHEXANECARBOXAMIDE&lt;br /&gt;&amp;diams; cyclohexanecarboxamide, 5-methyl-2-(1-methylethyl)-N-(2-(2-pyridinyl)ethyl)-&lt;br /&gt;&amp;diams; N-(2-(2-pyridinyl)ethyl)-3-p-menthanecarboxamide&lt;br /&gt;&amp;diams; N-(2-(pyridin-2-yl)ethyl)-3-p-menthanecarboxamide&lt;br /&gt;&amp;diams; 5-methyl-2-(1-methylethyl)-N-(2-(2-pyridinyl)ethyl)cyclohexanecarboxamide</t>
  </si>
  <si>
    <t xml:space="preserve"> 977051-44-7</t>
  </si>
  <si>
    <t xml:space="preserve"> NUTMEG (MYRISTICA FRAGRANS HOUTT.)</t>
  </si>
  <si>
    <t xml:space="preserve"> &amp;diams; NUTMEG&lt;br /&gt;&amp;diams; MYRISTICA FRAGRANS&lt;br /&gt;&amp;diams; MUSCADE (MYRISTICA FRAGANS)</t>
  </si>
  <si>
    <t xml:space="preserve"> FLAVORING AGENT OR ADJUVANT,&lt;br /&gt; PROCESSING AID</t>
  </si>
  <si>
    <t xml:space="preserve"> 8008-45-5</t>
  </si>
  <si>
    <t xml:space="preserve"> NUTMEG, OIL (MYRISTICA FRAGRANS HOUTT.)</t>
  </si>
  <si>
    <t xml:space="preserve"> &amp;diams; NUTMEG OIL&lt;br /&gt;&amp;diams; OILS, NUTMEG&lt;br /&gt;&amp;diams; MYRISTICA OIL</t>
  </si>
  <si>
    <t xml:space="preserve"> 8007-12-3</t>
  </si>
  <si>
    <t xml:space="preserve"> NUTMEG OLEORESIN</t>
  </si>
  <si>
    <t xml:space="preserve"> &amp;diams; NUTMEG OLEORESIN&lt;br /&gt;&amp;diams; NUTMEG BUTTER&lt;br /&gt;&amp;diams; NUTMEG FAT&lt;br /&gt;&amp;diams; FATS, NUTMEG BUTTER&lt;br /&gt;&amp;diams; NUTMEG BUTTER FAT&lt;br /&gt;&amp;diams; NUTMEG OIL, FIXED</t>
  </si>
  <si>
    <t xml:space="preserve"> 977083-13-8</t>
  </si>
  <si>
    <t xml:space="preserve"> OAK CHIPS, WHITE, EXTRACT (QUERCUS ALBA L.)</t>
  </si>
  <si>
    <t xml:space="preserve"> &amp;diams; OAK CHIP EXTRACT, WHITE&lt;br /&gt;&amp;diams; QUERCUS ALBA CHIP EXTRACT</t>
  </si>
  <si>
    <t xml:space="preserve"> 977059-15-6</t>
  </si>
  <si>
    <t xml:space="preserve"> OAK MOSS, ABSOLUTE (EVERNIA SPP.)</t>
  </si>
  <si>
    <t xml:space="preserve"> &amp;diams; OAKMOSS ABSOLUTE&lt;br /&gt;&amp;diams; MOUSSE DE CHENE ABSOLUTE&lt;br /&gt;&amp;diams; OAK MOSS ABSOLUTE&lt;br /&gt;&amp;diams; EVERNIA ABSOLUTE</t>
  </si>
  <si>
    <t xml:space="preserve"> 977183-63-3</t>
  </si>
  <si>
    <t xml:space="preserve"> OAK MOSS, CONCRETE (EVERNIA PRUNASTI SPP.)</t>
  </si>
  <si>
    <t xml:space="preserve"> &amp;diams; OAKMOSS CONCRETE&lt;br /&gt;&amp;diams; OAK MOSS CONCRETE&lt;br /&gt;&amp;diams; EVERNIA PRUNASTRI CONCRETE</t>
  </si>
  <si>
    <t xml:space="preserve"> 977089-90-9</t>
  </si>
  <si>
    <t xml:space="preserve"> OAK WOOD, ENGLISH (QUERCUS ROBUR L.)</t>
  </si>
  <si>
    <t xml:space="preserve"> &amp;diams; OAK WOOD, ENGLISH</t>
  </si>
  <si>
    <t xml:space="preserve"> 73020-09-4</t>
  </si>
  <si>
    <t xml:space="preserve"> OAT GUM</t>
  </si>
  <si>
    <t xml:space="preserve"> &amp;diams; OAT GUM&lt;br /&gt;&amp;diams; GUM, OAT</t>
  </si>
  <si>
    <t xml:space="preserve"> 13877-91-3</t>
  </si>
  <si>
    <t xml:space="preserve"> OCIMENE</t>
  </si>
  <si>
    <t xml:space="preserve"> &amp;diams; OCIMENE, BETA-&lt;br /&gt;&amp;diams; 3,7-DIMETHYL-1,3,6-OCTATRIENE&lt;br /&gt;&amp;diams; 1,3,6-OCTATRIENE, 3,7-DIMETHYL-&lt;br /&gt;&amp;diams; BETA-OCIMENE</t>
  </si>
  <si>
    <t xml:space="preserve"> 977043-76-7</t>
  </si>
  <si>
    <t xml:space="preserve"> 9,12-OCTADECADIENOIC ACID (48%) AND 9,12,15-OCTADECATRIENOIC ACID (52%)</t>
  </si>
  <si>
    <t xml:space="preserve"> &amp;diams; LINOLEIC ACID (48%)/LINOLENIC ACID (52%) MIXTURE&lt;br /&gt;&amp;diams; 9,12-OCTADECADIENOIC ACID (48%) AND 9,12,15-OCTADECATRIENOIC ACID (52%)&lt;br /&gt;&amp;diams; 9,12-OCTADECADIENOIC ACID (Z,Z)-/9,12,15-OCTADECATRIENOIC ACID, (Z,Z,Z)- MIXTURE</t>
  </si>
  <si>
    <t xml:space="preserve"> FLAVORING AGENT OR ADJUVANT,&lt;br /&gt; NUTRIENT SUPPLEMENT,&lt;br /&gt; SOLVENT OR VEHICLE</t>
  </si>
  <si>
    <t xml:space="preserve"> 1227-51-6</t>
  </si>
  <si>
    <t xml:space="preserve"> DELTA-OCTADECALACTONE</t>
  </si>
  <si>
    <t xml:space="preserve"> &amp;diams; DELTA-STEAROLACTONE&lt;br /&gt;&amp;diams; 2H-pyran-2-one, tetrahydro-6-tridecyl-&lt;br /&gt;&amp;diams; tetrahydro-6-tridecyl-2H-pyran-2-one&lt;br /&gt;&amp;diams; octadecanoic acid, 5-hydroxy-, delta-lactone&lt;br /&gt;&amp;diams; 5-hydroxyoctadecanoic acid, delta lactone&lt;br /&gt;&amp;diams; delta-octadecalactone&lt;br /&gt;&amp;diams; 5-octadecanolide</t>
  </si>
  <si>
    <t xml:space="preserve"> 502-26-1</t>
  </si>
  <si>
    <t xml:space="preserve"> GAMMA-OCTADECALACTONE</t>
  </si>
  <si>
    <t xml:space="preserve"> &amp;diams; GAMMA-STEAROLACTONE&lt;br /&gt;&amp;diams; GAMMA-OCTADECALACTONE&lt;br /&gt;&amp;diams; 4-OCTADECANOLIDE&lt;br /&gt;&amp;diams; OCTADECANOIC ACID, 4-HYDROXY-, GAMMA-LACTONE&lt;br /&gt;&amp;diams; 4-HYDROXYOCTADECANOIC ACID GAMMA-LACTONE&lt;br /&gt;&amp;diams; 2(3H)-FURANONE, DIHYDRO-5-TETRADECYL-&lt;br /&gt;&amp;diams; DIHYDRO-5-TETRADECYL-2(3H)-FURANONE&lt;br /&gt;&amp;diams; InChI=1S/C18H34O2/c1-2-3-4-5-6-7-8-9-10-11-12-13-14-17-15-16-18(19)20-17/h17H,2-16H2,1H3&lt;br /&gt;&amp;diams; InChIKey: GYDWWIHJZSCRGV-UHFFFAOYSA-N</t>
  </si>
  <si>
    <t xml:space="preserve"> 5090-41-5</t>
  </si>
  <si>
    <t xml:space="preserve"> 9-OCTADECENAL</t>
  </si>
  <si>
    <t xml:space="preserve"> &amp;diams; 9-OCTADECENAL&lt;br /&gt;&amp;diams; octadecenyl aldehyde&lt;br /&gt;&amp;diams; elialdehyde</t>
  </si>
  <si>
    <t xml:space="preserve"> 124-30-1</t>
  </si>
  <si>
    <t xml:space="preserve"> OCTADECYLAMINE</t>
  </si>
  <si>
    <t xml:space="preserve"> &amp;diams; STEARYLAMINE&lt;br /&gt;&amp;diams; OCTADECYLAMINE&lt;br /&gt;&amp;diams; STEARYL AMINE&lt;br /&gt;&amp;diams; 1-OCTADECANAMINE</t>
  </si>
  <si>
    <t xml:space="preserve"> 30361-28-5</t>
  </si>
  <si>
    <t xml:space="preserve"> TRANS,TRANS-2,4-OCTADIENAL</t>
  </si>
  <si>
    <t xml:space="preserve"> &amp;diams; 2,4-OCTADIENAL, TRANS,TRANS-&lt;br /&gt;&amp;diams; 2,4-OCTADIENAL, (E,E)-</t>
  </si>
  <si>
    <t xml:space="preserve"> 56767-18-1</t>
  </si>
  <si>
    <t xml:space="preserve"> 2-TRANS-6-TRANS-OCTADIENAL</t>
  </si>
  <si>
    <t xml:space="preserve"> &amp;diams; 2,6-OCTADIENAL, TRANS,TRANS-&lt;br /&gt;&amp;diams; 2,6-OCTADIENAL, (E,E)-</t>
  </si>
  <si>
    <t xml:space="preserve"> 18409-20-6</t>
  </si>
  <si>
    <t xml:space="preserve"> (E,E)-2,4-OCTADIEN-1-OL</t>
  </si>
  <si>
    <t xml:space="preserve"> &amp;diams; 2,4-OCTADIEN-1-OL, TRANS,TRANS-&lt;br /&gt;&amp;diams; 2,4-OCTADIENOL, TRANS-&lt;br /&gt;&amp;diams; 2,4-OCTADIEN-1-OL, (2E,4E)-&lt;br /&gt;&amp;diams; 2,4-OCTADIEN-1-OL, (E,E)-</t>
  </si>
  <si>
    <t xml:space="preserve"> 65213-86-7</t>
  </si>
  <si>
    <t xml:space="preserve"> 1,5-OCTADIEN-3-ONE</t>
  </si>
  <si>
    <t xml:space="preserve"> &amp;diams; 1,5-OCTADIEN-3-ONE&lt;br /&gt;&amp;diams; InChI=1S/C8H12O/c1-3-5-6-7-8(9)4-2/h4-6H,2-3,7H2,1H3&lt;br /&gt;&amp;diams; InChIKey: VWYBQOFZVSNDAW-UHFFFAOYSA-N</t>
  </si>
  <si>
    <t xml:space="preserve"> 30086-02-3</t>
  </si>
  <si>
    <t xml:space="preserve"> 3,5-OCTADIEN-2-ONE, TRANS, TRANS-</t>
  </si>
  <si>
    <t xml:space="preserve"> &amp;diams; 3,5-OCTADIEN-2-ONE, TRANS,TRANS-&lt;br /&gt;&amp;diams; 3,5-OCTADIEN-2-ONE, (3E,5E)-&lt;br /&gt;&amp;diams; 3,5-OCTADIEN-2-ONE, (E,E)-</t>
  </si>
  <si>
    <t xml:space="preserve"> 115-25-3</t>
  </si>
  <si>
    <t xml:space="preserve"> OCTAFLUOROCYCLOBUTANE</t>
  </si>
  <si>
    <t xml:space="preserve"> &amp;diams; OCTAFLUOROCYCLOBUTANE&lt;br /&gt;&amp;diams; CYCLOBUTANE, OCTAFLUORO-&lt;br /&gt;&amp;diams; PROPELLANT C-318&lt;br /&gt;&amp;diams; PERFLUOROCYCLOBUTANE</t>
  </si>
  <si>
    <t xml:space="preserve"> 23333-91-7</t>
  </si>
  <si>
    <t xml:space="preserve"> OCTAHYDRO-4,8A-DIMETHYL-4A(2H)-NAPHTHOL</t>
  </si>
  <si>
    <t xml:space="preserve"> &amp;diams; OCTAHYDRO-4,8A-DIMETHYL-4A(2H)-NAPHTHOL&lt;br /&gt;&amp;diams; 4a(2H)-naphthol, octahydro-4,8a-dimethyl-&lt;br /&gt;&amp;diams; 4a(2H)-naphthalenol, octahydro-4,8a-dimethyl-&lt;br /&gt;&amp;diams; octahydro-4,8a-dimethyl-4a(2H)-naphthalenol</t>
  </si>
  <si>
    <t xml:space="preserve"> 4430-31-3</t>
  </si>
  <si>
    <t xml:space="preserve"> OCTAHYDROCOUMARIN</t>
  </si>
  <si>
    <t xml:space="preserve"> &amp;diams; OCTAHYDROCOUMARIN&lt;br /&gt;&amp;diams; COUMARIN, OCTAHYDRO-&lt;br /&gt;&amp;diams; BICYCLONONALACTONE&lt;br /&gt;&amp;diams; CYCLOHEXYL LACTONE&lt;br /&gt;&amp;diams; 2H-1-BENZOPYRAN-2-ONE, OCTAHYDRO-&lt;br /&gt;&amp;diams; OCTAHYDRO-2H-1-BENZOPYRAN-2-ONE</t>
  </si>
  <si>
    <t xml:space="preserve"> 698-76-0</t>
  </si>
  <si>
    <t xml:space="preserve"> DELTA-OCTALACTONE</t>
  </si>
  <si>
    <t xml:space="preserve"> &amp;diams; DELTA-OCTALACTONE&lt;br /&gt;&amp;diams; 5-OCTALACTONE&lt;br /&gt;&amp;diams; DELTA-PROPYL-DELTA-VALEROLACTONE&lt;br /&gt;&amp;diams; TETRAHYDRO-6-PROPYL-2H-PYRAN-2-ONE&lt;br /&gt;&amp;diams; 5-HYDROXYOCTANOIC ACID LACTONE&lt;br /&gt;&amp;diams; 5-OCTANOLIDE&lt;br /&gt;&amp;diams; 5-PROPYL-5-HYDROXYPENTANOIC ACID LACTONE&lt;br /&gt;&amp;diams; OCTALACTONE, DELTA-&lt;br /&gt;&amp;diams; 2H-PYRAN-2-ONE, TETRAHYDRO-6-PROPYL-&lt;br /&gt;&amp;diams; OCTANOIC ACID, 5-HYDROXY-, DELTA-LACTONE&lt;br /&gt;&amp;diams; 5-HYDROXYOCTANOIC ACID DELTA-LACTONE&lt;br /&gt;&amp;diams; OCTANOIC ACID, 5-HYDROXY-, LACTONE</t>
  </si>
  <si>
    <t xml:space="preserve"> 104-50-7</t>
  </si>
  <si>
    <t xml:space="preserve"> GAMMA-OCTALACTONE</t>
  </si>
  <si>
    <t xml:space="preserve"> &amp;diams; GAMMA-OCTALACTONE&lt;br /&gt;&amp;diams; 4-OCTANOLIDE&lt;br /&gt;&amp;diams; GAMMA-BUTYL-GAMMA-BUTYROLACTONE&lt;br /&gt;&amp;diams; 4-BUTYL-4-HYDROXYBUTYRIC ACID LACTONE&lt;br /&gt;&amp;diams; OCTALACTONE, GAMMA-&lt;br /&gt;&amp;diams; 4-HYDROXYOCTANOIC ACID GAMMA-LACTONE&lt;br /&gt;&amp;diams; OCTANOLIDE-1,4&lt;br /&gt;&amp;diams; 2(3H)-FURANONE, 5-BUTYLDIHYDRO-&lt;br /&gt;&amp;diams; 5-BUTYLDIHYDRO-2(3H)-FURANONE&lt;br /&gt;&amp;diams; OCTANOIC ACID, 4-HYDROXY-, GAMMA-LACTONE</t>
  </si>
  <si>
    <t xml:space="preserve"> 124-13-0</t>
  </si>
  <si>
    <t xml:space="preserve"> OCTANAL</t>
  </si>
  <si>
    <t xml:space="preserve"> &amp;diams; OCTANAL&lt;br /&gt;&amp;diams; ALDEHYDE C-8&lt;br /&gt;&amp;diams; CAPRYLIC ALDEHYDE&lt;br /&gt;&amp;diams; OCTYL ALDEHYDE, N-&lt;br /&gt;&amp;diams; 1-OCTANAL&lt;br /&gt;&amp;diams; CAPRYLALDEHYDE&lt;br /&gt;&amp;diams; NSC-1508&lt;br /&gt;&amp;diams; OCTANALDEHYDE</t>
  </si>
  <si>
    <t xml:space="preserve"> 10022-28-3</t>
  </si>
  <si>
    <t xml:space="preserve"> OCTANAL DIMETHYL ACETAL</t>
  </si>
  <si>
    <t xml:space="preserve"> &amp;diams; 1,1-DIMETHOXYOCTANE&lt;br /&gt;&amp;diams; OCTANAL DIMETHYL ACETAL&lt;br /&gt;&amp;diams; CAPRYLALDEHYDE DIMETHYL ACETAL&lt;br /&gt;&amp;diams; C-8 DIMETHYLACETAL&lt;br /&gt;&amp;diams; OCTALDEHYDE DIMETHYL ACETAL&lt;br /&gt;&amp;diams; OCTANE, 1,1-DIMETHOXY-&lt;br /&gt;&amp;diams; OCTANAL, DIMETHYL ACETAL</t>
  </si>
  <si>
    <t xml:space="preserve"> 74094-61-4</t>
  </si>
  <si>
    <t xml:space="preserve"> OCTANAL PROPYLENEGLYCOL ACETAL</t>
  </si>
  <si>
    <t xml:space="preserve"> &amp;diams; OCTANAL PROPYLENE GLYCOL ACETAL&lt;br /&gt;&amp;diams; 1,3-dioxolane, 2-heptyl-4-methyl-&lt;br /&gt;&amp;diams; 2-heptyl-4-methyl-1,3-dioxolane&lt;br /&gt;&amp;diams; InChI=1S/C11H22O2/c1-3-4-5-6-7-8-11-12-9-10(2)13-11/h10-11H,3-9H2,1-2H3&lt;br /&gt;&amp;diams; InChIKey: PTJICCHLTNPHDB-UHFFFAOYSA-N</t>
  </si>
  <si>
    <t xml:space="preserve"> 585-25-1</t>
  </si>
  <si>
    <t xml:space="preserve"> 2,3-OCTANEDIONE</t>
  </si>
  <si>
    <t xml:space="preserve"> &amp;diams; 2,3-OCTANEDIONE</t>
  </si>
  <si>
    <t xml:space="preserve"> 5455-24-3</t>
  </si>
  <si>
    <t xml:space="preserve"> 4,5-OCTANEDIONE</t>
  </si>
  <si>
    <t xml:space="preserve"> &amp;diams; 4,5-OCTANEDIONE&lt;br /&gt;&amp;diams; 4,5-octadione&lt;br /&gt;&amp;diams; InChI=1S/C8H14O2/c1-3-5-7(9)8(10)6-4-2/h3-6H2,1-2H3&lt;br /&gt;&amp;diams; InChIKey: XYZAPOXYXNIBEU-UHFFFAOYSA-N</t>
  </si>
  <si>
    <t xml:space="preserve"> 1191-62-4</t>
  </si>
  <si>
    <t xml:space="preserve"> 1,8-OCTANEDITHIOL</t>
  </si>
  <si>
    <t xml:space="preserve"> &amp;diams; 1,8-OCTANEDITHIOL&lt;br /&gt;&amp;diams; 1,8-DIMERCAPTOOCTANE&lt;br /&gt;&amp;diams; OCTAMETHYLENE DIMERCAPTAN&lt;br /&gt;&amp;diams; 1,8-OCTAMETHYLENEDITHIOL</t>
  </si>
  <si>
    <t xml:space="preserve"> 124-07-2</t>
  </si>
  <si>
    <t xml:space="preserve"> OCTANOIC ACID</t>
  </si>
  <si>
    <t xml:space="preserve"> &amp;diams; OCTANOIC ACID&lt;br /&gt;&amp;diams; OCTOIC ACID&lt;br /&gt;&amp;diams; OCTYLIC ACID&lt;br /&gt;&amp;diams; ACID(C8)</t>
  </si>
  <si>
    <t xml:space="preserve"> 111-87-5</t>
  </si>
  <si>
    <t xml:space="preserve"> 1-OCTANOL</t>
  </si>
  <si>
    <t xml:space="preserve"> &amp;diams; OCTYL ALCOHOL&lt;br /&gt;&amp;diams; ALCOHOL(C8)&lt;br /&gt;&amp;diams; 1-OCTANOL&lt;br /&gt;&amp;diams; OCTANOL&lt;br /&gt;&amp;diams; OCTYL ALCOHOL, PRIMARY&lt;br /&gt;&amp;diams; HEPTYL CARBINOL&lt;br /&gt;&amp;diams; C8 ALCOHOL&lt;br /&gt;&amp;diams; FATTY ALCOHOL(C8)</t>
  </si>
  <si>
    <t xml:space="preserve"> 123-96-6</t>
  </si>
  <si>
    <t xml:space="preserve"> 2-OCTANOL</t>
  </si>
  <si>
    <t xml:space="preserve"> &amp;diams; 2-OCTANOL&lt;br /&gt;&amp;diams; CAPRYLIC ALCOHOL, SECONDARY&lt;br /&gt;&amp;diams; CAPRYL ALCOHOL, SEC-&lt;br /&gt;&amp;diams; HEXYL METHYL CARBINOL&lt;br /&gt;&amp;diams; METHYL HEXYL CARBINOL&lt;br /&gt;&amp;diams; OCTYL ALCOHOL, SEC-&lt;br /&gt;&amp;diams; BETA-OCTYL ALCOHOL&lt;br /&gt;&amp;diams; OCTYL ALCOHOL, BETA-&lt;br /&gt;&amp;diams; 1-METHYLHEPTYL ALCOHOL&lt;br /&gt;&amp;diams; 2-OCTYL ALCOHOL&lt;br /&gt;&amp;diams; 2-HYDROXYOCTANE&lt;br /&gt;&amp;diams; 1-METHYL-1-HEPTANOL&lt;br /&gt;&amp;diams; 1-METHYLHEPTANOL&lt;br /&gt;&amp;diams; CAPRYL ALCOHOL</t>
  </si>
  <si>
    <t xml:space="preserve"> 589-98-0</t>
  </si>
  <si>
    <t xml:space="preserve"> 3-OCTANOL</t>
  </si>
  <si>
    <t xml:space="preserve"> &amp;diams; 3-OCTANOL&lt;br /&gt;&amp;diams; ETHYL AMYL CARBINOL&lt;br /&gt;&amp;diams; AMYL ETHYL CARBINOL&lt;br /&gt;&amp;diams; 1-ETHYLHEXANOL</t>
  </si>
  <si>
    <t xml:space="preserve"> 111-13-7</t>
  </si>
  <si>
    <t xml:space="preserve"> 2-OCTANONE</t>
  </si>
  <si>
    <t xml:space="preserve"> &amp;diams; METHYL HEXYL KETONE&lt;br /&gt;&amp;diams; 2-OCTANONE&lt;br /&gt;&amp;diams; HEXYL METHYL KETONE</t>
  </si>
  <si>
    <t xml:space="preserve"> 106-68-3</t>
  </si>
  <si>
    <t xml:space="preserve"> 3-OCTANONE</t>
  </si>
  <si>
    <t xml:space="preserve"> &amp;diams; ETHYL AMYL KETONE&lt;br /&gt;&amp;diams; 3-OCTANONE&lt;br /&gt;&amp;diams; AMYL ETHYL KETONE&lt;br /&gt;&amp;diams; EAK&lt;br /&gt;&amp;diams; ETHYL PENTYL KETONE</t>
  </si>
  <si>
    <t xml:space="preserve"> 2363-89-5</t>
  </si>
  <si>
    <t xml:space="preserve"> 2-OCTENAL</t>
  </si>
  <si>
    <t xml:space="preserve"> &amp;diams; 2-OCTENAL&lt;br /&gt;&amp;diams; 2-OCTEN-1-AL</t>
  </si>
  <si>
    <t xml:space="preserve"> 41547-22-2</t>
  </si>
  <si>
    <t xml:space="preserve"> CIS-5-OCTENAL</t>
  </si>
  <si>
    <t xml:space="preserve"> &amp;diams; 5-OCTENAL, CIS-&lt;br /&gt;&amp;diams; 5-OCTENAL, (Z)-</t>
  </si>
  <si>
    <t xml:space="preserve"> 63826-25-5</t>
  </si>
  <si>
    <t xml:space="preserve"> 6-OCTENAL</t>
  </si>
  <si>
    <t xml:space="preserve"> &amp;diams; 6-OCTENAL</t>
  </si>
  <si>
    <t xml:space="preserve"> 1871-67-6</t>
  </si>
  <si>
    <t xml:space="preserve"> (E)-2-OCTENOIC ACID</t>
  </si>
  <si>
    <t xml:space="preserve"> &amp;diams; 2-OCTENOIC ACID, TRANS-&lt;br /&gt;&amp;diams; 2-OCTENOIC ACID, (2E)-&lt;br /&gt;&amp;diams; 2-OCTENOIC ACID, (E)-</t>
  </si>
  <si>
    <t xml:space="preserve"> 1577-19-1</t>
  </si>
  <si>
    <t xml:space="preserve"> 3-OCTENOIC ACID</t>
  </si>
  <si>
    <t xml:space="preserve"> &amp;diams; 3-OCTENOIC ACID&lt;br /&gt;&amp;diams; InChI=1S/C8H14O2/c1-2-3-4-5-6-7-8(9)10/h5-6H,2-4,7H2,1H3,(H,9,10)&lt;br /&gt;&amp;diams; InChIKey: IWPOSDLLFZKGOW-UHFFFAOYSA-N</t>
  </si>
  <si>
    <t xml:space="preserve"> 3391-86-4</t>
  </si>
  <si>
    <t xml:space="preserve"> 1-OCTEN-3-OL</t>
  </si>
  <si>
    <t xml:space="preserve"> &amp;diams; 1-OCTEN-3-OL&lt;br /&gt;&amp;diams; AMYL VINYL CARBINOL&lt;br /&gt;&amp;diams; MATSUICA ALCOHOL&lt;br /&gt;&amp;diams; 3-OCTENOL&lt;br /&gt;&amp;diams; PENTYL VINYL CARBINOL&lt;br /&gt;&amp;diams; 3-HYDROXY-1-OCTENE&lt;br /&gt;&amp;diams; 1-VINYLHEXANOL</t>
  </si>
  <si>
    <t xml:space="preserve"> 26001-58-1</t>
  </si>
  <si>
    <t xml:space="preserve"> CIS-2-OCTENOL</t>
  </si>
  <si>
    <t xml:space="preserve"> &amp;diams; 2-OCTEN-1-OL, CIS-&lt;br /&gt;&amp;diams; 2-OCTEN-1-OL, (Z)-&lt;br /&gt;&amp;diams; 2-OCTENOL, CIS-&lt;br /&gt;&amp;diams; 2-octen-1-ol, (2Z)-</t>
  </si>
  <si>
    <t xml:space="preserve"> 18409-17-1</t>
  </si>
  <si>
    <t xml:space="preserve"> (E)-2-OCTEN-1-OL</t>
  </si>
  <si>
    <t xml:space="preserve"> &amp;diams; 2-OCTEN-1-OL, TRANS-&lt;br /&gt;&amp;diams; 2-OCTENOL, TRANS-&lt;br /&gt;&amp;diams; 2-OCTEN-1-OL, (2E)-&lt;br /&gt;&amp;diams; 2-OCTENOL, (E)-</t>
  </si>
  <si>
    <t xml:space="preserve"> 20125-81-9</t>
  </si>
  <si>
    <t xml:space="preserve"> (E)-2-OCTEN-4-OL</t>
  </si>
  <si>
    <t xml:space="preserve"> &amp;diams; 2-OCTEN-4-OL, TRANS-&lt;br /&gt;&amp;diams; 2-OCTEN-4-OL, (E)-&lt;br /&gt;&amp;diams; BUTYL PROPENYL CARBINOL, TRANS-</t>
  </si>
  <si>
    <t xml:space="preserve"> 20125-84-2</t>
  </si>
  <si>
    <t xml:space="preserve"> CIS-3-OCTEN-1-OL</t>
  </si>
  <si>
    <t xml:space="preserve"> &amp;diams; 3-OCTEN-1-OL, CIS-&lt;br /&gt;&amp;diams; 3-OCTENOL, CIS-&lt;br /&gt;&amp;diams; 3-OCTEN-1-OL, (Z)-</t>
  </si>
  <si>
    <t xml:space="preserve"> 57648-55-2</t>
  </si>
  <si>
    <t xml:space="preserve"> TRANS-3-OCTEN-2-OL</t>
  </si>
  <si>
    <t xml:space="preserve"> &amp;diams; 3-OCTEN-2-OL, TRANS-&lt;br /&gt;&amp;diams; 3-OCTEN-2-OL, (E)-</t>
  </si>
  <si>
    <t xml:space="preserve"> 54393-36-1</t>
  </si>
  <si>
    <t xml:space="preserve"> CIS-4-OCTENOL</t>
  </si>
  <si>
    <t xml:space="preserve"> &amp;diams; 4-OCTEN-1-OL, CIS-&lt;br /&gt;&amp;diams; 4-octen-1-ol, (4Z)-&lt;br /&gt;&amp;diams; 4-octen-1-ol, (Z)-&lt;br /&gt;&amp;diams; 4-octenol, cis-</t>
  </si>
  <si>
    <t xml:space="preserve"> 64275-73-6</t>
  </si>
  <si>
    <t xml:space="preserve"> CIS-5-OCTEN-1-OL</t>
  </si>
  <si>
    <t xml:space="preserve"> &amp;diams; 5-OCTEN-1-OL, CIS-&lt;br /&gt;&amp;diams; 5-OCTEN-1-OL, (Z)-</t>
  </si>
  <si>
    <t xml:space="preserve"> 4312-99-6</t>
  </si>
  <si>
    <t xml:space="preserve"> 1-OCTEN-3-ONE</t>
  </si>
  <si>
    <t xml:space="preserve"> &amp;diams; 1-OCTEN-3-ONE&lt;br /&gt;&amp;diams; AMYL VINYL KETONE&lt;br /&gt;&amp;diams; VINYL AMYL KETONE</t>
  </si>
  <si>
    <t xml:space="preserve"> 4643-27-0</t>
  </si>
  <si>
    <t xml:space="preserve"> 2-OCTEN-4-ONE</t>
  </si>
  <si>
    <t xml:space="preserve"> &amp;diams; 2-OCTEN-4-ONE&lt;br /&gt;&amp;diams; BUTYL PROPENYL KETONE&lt;br /&gt;&amp;diams; PROPENYL BUTYL KETONE</t>
  </si>
  <si>
    <t xml:space="preserve"> 1669-44-9</t>
  </si>
  <si>
    <t xml:space="preserve"> 3-OCTEN-2-ONE</t>
  </si>
  <si>
    <t xml:space="preserve"> &amp;diams; 3-OCTEN-2-ONE</t>
  </si>
  <si>
    <t xml:space="preserve"> 14129-48-7</t>
  </si>
  <si>
    <t xml:space="preserve"> 4-OCTEN-3-ONE</t>
  </si>
  <si>
    <t xml:space="preserve"> &amp;diams; 4-OCTEN-3-ONE&lt;br /&gt;&amp;diams; oct-4-en-3-one&lt;br /&gt;&amp;diams; InChI=1S/C8H14O/c1-3-5-6-7-8(9)4-2/h6-7H,3-5H2,1-2H3&lt;br /&gt;&amp;diams; InChIKey: JPTOCTSNXXKSSN-UHFFFAOYSA-N</t>
  </si>
  <si>
    <t xml:space="preserve"> 2442-10-6</t>
  </si>
  <si>
    <t xml:space="preserve"> 1-OCTEN-3-YL ACETATE</t>
  </si>
  <si>
    <t xml:space="preserve"> &amp;diams; 1-OCTEN-3-YL ACETATE&lt;br /&gt;&amp;diams; AMYL VINYL CARBINYL ACETATE&lt;br /&gt;&amp;diams; 3-ACETOXYOCTENE&lt;br /&gt;&amp;diams; PENTYL VINYL CARBINOL ACETATE&lt;br /&gt;&amp;diams; AMYL CROTONYL ACETATE&lt;br /&gt;&amp;diams; PENTYL CROTONYL ACETATE&lt;br /&gt;&amp;diams; BETA-OCTENYL ACETATE&lt;br /&gt;&amp;diams; OCTENYL ACETATE&lt;br /&gt;&amp;diams; 1-OCTEN-3-OL, ACETATE&lt;br /&gt;&amp;diams; 1-PENTYLALLYL ACETATE&lt;br /&gt;&amp;diams; 3-ACETOXY-1-OCTENE</t>
  </si>
  <si>
    <t xml:space="preserve"> 3913-80-2</t>
  </si>
  <si>
    <t xml:space="preserve"> TRANS-2-OCTEN-1-YL ACETATE</t>
  </si>
  <si>
    <t xml:space="preserve"> &amp;diams; 2-OCTEN-1-YL ACETATE, TRANS-&lt;br /&gt;&amp;diams; 2-OCTEN-1-OL, ACETATE, (E)-&lt;br /&gt;&amp;diams; 2-OCTENYL ACETATE, TRANS-&lt;br /&gt;&amp;diams; 2-OCTENYL ACETATE, (E)-</t>
  </si>
  <si>
    <t xml:space="preserve"> 71978-00-2</t>
  </si>
  <si>
    <t xml:space="preserve"> Z-5-OCTENYL ACETATE</t>
  </si>
  <si>
    <t xml:space="preserve"> &amp;diams; 5-OCTEN-1-YL ACETATE, (Z)-&lt;br /&gt;&amp;diams; 5-octenyl acetate, (Z)-&lt;br /&gt;&amp;diams; 5-octen-1-ol, acetate, (5Z)-&lt;br /&gt;&amp;diams; 5-octen-1-yl acetate, (5Z)-&lt;br /&gt;&amp;diams; 5-octenyl acetate, cis-</t>
  </si>
  <si>
    <t xml:space="preserve"> 84642-60-4</t>
  </si>
  <si>
    <t xml:space="preserve"> TRANS-2-OCTEN-1-YL BUTANOATE</t>
  </si>
  <si>
    <t xml:space="preserve"> &amp;diams; 2-OCTEN-1-YL BUTYRATE, TRANS-&lt;br /&gt;&amp;diams; BUTANOIC ACID, 2-OCTENYL ESTER, (E)-&lt;br /&gt;&amp;diams; 2-OCTEN-1-YL BUTANOATE, TRANS-&lt;br /&gt;&amp;diams; 2-OCTENYL BUTANOATE, (E)-</t>
  </si>
  <si>
    <t xml:space="preserve"> 16491-54-6</t>
  </si>
  <si>
    <t xml:space="preserve"> 1-OCTEN-3-YL BUTYRATE</t>
  </si>
  <si>
    <t xml:space="preserve"> &amp;diams; 1-OCTEN-3-YL BUTYRATE&lt;br /&gt;&amp;diams; BUTANOIC ACID, 1-ETHENYLHEXYL ESTER&lt;br /&gt;&amp;diams; BUTYRIC ACID, 1-PENTYLALLYL ESTER&lt;br /&gt;&amp;diams; 1-ETHENYLHEXYL BUTANOATE&lt;br /&gt;&amp;diams; 1-PENTYLALLYL BUTYRATE&lt;br /&gt;&amp;diams; 1-OCTEN-3-OL, BUTYRATE&lt;br /&gt;&amp;diams; 1-OCTEN-3-OL BUTYRATE</t>
  </si>
  <si>
    <t xml:space="preserve"> 98314-98-8</t>
  </si>
  <si>
    <t xml:space="preserve"> (E)-2-(2-OCTENYL)CYCLOPENTANONE</t>
  </si>
  <si>
    <t xml:space="preserve"> &amp;diams; 2-(2-OCTENYL)CYCLOPENTANONE, TRANS-&lt;br /&gt;&amp;diams; CYCLOPENTANONE, 2-(2-OCTENYL)-, (E)-&lt;br /&gt;&amp;diams; 2-(2-OCTENYL)CYCLOPENTANONE, (E)-</t>
  </si>
  <si>
    <t xml:space="preserve"> 94134-03-9</t>
  </si>
  <si>
    <t xml:space="preserve"> CIS-3-OCTENYL PROPIONATE</t>
  </si>
  <si>
    <t xml:space="preserve"> &amp;diams; 3-OCTENYL PROPANOATE, CIS-&lt;br /&gt;&amp;diams; oct-3-en-1-yl propionate, cis-&lt;br /&gt;&amp;diams; 3-octenyl propionate, cis-&lt;br /&gt;&amp;diams; 3-octenyl propanoate, (Z)-&lt;br /&gt;&amp;diams; 3-octen-1-ol, propanoate, (Z)-</t>
  </si>
  <si>
    <t xml:space="preserve"> 196109-18-9</t>
  </si>
  <si>
    <t xml:space="preserve"> (Z)-5-OCTENYL PROPIONATE</t>
  </si>
  <si>
    <t xml:space="preserve"> &amp;diams; 5-OCTENYL PROPIONATE, CIS-&lt;br /&gt;&amp;diams; 5-OCTEN-1-OL, PROPANOATE, (Z)-&lt;br /&gt;&amp;diams; 5-OCTEN-1-YL PROPIONATE, CIS-&lt;br /&gt;&amp;diams; 5-OCTEN-1-YL PROPANOATE, (Z)-</t>
  </si>
  <si>
    <t xml:space="preserve"> 7757-96-2</t>
  </si>
  <si>
    <t xml:space="preserve"> 1-OCTENYL SUCCINIC ANHYDRIDE</t>
  </si>
  <si>
    <t xml:space="preserve"> &amp;diams; 1-OCTENYLSUCCINIC ANHYDRIDE&lt;br /&gt;&amp;diams; DIHYDRO-3-(1-OCTENYL)-2,5-FURANDIONE&lt;br /&gt;&amp;diams; SUCCINIC ANHYDRIDE, (1-OCTENYL)-&lt;br /&gt;&amp;diams; 2,5-FURANDIONE, DIHYDRO-3-(1-OCTENYL)-</t>
  </si>
  <si>
    <t xml:space="preserve"> 112-14-1</t>
  </si>
  <si>
    <t xml:space="preserve"> OCTYL ACETATE</t>
  </si>
  <si>
    <t xml:space="preserve"> &amp;diams; OCTYL ACETATE&lt;br /&gt;&amp;diams; OCTYL ACETATE, NORMAL&lt;br /&gt;&amp;diams; ACETATE C-8&lt;br /&gt;&amp;diams; OCTYL ETHANOATE&lt;br /&gt;&amp;diams; ACETIC ACID, OCTYL ESTER&lt;br /&gt;&amp;diams; 1-OCTYL ACETATE&lt;br /&gt;&amp;diams; 1-ACETOXYOCTANE</t>
  </si>
  <si>
    <t xml:space="preserve"> 4864-61-3</t>
  </si>
  <si>
    <t xml:space="preserve"> 3-OCTYL ACETATE</t>
  </si>
  <si>
    <t xml:space="preserve"> &amp;diams; 3-OCTYL ACETATE&lt;br /&gt;&amp;diams; AMYL ETHYL CARBINYL ACETATE&lt;br /&gt;&amp;diams; 1-ETHYL HEXYL ACETATE&lt;br /&gt;&amp;diams; 3-OCTANOL, ACETATE&lt;br /&gt;&amp;diams; 3-OCTANOL ACETATE&lt;br /&gt;&amp;diams; OCT-3-YL ETHANOATE</t>
  </si>
  <si>
    <t xml:space="preserve"> 977152-92-3</t>
  </si>
  <si>
    <t xml:space="preserve"> OCTYL ALCOHOL, SYNTHETIC</t>
  </si>
  <si>
    <t xml:space="preserve"> &amp;diams; OCTYL ALCOHOL, SYNTHETIC</t>
  </si>
  <si>
    <t xml:space="preserve"> 110-39-4</t>
  </si>
  <si>
    <t xml:space="preserve"> OCTYL BUTYRATE</t>
  </si>
  <si>
    <t xml:space="preserve"> &amp;diams; OCTYL BUTYRATE&lt;br /&gt;&amp;diams; OCTYL BUTANOATE&lt;br /&gt;&amp;diams; BUTANOIC ACID, OCTYL ESTER&lt;br /&gt;&amp;diams; BUTYRIC ACID, OCTYL ESTER</t>
  </si>
  <si>
    <t xml:space="preserve"> 20286-45-7</t>
  </si>
  <si>
    <t xml:space="preserve"> 3-OCTYL BUTYRATE</t>
  </si>
  <si>
    <t xml:space="preserve"> &amp;diams; 1-ETHYLHEXYL BUTANOATE&lt;br /&gt;&amp;diams; butanoic acid, 1-ethylhexyl ester&lt;br /&gt;&amp;diams; 3-octanol, butyrate&lt;br /&gt;&amp;diams; 3-octyl butyrate&lt;br /&gt;&amp;diams; butyric acid, 1-ethylhexyl ester&lt;br /&gt;&amp;diams; 1-ethylhexyl butyrate&lt;br /&gt;&amp;diams; InChI=1S/C12H24O2/c1-4-7-8-10-11(6-3)14-12(13)9-5-2/h11H,4-10H2,1-3H3&lt;br /&gt;&amp;diams; InChIKey: USSKZVIXWTWCGK-UHFFFAOYSA-N</t>
  </si>
  <si>
    <t xml:space="preserve"> 112-32-3</t>
  </si>
  <si>
    <t xml:space="preserve"> OCTYL FORMATE</t>
  </si>
  <si>
    <t xml:space="preserve"> &amp;diams; OCTYL FORMATE&lt;br /&gt;&amp;diams; OCTYL METHANOATE&lt;br /&gt;&amp;diams; FORMIC ACID, OCTYL ESTER</t>
  </si>
  <si>
    <t xml:space="preserve"> 84434-65-1</t>
  </si>
  <si>
    <t xml:space="preserve"> 3-OCTYL FORMATE</t>
  </si>
  <si>
    <t xml:space="preserve"> &amp;diams; 3-OCTYL FORMATE&lt;br /&gt;&amp;diams; 3-OCTANOL, FORMATE&lt;br /&gt;&amp;diams; OCTAN-3-YL FORMATE, (+-)-&lt;br /&gt;&amp;diams; 1-ETHYLHEX-1-YL FORMATE</t>
  </si>
  <si>
    <t xml:space="preserve"> 39251-88-2</t>
  </si>
  <si>
    <t xml:space="preserve"> OCTYL 2-FUROATE</t>
  </si>
  <si>
    <t xml:space="preserve"> &amp;diams; OCTYL 2-FUROATE&lt;br /&gt;&amp;diams; OCTYL 2-FURANCARBOXYLATE&lt;br /&gt;&amp;diams; 2-FURANCARBOXYLIC ACID, OCTYL ESTER</t>
  </si>
  <si>
    <t xml:space="preserve"> 1034-01-1</t>
  </si>
  <si>
    <t xml:space="preserve"> OCTYL GALLATE</t>
  </si>
  <si>
    <t xml:space="preserve"> &amp;diams; OCTYL GALLATE&lt;br /&gt;&amp;diams; BENZOIC ACID, 3,4,5-TRIHYDROXY-, OCTYL ESTER&lt;br /&gt;&amp;diams; OCTYL 3,4,5-TRIHYDROXYBENZOATE&lt;br /&gt;&amp;diams; GALLIC ACID, OCTYL ESTER</t>
  </si>
  <si>
    <t xml:space="preserve"> 5132-75-2</t>
  </si>
  <si>
    <t xml:space="preserve"> OCTYL HEPTANOATE</t>
  </si>
  <si>
    <t xml:space="preserve"> &amp;diams; OCTYL HEPTANOATE&lt;br /&gt;&amp;diams; OCTYL HEPTOATE&lt;br /&gt;&amp;diams; OCTYL HEPTYLATE&lt;br /&gt;&amp;diams; HEPTANOIC ACID, OCTYL ESTER&lt;br /&gt;&amp;diams; OCTYL ENANTHATE</t>
  </si>
  <si>
    <t xml:space="preserve"> 109-15-9</t>
  </si>
  <si>
    <t xml:space="preserve"> OCTYL ISOBUTYRATE</t>
  </si>
  <si>
    <t xml:space="preserve"> &amp;diams; OCTYL ISOBUTYRATE&lt;br /&gt;&amp;diams; OCTYL 2-METHYLPROPANOATE&lt;br /&gt;&amp;diams; CAPRYLYL ISOBUTYRATE&lt;br /&gt;&amp;diams; PROPANOIC ACID, 2-METHYL-, OCTYL ESTER&lt;br /&gt;&amp;diams; ISOBUTYRIC ACID, OCTYL ESTER</t>
  </si>
  <si>
    <t xml:space="preserve"> 7786-58-5</t>
  </si>
  <si>
    <t xml:space="preserve"> OCTYL ISOVALERATE</t>
  </si>
  <si>
    <t xml:space="preserve"> &amp;diams; OCTYL ISOVALERATE&lt;br /&gt;&amp;diams; OCTYL 3-METHYLBUTANOATE&lt;br /&gt;&amp;diams; OCTYL ISOVALERIANATE&lt;br /&gt;&amp;diams; OCTYL ISOPENTANOATE&lt;br /&gt;&amp;diams; OCTYL 3-METHYLBUTYRATE&lt;br /&gt;&amp;diams; BUTANOIC ACID, 3-METHYL-, OCTYL ESTER&lt;br /&gt;&amp;diams; ISOVALERIC ACID, OCTYL ESTER</t>
  </si>
  <si>
    <t xml:space="preserve"> 29811-50-5</t>
  </si>
  <si>
    <t xml:space="preserve"> OCTYL 2-METHYLBUTYRATE</t>
  </si>
  <si>
    <t xml:space="preserve"> &amp;diams; OCTYL 2-METHYLBUTYRATE&lt;br /&gt;&amp;diams; BUTANOIC ACID, 2-METHYL-, OCTYL ESTER&lt;br /&gt;&amp;diams; BUTYRIC ACID, 2-METHYL-, OCTYL ESTER&lt;br /&gt;&amp;diams; ENT 33625&lt;br /&gt;&amp;diams; OCTYL 2-METHYLBUTANOATE</t>
  </si>
  <si>
    <t xml:space="preserve"> 2306-88-9</t>
  </si>
  <si>
    <t xml:space="preserve"> OCTYL OCTANOATE</t>
  </si>
  <si>
    <t xml:space="preserve"> &amp;diams; OCTYL OCTANOATE&lt;br /&gt;&amp;diams; OCTYL CAPRYLATE&lt;br /&gt;&amp;diams; OCTYL OCTYLATE&lt;br /&gt;&amp;diams; OCTANOIC ACID, OCTYL ESTER</t>
  </si>
  <si>
    <t xml:space="preserve"> 122-45-2</t>
  </si>
  <si>
    <t xml:space="preserve"> OCTYL PHENYLACETATE</t>
  </si>
  <si>
    <t xml:space="preserve"> &amp;diams; OCTYL PHENYLACETATE&lt;br /&gt;&amp;diams; OCTYL BENZENEACETATE&lt;br /&gt;&amp;diams; OCTYL ALPHA-TOLUATE&lt;br /&gt;&amp;diams; BENZENEACETIC ACID, OCTYL ESTER&lt;br /&gt;&amp;diams; ACETIC ACID, PHENYL-, OCTYL ESTER</t>
  </si>
  <si>
    <t xml:space="preserve"> 142-60-9</t>
  </si>
  <si>
    <t xml:space="preserve"> OCTYL PROPIONATE</t>
  </si>
  <si>
    <t xml:space="preserve"> &amp;diams; OCTYL PROPIONATE&lt;br /&gt;&amp;diams; OCTYL PROPANOATE&lt;br /&gt;&amp;diams; PROPANOIC ACID, OCTYL ESTER&lt;br /&gt;&amp;diams; PROPIONIC ACID, OCTYL ESTER</t>
  </si>
  <si>
    <t xml:space="preserve"> 7370-92-5</t>
  </si>
  <si>
    <t xml:space="preserve"> (+/-)-6-OCTYLTETRAHYDRO-2H-PYRAN-2-ONE</t>
  </si>
  <si>
    <t xml:space="preserve"> &amp;diams; 5-HYDROXYTRIDECANOIC ACID DELTA-LACTONE&lt;br /&gt;&amp;diams; OCTYL-DELTA-VALEROLACTONE, DELTA&lt;br /&gt;&amp;diams; TETRAHYDRO-6-OCTYL-2H-PYRAN-2-ONE&lt;br /&gt;&amp;diams; TRIDECALACTONE, DELTA&lt;br /&gt;&amp;diams; 2H-pyran-2-one, tetrahydro-6-octyl-&lt;br /&gt;&amp;diams; tridecanoic acid, 5-hydroxy-, delta-lactone&lt;br /&gt;&amp;diams; 5-tridecanolide&lt;br /&gt;&amp;diams; delta-tridecalactone&lt;br /&gt;&amp;diams; delta-octyl-delta-valerolactone&lt;br /&gt;&amp;diams; 6-octyltetrahydro-2H-pyran-2-one</t>
  </si>
  <si>
    <t xml:space="preserve"> 376595-42-5</t>
  </si>
  <si>
    <t xml:space="preserve"> O-ETHYL S-(2-FURYLMETHYL)THIOCARBONATE</t>
  </si>
  <si>
    <t xml:space="preserve"> &amp;diams; O-ETHYL S-FURFURYL THIOCARBONATE&lt;br /&gt;&amp;diams; carbonothioic acid, O-ethyl S-(2-furanylmethyl) ester&lt;br /&gt;&amp;diams; O-ethyl S-(2-furylmethyl) thiocarbonate&lt;br /&gt;&amp;diams; O-ethyl S-(2-furanylmethyl) thiocarbonate&lt;br /&gt;&amp;diams; O-ethyl S-(2-furanylmethyl) carbonothioate&lt;br /&gt;&amp;diams; ethoxycarbonylfurfurylthiol</t>
  </si>
  <si>
    <t xml:space="preserve"> 8016-35-1</t>
  </si>
  <si>
    <t xml:space="preserve"> OITICICA OIL</t>
  </si>
  <si>
    <t xml:space="preserve"> &amp;diams; OITICICA OIL&lt;br /&gt;&amp;diams; FATS AND GLYCERIDIC OILS, OITICICA</t>
  </si>
  <si>
    <t xml:space="preserve"> 112-80-1</t>
  </si>
  <si>
    <t xml:space="preserve"> OLEIC ACID</t>
  </si>
  <si>
    <t xml:space="preserve"> &amp;diams; OLEIC ACID&lt;br /&gt;&amp;diams; 9-OCTADECENOIC ACID, CIS-&lt;br /&gt;&amp;diams; RED OIL&lt;br /&gt;&amp;diams; OLEIC ACID, CIS-&lt;br /&gt;&amp;diams; WHITE OLEIC ACID&lt;br /&gt;&amp;diams; OLEINIC ACID&lt;br /&gt;&amp;diams; 9-OCTADECENOIC ACID (9Z)-&lt;br /&gt;&amp;diams; DELTA9-CIS-OCTADECENOIC ACID</t>
  </si>
  <si>
    <t xml:space="preserve"> FLAVOR ENHANCER,&lt;br /&gt; FLAVORING AGENT OR ADJUVANT,&lt;br /&gt; FORMULATION AID,&lt;br /&gt; LUBRICANT OR RELEASE AGENT,&lt;br /&gt; SURFACE-ACTIVE AGENT,&lt;br /&gt; WASHING OR SURFACE REMOVAL AGENT</t>
  </si>
  <si>
    <t xml:space="preserve"> 977047-39-4</t>
  </si>
  <si>
    <t xml:space="preserve"> OLEIC ACID, FROM TALL OIL FATTY ACIDS</t>
  </si>
  <si>
    <t xml:space="preserve"> &amp;diams; OLEIC ACID, TALL OIL DERIVED&lt;br /&gt;&amp;diams; OLEIC ACID DERIVED FROM TALL OIL FATTY ACIDS&lt;br /&gt;&amp;diams; OLEIC ACID, FROM TALL OIL FATTY ACIDS</t>
  </si>
  <si>
    <t xml:space="preserve"> FORMULATION AID,&lt;br /&gt; LUBRICANT OR RELEASE AGENT,&lt;br /&gt; SURFACE-ACTIVE AGENT</t>
  </si>
  <si>
    <t xml:space="preserve"> 121854-29-3</t>
  </si>
  <si>
    <t xml:space="preserve"> OLESTRA</t>
  </si>
  <si>
    <t xml:space="preserve"> &amp;diams; OLESTRA&lt;br /&gt;&amp;diams; OLESTRA OIL&lt;br /&gt;&amp;diams; SUCROSE POLYESTER</t>
  </si>
  <si>
    <t xml:space="preserve"> 143-28-2</t>
  </si>
  <si>
    <t xml:space="preserve"> OLEYL ALCOHOL</t>
  </si>
  <si>
    <t xml:space="preserve"> &amp;diams; OLEYL ALCOHOL&lt;br /&gt;&amp;diams; 9-OCTADECEN-1-OL, (Z)-&lt;br /&gt;&amp;diams; 9-OCTADECENOL, CIS-&lt;br /&gt;&amp;diams; 9-octadecen-1-ol, (9Z)-&lt;br /&gt;&amp;diams; InChI=1S/C18H36O/c1-2-3-4-5-6-7-8-9-10-11-12-13-14-15-16-17-18-19/h9-10,19H,2-8,11-18H2,1H3/b10-9-&lt;br /&gt;&amp;diams; InChIKey: ALSTYHKOOCGGFT-KTKRTIGZSA-N</t>
  </si>
  <si>
    <t xml:space="preserve"> 977184-03-4</t>
  </si>
  <si>
    <t xml:space="preserve"> OLIBANUM, ABSOLUTE (BOSWELLIA SPP.)</t>
  </si>
  <si>
    <t xml:space="preserve"> &amp;diams; OLIBANUM ABSOLUTE</t>
  </si>
  <si>
    <t xml:space="preserve"> 8050-07-5</t>
  </si>
  <si>
    <t xml:space="preserve"> OLIBANUM, GUM, RESIN (BOSWELLIA SPP.)</t>
  </si>
  <si>
    <t xml:space="preserve"> &amp;diams; OLIBANUM&lt;br /&gt;&amp;diams; FRANKINCENSE&lt;br /&gt;&amp;diams; GUM THUS&lt;br /&gt;&amp;diams; OLIBANUM RESIN&lt;br /&gt;&amp;diams; BOSWELLIA CARTERI&lt;br /&gt;&amp;diams; OLIBANUM GUM&lt;br /&gt;&amp;diams; OLIBANUM GUM RESIN</t>
  </si>
  <si>
    <t xml:space="preserve"> 8016-36-2</t>
  </si>
  <si>
    <t xml:space="preserve"> OLIBANUM, OIL (BOSWELLIA SPP.)</t>
  </si>
  <si>
    <t xml:space="preserve"> &amp;diams; OLIBANUM OIL&lt;br /&gt;&amp;diams; FRANKINCENSE OIL&lt;br /&gt;&amp;diams; OILS, OLIBANUM</t>
  </si>
  <si>
    <t xml:space="preserve"> 977184-02-3</t>
  </si>
  <si>
    <t xml:space="preserve"> OLIBANUM, RESINOID (BOSWELLIA SPP.)</t>
  </si>
  <si>
    <t xml:space="preserve"> &amp;diams; OLIBANUM RESINOID</t>
  </si>
  <si>
    <t xml:space="preserve"> 8002-72-0</t>
  </si>
  <si>
    <t xml:space="preserve"> ONION, OIL (ALLIUM CEPA L.)</t>
  </si>
  <si>
    <t xml:space="preserve"> &amp;diams; ONION OIL&lt;br /&gt;&amp;diams; OILS, ONION&lt;br /&gt;&amp;diams; ALLIUM CEPA OIL</t>
  </si>
  <si>
    <t xml:space="preserve"> 9000-78-6</t>
  </si>
  <si>
    <t xml:space="preserve"> OPOPANAX, GUM</t>
  </si>
  <si>
    <t xml:space="preserve"> &amp;diams; OPOPANAX&lt;br /&gt;&amp;diams; OPOPANAX GUM&lt;br /&gt;&amp;diams; OPOPONAX</t>
  </si>
  <si>
    <t xml:space="preserve"> 977136-06-3</t>
  </si>
  <si>
    <t xml:space="preserve"> OPOPANAX, NON-SPECIFIC</t>
  </si>
  <si>
    <t xml:space="preserve"> &amp;diams; OPOPANAX, NON-SPECIFIC</t>
  </si>
  <si>
    <t xml:space="preserve"> 8021-36-1</t>
  </si>
  <si>
    <t xml:space="preserve"> OPOPANAX, OIL</t>
  </si>
  <si>
    <t xml:space="preserve"> &amp;diams; OPOPANAX OIL&lt;br /&gt;&amp;diams; OPOPONAX OIL&lt;br /&gt;&amp;diams; OILS, OPOPANAX</t>
  </si>
  <si>
    <t xml:space="preserve"> 977091-81-8</t>
  </si>
  <si>
    <t xml:space="preserve"> OPOPANAX TINCTURE</t>
  </si>
  <si>
    <t xml:space="preserve"> &amp;diams; OPOPANAX TINCTURE&lt;br /&gt;&amp;diams; BISABOLMYRRH&lt;br /&gt;&amp;diams; OPOPONAX RESINOID</t>
  </si>
  <si>
    <t xml:space="preserve"> 15139-76-1</t>
  </si>
  <si>
    <t xml:space="preserve"> ORANGE B</t>
  </si>
  <si>
    <t xml:space="preserve"> &amp;diams; ORANGE B&lt;br /&gt;&amp;diams; C.I. ACID ORANGE 137&lt;br /&gt;&amp;diams; DISODIUM 1-(4-SULFOPHENYL)-3-ETHYLCARBOXY-4-(4-SULFONAPHTHYLAZO)-5-HYDROXYPYRAZOLE&lt;br /&gt;&amp;diams; DISODIUM 3-ETHYL 4,5-DIHYDRO-5-OXO-4-((4-SULFO-1-NAPHTHALENYL)AZO)-1-(4-SULFOPHENYL)-1H-PYRAZOLE-3-CARBOXYLATE&lt;br /&gt;&amp;diams; 1H-PYRAZOLE-3-CARBOXYLIC ACID, 4,5-DIHYDRO-5-OXO-4-((4-SULFO-1-NAPHTHALENYL)AZO)-1-(4-SULFOPHENYL)-, 3-ETHYL ESTER, DISODIUM SALT&lt;br /&gt;&amp;diams; 2-PYRAZOLINE-3-CARBOXYLIC ACID, 5-OXO-4-((4-SULFO-1-NAPHTHYL)AZO)-1-(P-SULFOPHENYL)-, 3-ETHYL ESTER, DISODIUM SALT&lt;br /&gt;&amp;diams; DISODIUM 3-ETHYL 5-OXO-4-((4-SULFO-1-NAPHTHYL)AZO)-1-(P-SULFOPHENYL)-2-PYRAZOLINE-3-CARBOXYLATE&lt;br /&gt;&amp;diams; ACID ORANGE 137</t>
  </si>
  <si>
    <t xml:space="preserve"> 977091-85-2</t>
  </si>
  <si>
    <t xml:space="preserve"> ORANGE ESSENCE, NATURAL</t>
  </si>
  <si>
    <t xml:space="preserve"> &amp;diams; ORANGE ESSENCE, NATURAL</t>
  </si>
  <si>
    <t xml:space="preserve"> 68514-75-0</t>
  </si>
  <si>
    <t xml:space="preserve"> ORANGE ESSENCE OIL, NATURAL</t>
  </si>
  <si>
    <t xml:space="preserve"> &amp;diams; ORANGE JUICE OIL&lt;br /&gt;&amp;diams; ORANGE ESSENCE OIL, NATURAL&lt;br /&gt;&amp;diams; OILS, ORANGE-JUICE</t>
  </si>
  <si>
    <t xml:space="preserve"> 977130-92-9</t>
  </si>
  <si>
    <t xml:space="preserve"> ORANGE, EXTRACT</t>
  </si>
  <si>
    <t xml:space="preserve"> &amp;diams; ORANGE EXTRACT</t>
  </si>
  <si>
    <t xml:space="preserve"> 977049-65-2</t>
  </si>
  <si>
    <t xml:space="preserve"> ORANGE FLOWERS, ABSOLUTE (CITRUS AURANTIUM L.)</t>
  </si>
  <si>
    <t xml:space="preserve"> &amp;diams; ORANGE FLOWER ABSOLUTE, BITTER&lt;br /&gt;&amp;diams; BITTER ORANGE FLOWER ABSOLUTE&lt;br /&gt;&amp;diams; CITRUS AURANTIUM FLOWER ABSOLUTE&lt;br /&gt;&amp;diams; ORANGE BLOSSOM ABSOLUTE, BITTER</t>
  </si>
  <si>
    <t xml:space="preserve"> 977051-52-7</t>
  </si>
  <si>
    <t xml:space="preserve"> ORANGE FLOWERS, BITTER (CITRUS AURANTIUM L)</t>
  </si>
  <si>
    <t xml:space="preserve"> &amp;diams; ORANGE FLOWER, BITTER&lt;br /&gt;&amp;diams; CITRUS AURANTIUM FLOWER</t>
  </si>
  <si>
    <t xml:space="preserve"> 977059-38-3</t>
  </si>
  <si>
    <t xml:space="preserve"> ORANGE, JUICE</t>
  </si>
  <si>
    <t xml:space="preserve"> &amp;diams; ORANGE JUICE&lt;br /&gt;&amp;diams; JUICE, ORANGE</t>
  </si>
  <si>
    <t xml:space="preserve"> 146.135 ,  146.137 ,  146.140 ,  146.141 ,  146.145 ,  146.146 ,  146.148 ,  146.150 ,  146.151 ,  146.152 ,  146.153 ,  146.154</t>
  </si>
  <si>
    <t xml:space="preserve"> 977091-84-1</t>
  </si>
  <si>
    <t xml:space="preserve"> ORANGE LEAF, ABSOLUTE (CITRUS AURANTIUM L.)</t>
  </si>
  <si>
    <t xml:space="preserve"> &amp;diams; ORANGE LEAF ABSOLUTE, BITTER&lt;br /&gt;&amp;diams; CITRUS AURANTIUM LEAF ABSOLUTE</t>
  </si>
  <si>
    <t xml:space="preserve"> 977091-83-0</t>
  </si>
  <si>
    <t xml:space="preserve"> ORANGE, OIL, DISTILLED (CITRUS SINENSIS (L.) OSBECK)</t>
  </si>
  <si>
    <t xml:space="preserve"> &amp;diams; ORANGE OIL, DISTILLED&lt;br /&gt;&amp;diams; CITRUS SINENSIS OIL, DISTILLED&lt;br /&gt;&amp;diams; ORANGE OIL, DISTILLED, SWEET</t>
  </si>
  <si>
    <t xml:space="preserve"> 68606-94-0</t>
  </si>
  <si>
    <t xml:space="preserve"> ORANGE, OIL, TERPENELESS (CITRUS SINENSIS (L.) OSBECK)</t>
  </si>
  <si>
    <t xml:space="preserve"> &amp;diams; ORANGE OIL, TERPENELESS&lt;br /&gt;&amp;diams; CITRUS SINENSIS OIL, TERPENELESS&lt;br /&gt;&amp;diams; OILS, ORANGE, SWEET, TERPENE-FREE&lt;br /&gt;&amp;diams; ORANGE OIL, SWEET, TERPENELESS</t>
  </si>
  <si>
    <t xml:space="preserve"> 977070-86-2</t>
  </si>
  <si>
    <t xml:space="preserve"> ORANGE PEEL</t>
  </si>
  <si>
    <t xml:space="preserve"> &amp;diams; ORANGE PEEL</t>
  </si>
  <si>
    <t xml:space="preserve"> COLOR OR COLORING ADJUNCT,&lt;br /&gt; FLAVORING AGENT OR ADJUVANT,&lt;br /&gt; TEXTURIZER</t>
  </si>
  <si>
    <t xml:space="preserve"> 977081-87-0</t>
  </si>
  <si>
    <t xml:space="preserve"> ORANGE PEEL, BITTER, EXTRACT (CITRUS AURANTIUM L.)</t>
  </si>
  <si>
    <t xml:space="preserve"> &amp;diams; ORANGE PEEL EXTRACT, BITTER&lt;br /&gt;&amp;diams; CURACAO PEEL EXTRACT&lt;br /&gt;&amp;diams; CITRUS AURANTIUM PEEL EXTRACT</t>
  </si>
  <si>
    <t xml:space="preserve"> 68916-04-1</t>
  </si>
  <si>
    <t xml:space="preserve"> ORANGE PEEL, BITTER, OIL (CITRUS AURANTIUM L.)</t>
  </si>
  <si>
    <t xml:space="preserve"> &amp;diams; ORANGE OIL, BITTER&lt;br /&gt;&amp;diams; CURACAO ORANGE PEEL OIL&lt;br /&gt;&amp;diams; BITTER ORANGE OIL&lt;br /&gt;&amp;diams; OILS, ORANGE, SOUR&lt;br /&gt;&amp;diams; ORANGE OIL, SOUR&lt;br /&gt;&amp;diams; CITRUS AURANTIUM OIL</t>
  </si>
  <si>
    <t xml:space="preserve"> 977091-82-9</t>
  </si>
  <si>
    <t xml:space="preserve"> ORANGE PEEL, SWEET, EXTRACT (CITRUS SINENSIS (L.) OSBECK)</t>
  </si>
  <si>
    <t xml:space="preserve"> &amp;diams; ORANGE PEEL EXTRACT&lt;br /&gt;&amp;diams; ORANGE PEEL EXTRACT, SWEET&lt;br /&gt;&amp;diams; CITRUS SINENSIS PEEL EXTRACT</t>
  </si>
  <si>
    <t xml:space="preserve"> 8008-57-9</t>
  </si>
  <si>
    <t xml:space="preserve"> ORANGE PEEL, SWEET, OIL (CITRUS SINENSIS (L.) OSBECK)</t>
  </si>
  <si>
    <t xml:space="preserve"> &amp;diams; ORANGE OIL&lt;br /&gt;&amp;diams; ORANGE OIL, SWEET&lt;br /&gt;&amp;diams; ORANGE PEEL OIL, SWEET&lt;br /&gt;&amp;diams; OILS, ORANGE, SWEET&lt;br /&gt;&amp;diams; CITRUS SINENSIS PEEL OIL</t>
  </si>
  <si>
    <t xml:space="preserve"> 977154-09-8</t>
  </si>
  <si>
    <t xml:space="preserve"> ORANGE PEEL, SWEET, OIL, TERPENELESS (CITRUS SINENSIS (L.) OSBECK)</t>
  </si>
  <si>
    <t xml:space="preserve"> &amp;diams; ORANGE PEEL OIL, SWEET, TERPENELESS&lt;br /&gt;&amp;diams; CITRUS SINENSIS PEEL OIL, TERPENELESS</t>
  </si>
  <si>
    <t xml:space="preserve"> 977002-10-0</t>
  </si>
  <si>
    <t xml:space="preserve"> OREGANO, EUROPEAN (ORIGANUM SPP.)</t>
  </si>
  <si>
    <t xml:space="preserve"> &amp;diams; OREGANO&lt;br /&gt;&amp;diams; MARJORAM, WILD&lt;br /&gt;&amp;diams; OREGANO, EUROPEAN&lt;br /&gt;&amp;diams; EUROPEAN OREGANO&lt;br /&gt;&amp;diams; ORIGANUM&lt;br /&gt;&amp;diams; ORIGAN (ORIGANUM VULGARE)&lt;br /&gt;&amp;diams; ORIGANUM VULGARE&lt;br /&gt;&amp;diams; OREGANO, COMMON&lt;br /&gt;&amp;diams; ORIGANUM VULGARE SUB. HIRTUM</t>
  </si>
  <si>
    <t xml:space="preserve"> 977138-70-7</t>
  </si>
  <si>
    <t xml:space="preserve"> OREGANO (LIPPIA SPP., USUALLY L. GRAVEOLENS HBK)</t>
  </si>
  <si>
    <t xml:space="preserve"> &amp;diams; OREGANO, MEXICAN&lt;br /&gt;&amp;diams; LIPPIA GRAVEOLENS&lt;br /&gt;&amp;diams; MEXICAN OREGANO&lt;br /&gt;&amp;diams; MEXICAN MARJORAM&lt;br /&gt;&amp;diams; MEXICAN WILD SAGE&lt;br /&gt;&amp;diams; MEXICAN SAGE&lt;br /&gt;&amp;diams; OREGANUM&lt;br /&gt;&amp;diams; ORIGAN&lt;br /&gt;&amp;diams; SAGE, MEXICAN&lt;br /&gt;&amp;diams; OREGANO, LIPPIA&lt;br /&gt;&amp;diams; MEXICAN SAGE, ORIGAN</t>
  </si>
  <si>
    <t xml:space="preserve"> 977138-69-4</t>
  </si>
  <si>
    <t xml:space="preserve"> OREGANO (OTHER GENERA INCLUDING COLEUS, LANTANA AND HYPTIS)</t>
  </si>
  <si>
    <t xml:space="preserve"> &amp;diams; OREGANO (OTHER GENERA)</t>
  </si>
  <si>
    <t xml:space="preserve"> 8007-11-2</t>
  </si>
  <si>
    <t xml:space="preserve"> ORIGANUM OIL (EXTRACTIVE)(THYMUS CAPITATUS HOFF. ET LINK)</t>
  </si>
  <si>
    <t xml:space="preserve"> &amp;diams; ORIGANUM OIL&lt;br /&gt;&amp;diams; ORIGANUM OIL, SPANISH&lt;br /&gt;&amp;diams; THYMUS CAPITATUS OIL&lt;br /&gt;&amp;diams; OILS, ORIGANUM&lt;br /&gt;&amp;diams; CORIDOTHYMUS CAPITATUS OIL</t>
  </si>
  <si>
    <t xml:space="preserve"> 134359-15-2</t>
  </si>
  <si>
    <t xml:space="preserve"> ORIN LACTONE</t>
  </si>
  <si>
    <t xml:space="preserve"> &amp;diams; 4-HYDROXY-4,8-DIMETHYL-7-NONENOIC ACID GAMMA-LACTONE&lt;br /&gt;&amp;diams; 2(3H)-furanone, dihydro-5-methyl-5-(4-methyl-3-penten-1-yl)-&lt;br /&gt;&amp;diams; dihydro-5-methyl-5-(4-methyl-3-penten-1-yl)-2(3H)-furanone&lt;br /&gt;&amp;diams; 2(3H)-furanone, dihydro-5-methyl-5-(4-methyl-3-pentenyl)-&lt;br /&gt;&amp;diams; dihydro-5-methyl-5-(4-methyl-3-pentenyl)-2(3H)-furanone&lt;br /&gt;&amp;diams; orin lactone&lt;br /&gt;&amp;diams; 4,8-dimethylnon-7-en-4-olide&lt;br /&gt;&amp;diams; 4,8-dimethyl-7-nonen-4-olide</t>
  </si>
  <si>
    <t xml:space="preserve"> 3184-13-2</t>
  </si>
  <si>
    <t xml:space="preserve"> L-ORNITHINE MONOCHLOROHYDRATE/ORNITHINE</t>
  </si>
  <si>
    <t xml:space="preserve"> &amp;diams; ORNITHINE MONOHYDROCHLORIDE, L-</t>
  </si>
  <si>
    <t xml:space="preserve"> 977086-43-3</t>
  </si>
  <si>
    <t xml:space="preserve"> ORRIS, CONCRETE, LIQUID, OIL (IRIS FLORENTINA L.)</t>
  </si>
  <si>
    <t xml:space="preserve"> &amp;diams; ORRIS CONCRETE LIQUID OIL&lt;br /&gt;&amp;diams; IRIS FLORENTINA CONCRETE LIQUID OIL</t>
  </si>
  <si>
    <t xml:space="preserve"> 977096-43-7</t>
  </si>
  <si>
    <t xml:space="preserve"> ORRIS ROOT, EXTRACT (IRIS FLORENTINA L.)</t>
  </si>
  <si>
    <t xml:space="preserve"> &amp;diams; ORRIS ROOT EXTRACT&lt;br /&gt;&amp;diams; IRIS FLORENTINA ROOT EXTRACT</t>
  </si>
  <si>
    <t xml:space="preserve"> 977103-81-3</t>
  </si>
  <si>
    <t xml:space="preserve"> OSMANTHUS ABSOLUTE</t>
  </si>
  <si>
    <t xml:space="preserve"> &amp;diams; OSMANTHUS ABSOLUTE&lt;br /&gt;&amp;diams; OSMANTHUS FRAGRANS ABSOLUTE&lt;br /&gt;&amp;diams; OSMANTHUS FRAGRANS LOUR ABSOLUTE</t>
  </si>
  <si>
    <t xml:space="preserve"> 8008-63-7</t>
  </si>
  <si>
    <t xml:space="preserve"> OX BILE EXTRACT</t>
  </si>
  <si>
    <t xml:space="preserve"> &amp;diams; OA BILE EXTRACT&lt;br /&gt;&amp;diams; OXGALL EXTRACT, POWDERED&lt;br /&gt;&amp;diams; OXGALL, PURIFIED&lt;br /&gt;&amp;diams; SODIUM CHOLEATE&lt;br /&gt;&amp;diams; BILE EXTRACT, OX&lt;br /&gt;&amp;diams; BILE, EXTRACT</t>
  </si>
  <si>
    <t xml:space="preserve"> 68036-99-7</t>
  </si>
  <si>
    <t xml:space="preserve"> OXIRANE (CHLOROMETHYL)-, POLYMER WITH AMMONIA, REACTION PRODUCT WITH CHLOROMETHANE</t>
  </si>
  <si>
    <t xml:space="preserve"> &amp;diams; POLY(AMMONIA-CO-EPICHLOROHYDRIN), CROSS-LINKED, QUATERNIZED WITH METHYL CHLORIDE&lt;br /&gt;&amp;diams; AMMONIA-EPICHLOROHYDRIN COPOLYMER REACTED WITH METHYL CHLORIDE&lt;br /&gt;&amp;diams; EPICHLOROHYDRIN-AMMONIA POLYMER QUATERNIZED WITH METHYL CHLORIDE&lt;br /&gt;&amp;diams; EPICHLOROHYDRIN, CROSS-LINKED WITH AMMONIA, QUATERNIZED WITH METHYL CHLORIDE&lt;br /&gt;&amp;diams; OXIRANE, (CHLOROMETHYL)-, POLYMER WITH AMMONIA, REACTION PRODUCTS WITH CHLOROMETHANE</t>
  </si>
  <si>
    <t xml:space="preserve"> 5436-21-5</t>
  </si>
  <si>
    <t xml:space="preserve"> 3-OXOBUTANAL, DIMETHYL ACETAL</t>
  </si>
  <si>
    <t xml:space="preserve"> &amp;diams; 4,4-DIMETHOXY-2-BUTANONE&lt;br /&gt;&amp;diams; ACETYLACETALDEHYDE DIMETHYL ACETAL&lt;br /&gt;&amp;diams; ACETOACETALDEHYDE, 1-(DIMETHYL ACETAL)&lt;br /&gt;&amp;diams; ACETOACETALDEHYDE 1-(DIMETHYL ACETAL)&lt;br /&gt;&amp;diams; BETA-OXOBUTYRALDEHYDE DIMETHYL ACETAL&lt;br /&gt;&amp;diams; 3-OXOBUTANAL DIMETHYL ACETAL&lt;br /&gt;&amp;diams; 3-OXOBUTYRALDEHYDE DIMETHYL ACETAL&lt;br /&gt;&amp;diams; 3-KETOBUTYRALDEHYDE DIMETHYL ACETAL&lt;br /&gt;&amp;diams; 2-BUTANONE, 4,4-DIMETHOXY-&lt;br /&gt;&amp;diams; 1,1-DIMETHOXY-3-BUTANONE</t>
  </si>
  <si>
    <t xml:space="preserve"> 624-01-1</t>
  </si>
  <si>
    <t xml:space="preserve"> 5-OXODECANOIC ACID</t>
  </si>
  <si>
    <t xml:space="preserve"> &amp;diams; 5-OXODECANOIC ACID&lt;br /&gt;&amp;diams; decanoic acid, 5-oxo-&lt;br /&gt;&amp;diams; InChI=1S/C10H18O3/c1-2-3-4-6-9(11)7-5-8-10(12)13/h2-8H2,1H3,(H,12,13)&lt;br /&gt;&amp;diams; InChIKey: SDKDCMWTAOZNGB-UHFFFAOYSA-N</t>
  </si>
  <si>
    <t xml:space="preserve"> 128331-45-3</t>
  </si>
  <si>
    <t xml:space="preserve"> 3-OXODECANOIC ACID GLYCERIDE</t>
  </si>
  <si>
    <t xml:space="preserve"> &amp;diams; GLYCEROL 3-OXODECANOATE&lt;br /&gt;&amp;diams; DECANOIC ACID, 3-OXO-, MONOESTER WITH 1,2,3-PROPANETRIOL&lt;br /&gt;&amp;diams; 3-OXODECANOIC ACID GLYCERIDE&lt;br /&gt;&amp;diams; 1,2,3-PROPANETRIOL MONO(3-OXODECANOATE)</t>
  </si>
  <si>
    <t xml:space="preserve"> 3637-16-9</t>
  </si>
  <si>
    <t xml:space="preserve"> 5-OXODODECANOIC ACID</t>
  </si>
  <si>
    <t xml:space="preserve"> &amp;diams; 5-OXOLAURIC ACID&lt;br /&gt;&amp;diams; 5-oxododecanoic acid&lt;br /&gt;&amp;diams; dodecanoic acid, 5-oxo-&lt;br /&gt;&amp;diams; InChI=1S/C12H22O3/c1-2-3-4-5-6-8-11(13)9-7-10-12(14)15/h2-10H2,1H3,(H,14,15)&lt;br /&gt;&amp;diams; InChIKey: WTQMFERWXACENH-UHFFFAOYSA-N</t>
  </si>
  <si>
    <t xml:space="preserve"> 128362-26-5</t>
  </si>
  <si>
    <t xml:space="preserve"> 3-OXODODECANOIC ACID GLYCERIDE</t>
  </si>
  <si>
    <t xml:space="preserve"> &amp;diams; GLYCEROL 3-OXODODECANOATE&lt;br /&gt;&amp;diams; DODECANOIC ACID, 3-OXO-, MONOESTER WITH 1,2,3-PROPANETRIOL&lt;br /&gt;&amp;diams; 3-OXODODECANOIC ACID GLYCERIDE&lt;br /&gt;&amp;diams; 1,2,3-PROPANETRIOL MONO(3-OXODODECANOATE)</t>
  </si>
  <si>
    <t xml:space="preserve"> 923291-29-6</t>
  </si>
  <si>
    <t xml:space="preserve"> 2-OXO-3-ETHYL-4-BUTANOLIDE</t>
  </si>
  <si>
    <t xml:space="preserve"> &amp;diams; 4-ETHYLDIHYDRO-2,3-FURANDIONE&lt;br /&gt;&amp;diams; 2-oxo-3-ethyl-4-butanolide&lt;br /&gt;&amp;diams; 2,3-furandione, 4-ethyldihydro-</t>
  </si>
  <si>
    <t xml:space="preserve"> 128331-46-4</t>
  </si>
  <si>
    <t xml:space="preserve"> 3-OXOHEXADECANOIC ACID GLYCERIDE</t>
  </si>
  <si>
    <t xml:space="preserve"> &amp;diams; GLYCEROL 3-OXOHEXADECANOATE&lt;br /&gt;&amp;diams; HEXADECANOIC ACID, 3-OXO-, MONOESTER WITH 1,2,3-PROPANETRIOL&lt;br /&gt;&amp;diams; 3-OXOHEXADECANOIC ACID GLYCERIDE&lt;br /&gt;&amp;diams; 1,2,3-PROPANETRIOL MONO(3-OXOHEXADECANOATE)</t>
  </si>
  <si>
    <t xml:space="preserve"> 977148-06-3</t>
  </si>
  <si>
    <t xml:space="preserve"> 3-OXOHEXANOIC ACID DIGLYCERIDE</t>
  </si>
  <si>
    <t xml:space="preserve"> &amp;diams; GLYCEROL BIS(3-OXOHEXANOATE)&lt;br /&gt;&amp;diams; 3-OXOHEXANOIC ACID DIGLYCERIDE</t>
  </si>
  <si>
    <t xml:space="preserve"> 3637-14-7</t>
  </si>
  <si>
    <t xml:space="preserve"> 5-OXOOCTANOIC ACID</t>
  </si>
  <si>
    <t xml:space="preserve"> &amp;diams; 5-OXOOCTANOIC ACID&lt;br /&gt;&amp;diams; octanoic acid, 5-oxo-&lt;br /&gt;&amp;diams; InChI=1S/C8H14O3/c1-2-4-7(9)5-3-6-8(10)11/h2-6H2,1H3,(H,10,11)&lt;br /&gt;&amp;diams; InChIKey: OHGVWVVPDOAZSH-UHFFFAOYSA-N</t>
  </si>
  <si>
    <t xml:space="preserve"> 128331-48-6</t>
  </si>
  <si>
    <t xml:space="preserve"> 3-OXOOCTANOIC ACID GLYCERIDE</t>
  </si>
  <si>
    <t xml:space="preserve"> &amp;diams; GLYCEROL 3-OXOOCTANOATE&lt;br /&gt;&amp;diams; OCTANOIC ACID, 3-OXO-, MONOESTER WITH 1,2,3-PROPANETRIOL&lt;br /&gt;&amp;diams; 3-OXOOCTANOIC ACID GLYCERIDE&lt;br /&gt;&amp;diams; 1,2,3-PROPANETRIOL MONO(3-OXOOCTANOATE)</t>
  </si>
  <si>
    <t xml:space="preserve"> 328-50-7</t>
  </si>
  <si>
    <t xml:space="preserve"> 2-OXOPENTANEDIOIC ACID</t>
  </si>
  <si>
    <t xml:space="preserve"> &amp;diams; 2-OXOGLUTARIC ACID&lt;br /&gt;&amp;diams; ALPHA-KETOGLUTARIC ACID&lt;br /&gt;&amp;diams; PENTANEDIOIC ACID, 2-OXO-&lt;br /&gt;&amp;diams; 2-OXOPENTANEDIOIC ACID&lt;br /&gt;&amp;diams; GLUTARIC ACID, 2-OXO-&lt;br /&gt;&amp;diams; ALPHA-OXOGLUTARIC ACID&lt;br /&gt;&amp;diams; ALPHA-OXOPENTANDIOIC ACID&lt;br /&gt;&amp;diams; 2-KETOGLUTARIC ACID&lt;br /&gt;&amp;diams; 2-OXO-1,5-PENTANEDIOIC ACID</t>
  </si>
  <si>
    <t xml:space="preserve"> 156-06-9</t>
  </si>
  <si>
    <t xml:space="preserve"> 2-OXO-3-PHENYLPROPIONIC ACID</t>
  </si>
  <si>
    <t xml:space="preserve"> &amp;diams; PHENYLPYRUVIC ACID&lt;br /&gt;&amp;diams; BETA-PHENYLPYRUVIC ACID&lt;br /&gt;&amp;diams; 3-PHENYLPYRUVIC ACID&lt;br /&gt;&amp;diams; 2-OXO-3-PHENYLPROPANOIC ACID&lt;br /&gt;&amp;diams; BENZENEPROPANOIC ACID, ALPHA-OXO-&lt;br /&gt;&amp;diams; ALPHA-OXOBENZENEPROPANOIC ACID&lt;br /&gt;&amp;diams; PYRUVIC ACID, PHENYL-&lt;br /&gt;&amp;diams; 2-OXO-3-PHENYLPROPIONIC ACID&lt;br /&gt;&amp;diams; 3-PHENYL-2-OXOPROPANOIC ACID</t>
  </si>
  <si>
    <t xml:space="preserve"> 128331-49-7</t>
  </si>
  <si>
    <t xml:space="preserve"> 3-OXOTETRADECANOIC ACID GLYCERIDE</t>
  </si>
  <si>
    <t xml:space="preserve"> &amp;diams; GLYCEROL 3-OXOTETRADECANOATE&lt;br /&gt;&amp;diams; TETRADECANOIC ACID, 3-OXO-, MONOESTER WITH 1,2,3-PROPANETRIOL&lt;br /&gt;&amp;diams; 3-OXOTETRADECANOIC ACID GLYCERIDE&lt;br /&gt;&amp;diams; 1,2,3-PROPANETRIOL MONO(3-OXOTETRADECANOATE)</t>
  </si>
  <si>
    <t xml:space="preserve"> 1003-10-7</t>
  </si>
  <si>
    <t xml:space="preserve"> 2-OXOTHIOLANE</t>
  </si>
  <si>
    <t xml:space="preserve"> &amp;diams; DIHYDRO-2(3H)-THIOPHENONE&lt;br /&gt;&amp;diams; THIOBUTYROLACTONE, GAMMA&lt;br /&gt;&amp;diams; 4-THIOBUTYROLACTONE&lt;br /&gt;&amp;diams; 2(3H)-thiophenone, dihydro&lt;br /&gt;&amp;diams; butyric acid, 4-mercapto-, .gamma.-(thiolactone)&lt;br /&gt;&amp;diams; 2-oxothiolane&lt;br /&gt;&amp;diams; 4-butyrothiolactone&lt;br /&gt;&amp;diams; thiacyclopentan-2-one</t>
  </si>
  <si>
    <t xml:space="preserve"> 10028-15-6</t>
  </si>
  <si>
    <t xml:space="preserve"> OZONE</t>
  </si>
  <si>
    <t xml:space="preserve"> &amp;diams; OZONE&lt;br /&gt;&amp;diams; OXYGEN, TRIATOMIC</t>
  </si>
  <si>
    <t xml:space="preserve"> 553-79-7</t>
  </si>
  <si>
    <t xml:space="preserve"> P-4000--PROHIBITED</t>
  </si>
  <si>
    <t xml:space="preserve"> &amp;diams; 5-NITRO-2-PROPOXYANILINE&lt;br /&gt;&amp;diams; BENZENAMINE, 5-NITRO-2-PROPOXY-&lt;br /&gt;&amp;diams; ANILINE, 5-NITRO-2-PROPOXY-&lt;br /&gt;&amp;diams; P-4000&lt;br /&gt;&amp;diams; 1-PROPOXY-2-AMINO-4-NITROBENZENE&lt;br /&gt;&amp;diams; 5-NITRO-2-PROPOXYBENZENAMINE</t>
  </si>
  <si>
    <t xml:space="preserve"> 57-10-3</t>
  </si>
  <si>
    <t xml:space="preserve"> PALMITIC ACID</t>
  </si>
  <si>
    <t xml:space="preserve"> &amp;diams; PALMITIC ACID&lt;br /&gt;&amp;diams; CETYLIC ACID&lt;br /&gt;&amp;diams; HEXADECANOIC ACID&lt;br /&gt;&amp;diams; HEXADECYLIC ACID&lt;br /&gt;&amp;diams; PALMITIC ACID 95%&lt;br /&gt;&amp;diams; C16 FATTY ACID</t>
  </si>
  <si>
    <t xml:space="preserve"> 8049-47-6</t>
  </si>
  <si>
    <t xml:space="preserve"> PANCREATIN</t>
  </si>
  <si>
    <t xml:space="preserve"> &amp;diams; PANCREATIN&lt;br /&gt;&amp;diams; PANCREATIC EXTRACT</t>
  </si>
  <si>
    <t xml:space="preserve"> 977068-82-8</t>
  </si>
  <si>
    <t xml:space="preserve"> PANSY (VIOLA TRICOLOR L.)</t>
  </si>
  <si>
    <t xml:space="preserve"> &amp;diams; PANSY, WILD&lt;br /&gt;&amp;diams; VIOLA TRICOLOR&lt;br /&gt;&amp;diams; PANSY&lt;br /&gt;&amp;diams; JOHNNY-JUMP-UP&lt;br /&gt;&amp;diams; HEARTSEASE&lt;br /&gt;&amp;diams; EUROPEAN WILD PANSY&lt;br /&gt;&amp;diams; MINIATURE PANSY&lt;br /&gt;&amp;diams; FIELD PANSY</t>
  </si>
  <si>
    <t xml:space="preserve"> 7757-97-3</t>
  </si>
  <si>
    <t xml:space="preserve"> D-PANTOTHENAMIDE</t>
  </si>
  <si>
    <t xml:space="preserve"> &amp;diams; PANTOTHENAMIDE, D-&lt;br /&gt;&amp;diams; BUTANAMIDE, N-(3-AMINO-3-OXOPROPYL)-2,4-DIHYDROXY-3,3-DIMETHYL-, (R)-&lt;br /&gt;&amp;diams; N-(3-AMINO-3-OXOPROPYL)-2,4-DIHYDROXY-3,3-DIMETHYLBUTANAMIDE, (R)-&lt;br /&gt;&amp;diams; BUTYRAMIDE, N-(2-CARBAMOYLETHYL)-2,4-DIHYDROXY-3,3-DIMETHYL-, D-&lt;br /&gt;&amp;diams; N-(2-CARBAMOYLETHYL)-2,4-DIHYDROXY-3,3-DIMETHYLBUTYRAMIDE, D-</t>
  </si>
  <si>
    <t xml:space="preserve"> 81-13-0</t>
  </si>
  <si>
    <t xml:space="preserve"> D-PANTOTHENYL ALCOHOL</t>
  </si>
  <si>
    <t xml:space="preserve"> &amp;diams; DEXPANTHENOL&lt;br /&gt;&amp;diams; PANTOTHENYL ALCOHOL, D-&lt;br /&gt;&amp;diams; ALPHA,GAMMA-DIHYDROXY-N-(3-HYDROXYPROPYL)-BETA,BETA-DIMETHYLBUTYRAMIDE, D-(+)-&lt;br /&gt;&amp;diams; PANTOTHENOL, D-&lt;br /&gt;&amp;diams; BUTANAMIDE, 2,4-DIHYDROXY-N-(3-HYDROXYPROPYL)-3,3-DIMETHYL-, (R)-&lt;br /&gt;&amp;diams; 2,4-DIHYDROXY-N-(3-HYDROXYPROPYL)-3,3-DIMETHYLBUTANAMIDE, (R)-&lt;br /&gt;&amp;diams; BUTYRAMIDE, 2,4-DIHYDROXY-N-(3-HYDROXYPROPYL)-3,3-DIMETHYL-, D-(+)-&lt;br /&gt;&amp;diams; 2,4-DIHYDROXY-N-(3-HYDROXYPROPYL)-3,3-DIMETHYLBUTYRAMIDE, D-(+)-</t>
  </si>
  <si>
    <t xml:space="preserve"> 9001-73-4</t>
  </si>
  <si>
    <t xml:space="preserve"> PAPAIN (CARICA PAPAYA L.)</t>
  </si>
  <si>
    <t xml:space="preserve"> &amp;diams; PAPAIN&lt;br /&gt;&amp;diams; PAPAINASE</t>
  </si>
  <si>
    <t xml:space="preserve"> ENZYME,&lt;br /&gt; FORMULATION AID,&lt;br /&gt; PROCESSING AID,&lt;br /&gt; SURFACE-FINISHING AGENT,&lt;br /&gt; TEXTURIZER</t>
  </si>
  <si>
    <t xml:space="preserve"> 977006-45-3</t>
  </si>
  <si>
    <t xml:space="preserve"> PAPRIKA (CAPSICUM ANNUUM L.)</t>
  </si>
  <si>
    <t xml:space="preserve"> &amp;diams; PAPRIKA&lt;br /&gt;&amp;diams; PAPRIKA, HUNGARIAN&lt;br /&gt;&amp;diams; CAPSICUM ANNUUM VAR. LONGUM</t>
  </si>
  <si>
    <t xml:space="preserve"> COLOR OR COLORING ADJUNCT,&lt;br /&gt; FLAVORING AGENT OR ADJUVANT,&lt;br /&gt; PROCESSING AID,&lt;br /&gt; STABILIZER OR THICKENER,&lt;br /&gt; SURFACE-FINISHING AGENT</t>
  </si>
  <si>
    <t xml:space="preserve"> 68917-78-2</t>
  </si>
  <si>
    <t xml:space="preserve"> PAPRIKA OLEORESIN (CAPSICUM ANNUUM L.)</t>
  </si>
  <si>
    <t xml:space="preserve"> &amp;diams; PAPRIKA OLEORESIN&lt;br /&gt;&amp;diams; RESINS, OLEO-, PAPRIKA&lt;br /&gt;&amp;diams; CAPSICUM ANNUUM VAR. LONGUM OLEORESIN&lt;br /&gt;&amp;diams; OLEORESIN PAPRIKA</t>
  </si>
  <si>
    <t xml:space="preserve"> 977051-57-2</t>
  </si>
  <si>
    <t xml:space="preserve"> PARAFFIN AND SUCCINIC DERIVATIVES, SYNTHETIC</t>
  </si>
  <si>
    <t xml:space="preserve"> &amp;diams; SYNTHETIC PARAFFIN AND SUCCINIC DERIVATIVES&lt;br /&gt;&amp;diams; PARAFFIN AND SUCCINIC DERIVATIVES, SYNTHETIC</t>
  </si>
  <si>
    <t xml:space="preserve"> 8002-74-2</t>
  </si>
  <si>
    <t xml:space="preserve"> PARAFFIN WAX</t>
  </si>
  <si>
    <t xml:space="preserve"> &amp;diams; PARAFFIN&lt;br /&gt;&amp;diams; PARAFFIN WAX&lt;br /&gt;&amp;diams; PARAFFIN WAXES AND HYDROCARBON WAXES&lt;br /&gt;&amp;diams; HYDROCARBON WAX&lt;br /&gt;&amp;diams; WAX, HYDROCARBON&lt;br /&gt;&amp;diams; WAX, PARAFFIN&lt;br /&gt;&amp;diams; HARD PARAFFIN&lt;br /&gt;&amp;diams; PARAFFIN, HARD</t>
  </si>
  <si>
    <t xml:space="preserve"> FLAVOR ENHANCER,&lt;br /&gt; MASTICATORY SUBSTANCE,&lt;br /&gt; PROCESSING AID,&lt;br /&gt; SURFACE-FINISHING AGENT,&lt;br /&gt; TEXTURIZER</t>
  </si>
  <si>
    <t xml:space="preserve"> 133.150 ,  133.189</t>
  </si>
  <si>
    <t xml:space="preserve"> 123-63-7</t>
  </si>
  <si>
    <t xml:space="preserve"> PARALDEHYDE</t>
  </si>
  <si>
    <t xml:space="preserve"> &amp;diams; PARALDEHYDE&lt;br /&gt;&amp;diams; 1,3,5-TRIOXANE, 2,4,6-TRIMETHYL-&lt;br /&gt;&amp;diams; 2,4,6-TRIMETHYL-1,3,5-TRIOXANE&lt;br /&gt;&amp;diams; S-TRIOXANE, 2,4,6-TRIMETHYL-&lt;br /&gt;&amp;diams; 2,4,6-TRIMETHYL-S-TRIOXANE&lt;br /&gt;&amp;diams; PARACETALDEHYDE&lt;br /&gt;&amp;diams; 2,4,6-TRIMETHYL-1,3,5-TRIOXACYCLOHEXANE&lt;br /&gt;&amp;diams; ACETALDEHYDE, TRIMER</t>
  </si>
  <si>
    <t xml:space="preserve"> 977090-87-1</t>
  </si>
  <si>
    <t xml:space="preserve"> PARMESAN CHEESE, REGGIANO CHEESE</t>
  </si>
  <si>
    <t xml:space="preserve"> &amp;diams; PARMESAN CHEESE, REGGIANO CHEESE&lt;br /&gt;&amp;diams; CHEESE, REGGIANO (PARMESAN)</t>
  </si>
  <si>
    <t xml:space="preserve"> 101.12 ,  133.147 ,  133.165</t>
  </si>
  <si>
    <t xml:space="preserve"> 8000-68-8</t>
  </si>
  <si>
    <t xml:space="preserve"> PARSLEY, OIL (PETROSELINUM SPP.)</t>
  </si>
  <si>
    <t xml:space="preserve"> &amp;diams; PARSLEY OIL&lt;br /&gt;&amp;diams; OILS, PARSLEY&lt;br /&gt;&amp;diams; CARUM PETROSELINUM SEED OIL&lt;br /&gt;&amp;diams; PETROSELINUM SEED OIL</t>
  </si>
  <si>
    <t xml:space="preserve"> 8025-95-4</t>
  </si>
  <si>
    <t xml:space="preserve"> PARSLEY, OLEORESIN (PETROSELINUM SPP.)</t>
  </si>
  <si>
    <t xml:space="preserve"> &amp;diams; PARSLEY OLEORESIN&lt;br /&gt;&amp;diams; APIOL, LIQUID&lt;br /&gt;&amp;diams; RESINS, OLEO-, PARSLEY</t>
  </si>
  <si>
    <t xml:space="preserve"> 977051-58-3</t>
  </si>
  <si>
    <t xml:space="preserve"> PARSLEY (PETROSELINUM SPP.)</t>
  </si>
  <si>
    <t xml:space="preserve"> &amp;diams; PARSLEY&lt;br /&gt;&amp;diams; PETROSELINUM CRISPUM&lt;br /&gt;&amp;diams; PETROSELINUM HORTENSE&lt;br /&gt;&amp;diams; PERSIL (PETROSELINUM CRISPUM)&lt;br /&gt;&amp;diams; PETROSELINUM SATIVUM&lt;br /&gt;&amp;diams; CARUM PETROSELINUM</t>
  </si>
  <si>
    <t xml:space="preserve"> COLOR OR COLORING ADJUNCT,&lt;br /&gt; FLAVORING AGENT OR ADJUVANT,&lt;br /&gt; FORMULATION AID,&lt;br /&gt; PROCESSING AID,&lt;br /&gt; SURFACE-FINISHING AGENT</t>
  </si>
  <si>
    <t xml:space="preserve"> 101.22 ,  139.125 ,  139.160</t>
  </si>
  <si>
    <t xml:space="preserve"> 8057-62-3</t>
  </si>
  <si>
    <t xml:space="preserve"> PASSION FLOWER EXTRACT</t>
  </si>
  <si>
    <t xml:space="preserve"> &amp;diams; PASSION FLOWER EXTRACT&lt;br /&gt;&amp;diams; PASSIFLORA EXTRACT&lt;br /&gt;&amp;diams; PASSIONFLOWER, EXT.</t>
  </si>
  <si>
    <t xml:space="preserve"> 977001-53-8</t>
  </si>
  <si>
    <t xml:space="preserve"> PASSION FLOWER (PASSIFLORA INCARNATA L.)</t>
  </si>
  <si>
    <t xml:space="preserve"> &amp;diams; PASSION FLOWER&lt;br /&gt;&amp;diams; PASSIFLORA&lt;br /&gt;&amp;diams; WILD PASSION FLOWER&lt;br /&gt;&amp;diams; PASSIFLORA INCARNATA&lt;br /&gt;&amp;diams; MAYPOP&lt;br /&gt;&amp;diams; APRICOT VINE</t>
  </si>
  <si>
    <t xml:space="preserve"> 8014-09-3</t>
  </si>
  <si>
    <t xml:space="preserve"> PATCHOULY, OIL (POGOSTEMON SPP.)</t>
  </si>
  <si>
    <t xml:space="preserve"> &amp;diams; PATCHOULI OIL&lt;br /&gt;&amp;diams; PATCHOULY OIL&lt;br /&gt;&amp;diams; OILS, PATCHOULI&lt;br /&gt;&amp;diams; POGOSTEMON OIL&lt;br /&gt;&amp;diams; POGOSTEMON CABLIN OIL</t>
  </si>
  <si>
    <t xml:space="preserve"> 8023-98-1</t>
  </si>
  <si>
    <t xml:space="preserve"> PEACH KERNEL, EXTRACT(PRUNUS PERSICA SIEB ET ZUCC.)</t>
  </si>
  <si>
    <t xml:space="preserve"> &amp;diams; PEACH KERNEL OIL&lt;br /&gt;&amp;diams; PEACH OIL, EXPRESSED&lt;br /&gt;&amp;diams; OILS, PEACH&lt;br /&gt;&amp;diams; PRUNUS PERSICA KERNEL OIL</t>
  </si>
  <si>
    <t xml:space="preserve"> 977183-61-1</t>
  </si>
  <si>
    <t xml:space="preserve"> PEACH LEAVES, EXTRACT (PRUNUS PERSICA (L.) BATSCH)</t>
  </si>
  <si>
    <t xml:space="preserve"> &amp;diams; PEACH LEAF EXTRACT&lt;br /&gt;&amp;diams; PRUNUS PERSICA LEAF EXTRACT</t>
  </si>
  <si>
    <t xml:space="preserve"> 977009-83-8</t>
  </si>
  <si>
    <t xml:space="preserve"> PEACH LEAVES (PRUNUS PERSICA (L.) BATSCH)</t>
  </si>
  <si>
    <t xml:space="preserve"> &amp;diams; PEACH LEAF</t>
  </si>
  <si>
    <t xml:space="preserve"> 8002-03-7</t>
  </si>
  <si>
    <t xml:space="preserve"> PEANUT OIL</t>
  </si>
  <si>
    <t xml:space="preserve"> &amp;diams; PEANUT OIL&lt;br /&gt;&amp;diams; ARACHIS OIL&lt;br /&gt;&amp;diams; EARTHNUT OIL&lt;br /&gt;&amp;diams; GROUNDNUT OIL&lt;br /&gt;&amp;diams; KATCHUNG OIL&lt;br /&gt;&amp;diams; OIL, PEANUT</t>
  </si>
  <si>
    <t xml:space="preserve"> FLAVOR ENHANCER,&lt;br /&gt; FLAVORING AGENT OR ADJUVANT,&lt;br /&gt; NUTRIENT SUPPLEMENT,&lt;br /&gt; SOLVENT OR VEHICLE,&lt;br /&gt; TEXTURIZER</t>
  </si>
  <si>
    <t xml:space="preserve"> 977051-59-4</t>
  </si>
  <si>
    <t xml:space="preserve"> PEANUT STEARINE (ARACHIS HYPOGAEA L.)</t>
  </si>
  <si>
    <t xml:space="preserve"> &amp;diams; PEANUT STEARINE</t>
  </si>
  <si>
    <t xml:space="preserve"> 977144-30-1</t>
  </si>
  <si>
    <t xml:space="preserve"> PECAN SHELL FLOUR</t>
  </si>
  <si>
    <t xml:space="preserve"> &amp;diams; PECAN SHELL, GROUND&lt;br /&gt;&amp;diams; PECAN POWDER&lt;br /&gt;&amp;diams; pecan shell flour&lt;br /&gt;&amp;diams; carya illinoensis (pecan) shell powder</t>
  </si>
  <si>
    <t xml:space="preserve"> 56645-02-4</t>
  </si>
  <si>
    <t xml:space="preserve"> PECTIN, AMIDATED</t>
  </si>
  <si>
    <t xml:space="preserve"> &amp;diams; PECTIN, AMIDATED&lt;br /&gt;&amp;diams; AMIDATED PECTIN&lt;br /&gt;&amp;diams; PECTIN AMIDE</t>
  </si>
  <si>
    <t xml:space="preserve"> 977031-85-8</t>
  </si>
  <si>
    <t xml:space="preserve"> PECTINASE FROM ASPERGILLUS NIGER</t>
  </si>
  <si>
    <t xml:space="preserve"> &amp;diams; POLYGALACTURONASE, ASPERGILLUS NIGER&lt;br /&gt;&amp;diams; PECTINASE, ASPERGILLUS NIGER</t>
  </si>
  <si>
    <t xml:space="preserve"> ENZYME,&lt;br /&gt; FLAVOR ENHANCER,&lt;br /&gt; FLAVORING AGENT OR ADJUVANT,&lt;br /&gt; PROCESSING AID,&lt;br /&gt; STABILIZER OR THICKENER</t>
  </si>
  <si>
    <t xml:space="preserve"> 977090-12-2</t>
  </si>
  <si>
    <t xml:space="preserve"> PECTINASE FROM BACILLUS SUBTILIS</t>
  </si>
  <si>
    <t xml:space="preserve"> &amp;diams; POLYGALACTURONASE, BACILLUS SUBTILIS&lt;br /&gt;&amp;diams; PECTINASE, BACILLUS SUBTILIS</t>
  </si>
  <si>
    <t xml:space="preserve"> 977091-87-4</t>
  </si>
  <si>
    <t xml:space="preserve"> PECTIN, MODIFIED</t>
  </si>
  <si>
    <t xml:space="preserve"> &amp;diams; PECTIN, MODIFIED</t>
  </si>
  <si>
    <t xml:space="preserve"> EMULSIFIER OR EMULSIFIER SALT,&lt;br /&gt; FIRMING AGENT,&lt;br /&gt; FLAVOR ENHANCER,&lt;br /&gt; FLAVORING AGENT OR ADJUVANT,&lt;br /&gt; SOLVENT OR VEHICLE,&lt;br /&gt; STABILIZER OR THICKENER,&lt;br /&gt; TEXTURIZER</t>
  </si>
  <si>
    <t xml:space="preserve"> 977188-96-7</t>
  </si>
  <si>
    <t xml:space="preserve"> PEG FATTY ACID ESTERS AND MONO-, DI-, AND TRIGLYCERIDES MIXTURE</t>
  </si>
  <si>
    <t xml:space="preserve"> 977011-50-9</t>
  </si>
  <si>
    <t xml:space="preserve"> PENDARE (COUMA MACROCARPA BARB. RODR. &amp; COUMA UTILIS (MART.) MUELL. ARG.)</t>
  </si>
  <si>
    <t xml:space="preserve"> &amp;diams; PENDARE</t>
  </si>
  <si>
    <t xml:space="preserve"> 977090-13-3</t>
  </si>
  <si>
    <t xml:space="preserve"> PENICILLINASE FROM BACILLUS SUBTILIS</t>
  </si>
  <si>
    <t xml:space="preserve"> &amp;diams; PENICILLINASE, BACILLUS SUBTILIS</t>
  </si>
  <si>
    <t xml:space="preserve"> 977083-14-9</t>
  </si>
  <si>
    <t xml:space="preserve"> PENICILLIUM ROQUEFORTI</t>
  </si>
  <si>
    <t xml:space="preserve"> &amp;diams; PENICILLIUM ROQUEFORTI</t>
  </si>
  <si>
    <t xml:space="preserve"> 8007-44-1</t>
  </si>
  <si>
    <t xml:space="preserve"> PENNYROYAL, OIL, AMERICAN (HEDEOMA PULEGIODES (L.))</t>
  </si>
  <si>
    <t xml:space="preserve"> &amp;diams; AMERICAN PENNYROYAL OIL&lt;br /&gt;&amp;diams; HEDEOMA OIL&lt;br /&gt;&amp;diams; OILS, PENNYROYAL, HEDEOMA PULEGIOIDES&lt;br /&gt;&amp;diams; PENNYROYAL OIL, AMERICAN</t>
  </si>
  <si>
    <t xml:space="preserve"> 8013-99-8</t>
  </si>
  <si>
    <t xml:space="preserve"> PENNYROYAL, OIL, EUROPEAN (MENTHA PULEGIUM L.)</t>
  </si>
  <si>
    <t xml:space="preserve"> &amp;diams; EUROPEAN PENNYROYAL OIL&lt;br /&gt;&amp;diams; MENTHA PULEGIUM OIL&lt;br /&gt;&amp;diams; PENNYROYAL OIL, AFRICAN&lt;br /&gt;&amp;diams; PENNYROYAL OIL, PULEGIUM&lt;br /&gt;&amp;diams; OILS, PENNYROYAL, MENTHA PULEGIUM</t>
  </si>
  <si>
    <t xml:space="preserve"> 106-02-5</t>
  </si>
  <si>
    <t xml:space="preserve"> OMEGA-PENTADECALACTONE</t>
  </si>
  <si>
    <t xml:space="preserve"> &amp;diams; OMEGA-PENTADECALACTONE&lt;br /&gt;&amp;diams; CYCLOPENTADECANOLIDE&lt;br /&gt;&amp;diams; OXACYCLOHEXADECAN-2-ONE&lt;br /&gt;&amp;diams; PENTADECANOLIDE&lt;br /&gt;&amp;diams; 14-OXYTETRADECANE CARBONIC ACID LACTONE&lt;br /&gt;&amp;diams; 15-HYDROXYPENTADECANOIC ACID XI-LACTONE</t>
  </si>
  <si>
    <t xml:space="preserve"> 1002-84-2</t>
  </si>
  <si>
    <t xml:space="preserve"> PENTADECANOIC ACID</t>
  </si>
  <si>
    <t xml:space="preserve"> &amp;diams; PENTADECANOIC ACID&lt;br /&gt;&amp;diams; pentadecylic acid&lt;br /&gt;&amp;diams; InChI=1S/C15H30O2/c1-2-3-4-5-6-7-8-9-10-11-12-13-14-15(16)17/h2-14H2,1H3,(H,16,17)&lt;br /&gt;&amp;diams; InChIKey: WQEPLUUGTLDZJY-UHFFFAOYSA-N</t>
  </si>
  <si>
    <t xml:space="preserve"> 2345-28-0</t>
  </si>
  <si>
    <t xml:space="preserve"> 2-PENTADECANONE</t>
  </si>
  <si>
    <t xml:space="preserve"> &amp;diams; 2-PENTADECANONE&lt;br /&gt;&amp;diams; METHYL TRIDECYL KETONE</t>
  </si>
  <si>
    <t xml:space="preserve"> 764-40-9</t>
  </si>
  <si>
    <t xml:space="preserve"> 2,4-PENTADIENAL</t>
  </si>
  <si>
    <t xml:space="preserve"> &amp;diams; 2,4-PENTADIENAL&lt;br /&gt;&amp;diams; 1,3-PENTADIEN-5-AL</t>
  </si>
  <si>
    <t xml:space="preserve"> 600-14-6</t>
  </si>
  <si>
    <t xml:space="preserve"> 2,3-PENTANEDIONE</t>
  </si>
  <si>
    <t xml:space="preserve"> &amp;diams; 2,3-PENTANEDIONE&lt;br /&gt;&amp;diams; ACETYLPROPIONYL</t>
  </si>
  <si>
    <t xml:space="preserve"> 110-66-7</t>
  </si>
  <si>
    <t xml:space="preserve"> 1-PENTANETHIOL</t>
  </si>
  <si>
    <t xml:space="preserve"> &amp;diams; 1-PENTANETHIOL&lt;br /&gt;&amp;diams; AMYL MERCAPTAN&lt;br /&gt;&amp;diams; pentyl mercaptan&lt;br /&gt;&amp;diams; pentanethiol&lt;br /&gt;&amp;diams; InChI=1S/C5H12S/c1-2-3-4-5-6/h6H,2-5H2,1H3&lt;br /&gt;&amp;diams; InChIKey: ZRKMQKLGEQPLNS-UHFFFAOYSA-N</t>
  </si>
  <si>
    <t xml:space="preserve"> 2084-19-7</t>
  </si>
  <si>
    <t xml:space="preserve"> 2-PENTANETHIOL</t>
  </si>
  <si>
    <t xml:space="preserve"> &amp;diams; 2-PENTANETHIOL&lt;br /&gt;&amp;diams; AMYL MERCAPTAN, SEC-&lt;br /&gt;&amp;diams; 1-METHYLBUTANETHIOL&lt;br /&gt;&amp;diams; 2-MERCAPTOPENTANE&lt;br /&gt;&amp;diams; SEC-AMYL MERCAPTAN</t>
  </si>
  <si>
    <t xml:space="preserve"> 616-31-9</t>
  </si>
  <si>
    <t xml:space="preserve"> 3-PENTANETHIOL</t>
  </si>
  <si>
    <t xml:space="preserve"> &amp;diams; 3-PENTANETHIOL&lt;br /&gt;&amp;diams; 3-pentyl mercaptan</t>
  </si>
  <si>
    <t xml:space="preserve"> 6032-29-7</t>
  </si>
  <si>
    <t xml:space="preserve"> 2-PENTANOL</t>
  </si>
  <si>
    <t xml:space="preserve"> &amp;diams; 2-PENTANOL&lt;br /&gt;&amp;diams; AMYL ALCOHOL, SEC-&lt;br /&gt;&amp;diams; METHYL PROPYL CARBINOL&lt;br /&gt;&amp;diams; ALPHA-METHYLBUTANOL&lt;br /&gt;&amp;diams; 2-PENTYL ALCOHOL&lt;br /&gt;&amp;diams; 1-METHYL-1-BUTANOL&lt;br /&gt;&amp;diams; PENTANOL, SEC-&lt;br /&gt;&amp;diams; 2-HYDROXYPENTANE&lt;br /&gt;&amp;diams; SEC-AMYL ALCOHOL</t>
  </si>
  <si>
    <t xml:space="preserve"> 107-87-9</t>
  </si>
  <si>
    <t xml:space="preserve"> 2-PENTANONE</t>
  </si>
  <si>
    <t xml:space="preserve"> &amp;diams; METHYL PROPYL KETONE&lt;br /&gt;&amp;diams; 2-PENTANONE&lt;br /&gt;&amp;diams; PROPYL METHYL KETONE&lt;br /&gt;&amp;diams; ETHYL ACETONE</t>
  </si>
  <si>
    <t xml:space="preserve"> 3194-17-0</t>
  </si>
  <si>
    <t xml:space="preserve"> 2-PENTANOYLFURAN</t>
  </si>
  <si>
    <t xml:space="preserve"> &amp;diams; BUTYL 2-FURYL KETONE&lt;br /&gt;&amp;diams; 2-furyl butyl ketone&lt;br /&gt;&amp;diams; 1-pentanone, 1-(2-furanyl)-&lt;br /&gt;&amp;diams; 1-pentanone, 1-(2-furyl)-&lt;br /&gt;&amp;diams; 1-(2-furanyl)-1-pentanone&lt;br /&gt;&amp;diams; 2-pentanoylfuran&lt;br /&gt;&amp;diams; InChI=1S/C9H12O2/c1-2-3-5-8(10)9-6-4-7-11-9/h4,6-7H,2-3,5H2,1H3&lt;br /&gt;&amp;diams; InChiKey=HTOZHTBIOGGHDJ-UHFFFAOYSA-N</t>
  </si>
  <si>
    <t xml:space="preserve"> 764-39-6</t>
  </si>
  <si>
    <t xml:space="preserve"> 2-PENTENAL</t>
  </si>
  <si>
    <t xml:space="preserve"> &amp;diams; 2-PENTENAL&lt;br /&gt;&amp;diams; 3-ETHYLACROLEIN&lt;br /&gt;&amp;diams; 3-ETHYL-2-PROPENAL&lt;br /&gt;&amp;diams; GAMMA-METHYLCROTONALDEHYDE&lt;br /&gt;&amp;diams; 2-PENTEN-1-AL</t>
  </si>
  <si>
    <t xml:space="preserve"> 2100-17-6</t>
  </si>
  <si>
    <t xml:space="preserve"> 4-PENTENAL</t>
  </si>
  <si>
    <t xml:space="preserve"> &amp;diams; 4-PENTENAL&lt;br /&gt;&amp;diams; InChI=1S/C5H8O/c1-2-3-4-5-6/h2,5H,1,3-4H2&lt;br /&gt;&amp;diams; InChIKey: QUMSUJWRUHPEEJ-UHFFFAOYSA-N</t>
  </si>
  <si>
    <t xml:space="preserve"> 626-98-2</t>
  </si>
  <si>
    <t xml:space="preserve"> 2-PENTENOIC ACID</t>
  </si>
  <si>
    <t xml:space="preserve"> &amp;diams; 2-PENTENOIC ACID&lt;br /&gt;&amp;diams; InChI=1S/C5H8O2/c1-2-3-4-5(6)7/h3-4H,2H2,1H3,(H,6,7)&lt;br /&gt;&amp;diams; InChiKey=YIYBQIKDCADOSF-UHFFFAOYSA-N</t>
  </si>
  <si>
    <t xml:space="preserve"> 591-80-0</t>
  </si>
  <si>
    <t xml:space="preserve"> 4-PENTENOIC ACID</t>
  </si>
  <si>
    <t xml:space="preserve"> &amp;diams; 4-PENTENOIC ACID&lt;br /&gt;&amp;diams; ALLYLACETIC ACID&lt;br /&gt;&amp;diams; DELTA4-PENTENOIC ACID</t>
  </si>
  <si>
    <t xml:space="preserve"> 616-25-1</t>
  </si>
  <si>
    <t xml:space="preserve"> 1-PENTEN-3-OL</t>
  </si>
  <si>
    <t xml:space="preserve"> &amp;diams; 1-PENTEN-3-OL&lt;br /&gt;&amp;diams; ETHYL VINYL CARBINOL&lt;br /&gt;&amp;diams; VINYL ETHYL CARBINOL&lt;br /&gt;&amp;diams; ALPHA-ETHYLALLYL ALCOHOL&lt;br /&gt;&amp;diams; 1-ETHYLALLYL ALCOHOL</t>
  </si>
  <si>
    <t xml:space="preserve"> 20273-24-9</t>
  </si>
  <si>
    <t xml:space="preserve"> 2-PENTEN-1-OL</t>
  </si>
  <si>
    <t xml:space="preserve"> &amp;diams; 2-PENTEN-1-OL&lt;br /&gt;&amp;diams; InChI=1S/C5H10O/c1-2-3-4-5-6/h3-4,6H,2,5H2,1H3/b4-3+&lt;br /&gt;&amp;diams; InChIKey: BTSIZIIPFNVMHF-ONEGZZNKSA-N</t>
  </si>
  <si>
    <t xml:space="preserve"> 1629-58-9</t>
  </si>
  <si>
    <t xml:space="preserve"> 1-PENTEN-3-ONE</t>
  </si>
  <si>
    <t xml:space="preserve"> &amp;diams; 1-PENTEN-3-ONE&lt;br /&gt;&amp;diams; ETHYL VINYL KETONE</t>
  </si>
  <si>
    <t xml:space="preserve"> 625-33-2</t>
  </si>
  <si>
    <t xml:space="preserve"> 3-PENTEN-2-ONE</t>
  </si>
  <si>
    <t xml:space="preserve"> &amp;diams; ETHYLIDENE ACETONE&lt;br /&gt;&amp;diams; 3-PENTEN-2-ONE&lt;br /&gt;&amp;diams; METHYL PROPENYL KETONE&lt;br /&gt;&amp;diams; 2-OXO-3-PENTENE</t>
  </si>
  <si>
    <t xml:space="preserve"> 1576-85-8</t>
  </si>
  <si>
    <t xml:space="preserve"> 4-PENTENYL ACETATE</t>
  </si>
  <si>
    <t xml:space="preserve"> &amp;diams; 4-PENTENYL ACETATE&lt;br /&gt;&amp;diams; 4-PENTEN-1-OL, ACETATE&lt;br /&gt;&amp;diams; 5-ACETOXY-1-PENTENE&lt;br /&gt;&amp;diams; 1-ACETOXY-4-PENTENE</t>
  </si>
  <si>
    <t xml:space="preserve"> 74298-89-8</t>
  </si>
  <si>
    <t xml:space="preserve"> PENT-2-ENYL HEXANOATE</t>
  </si>
  <si>
    <t xml:space="preserve"> &amp;diams; 2-PENTENYL HEXANOATE, CIS-&lt;br /&gt;&amp;diams; hexanoic acid, (2Z)-2-penten-1-yl ester&lt;br /&gt;&amp;diams; 2-penten-1-yl hexanoate, (2Z)-&lt;br /&gt;&amp;diams; hexanoic acid, (2Z)-2-pentenyl ester&lt;br /&gt;&amp;diams; 2-pentenyl hexanoate, (2Z)-&lt;br /&gt;&amp;diams; pent-2-enyl hexanoate, (Z)-</t>
  </si>
  <si>
    <t xml:space="preserve"> 18060-79-2</t>
  </si>
  <si>
    <t xml:space="preserve"> 4-PENTENYL ISOTHIOCYANATE</t>
  </si>
  <si>
    <t xml:space="preserve"> &amp;diams; 4-PENTENYL ISOTHIOCYANATE&lt;br /&gt;&amp;diams; 1-pentene, 5-isothiocyanato-&lt;br /&gt;&amp;diams; 5-isothiocyanato-1-pentene&lt;br /&gt;&amp;diams; isothiocyanic acid, 4-pentenyl ester&lt;br /&gt;&amp;diams; InChI=1S/C6H9NS/c1-2-3-4-5-7-6-8/h2H,1,3-5H2&lt;br /&gt;&amp;diams; InChIKey: DBISBKDNOKIADM-UHFFFAOYSA-N</t>
  </si>
  <si>
    <t xml:space="preserve"> 1094004-39-3</t>
  </si>
  <si>
    <t xml:space="preserve"> 2-PENTENYL-4-PROPYL-1,3-OXATHIANE (MIXTURE OF ISOMERS)</t>
  </si>
  <si>
    <t xml:space="preserve"> &amp;diams; 2-(2-PENTENYL)-4-PROPYL-1,3-OXATHIANE&lt;br /&gt;&amp;diams; 1,3-oxathiane, 2-(2-penten-1-yl)-4-propyl-&lt;br /&gt;&amp;diams; 2-(2-penten-1-yl)-4-propyl-1,3-oxathiane</t>
  </si>
  <si>
    <t xml:space="preserve"> 626-38-0</t>
  </si>
  <si>
    <t xml:space="preserve"> 2-PENTYL ACETATE</t>
  </si>
  <si>
    <t xml:space="preserve"> &amp;diams; 2-PENTYL ACETATE&lt;br /&gt;&amp;diams; AMYL ACETATE, SEC-&lt;br /&gt;&amp;diams; 1-METHYLBUTYL ACETATE&lt;br /&gt;&amp;diams; 2-PENTANOL, ACETATE</t>
  </si>
  <si>
    <t xml:space="preserve"> 110-58-7</t>
  </si>
  <si>
    <t xml:space="preserve"> PENTYLAMINE</t>
  </si>
  <si>
    <t xml:space="preserve"> &amp;diams; AMYLAMINE&lt;br /&gt;&amp;diams; 1-PENTANAMINE&lt;br /&gt;&amp;diams; MONOAMYLAMINE&lt;br /&gt;&amp;diams; PENTYLAMINE</t>
  </si>
  <si>
    <t xml:space="preserve"> 63759-55-7</t>
  </si>
  <si>
    <t xml:space="preserve"> 2-PENTYL-1-BUTEN-3-ONE</t>
  </si>
  <si>
    <t xml:space="preserve"> &amp;diams; 2-PENTYL-1-BUTEN-3-ONE&lt;br /&gt;&amp;diams; 3-METHYLENE-2-OCTANONE&lt;br /&gt;&amp;diams; 2-OCTANONE, 3-METHYLENE-</t>
  </si>
  <si>
    <t xml:space="preserve"> 60415-61-4</t>
  </si>
  <si>
    <t xml:space="preserve"> 2-PENTYL BUTYRATE</t>
  </si>
  <si>
    <t xml:space="preserve"> &amp;diams; 2-PENTYL BUTYRATE&lt;br /&gt;&amp;diams; 1-METHYLBUTYL BUTANOATE&lt;br /&gt;&amp;diams; 2-PENTYL BUTANOATE&lt;br /&gt;&amp;diams; BUTANOIC ACID, 1-METHYLBUTYL ESTER</t>
  </si>
  <si>
    <t xml:space="preserve"> 3777-69-3</t>
  </si>
  <si>
    <t xml:space="preserve"> 2-PENTYLFURAN</t>
  </si>
  <si>
    <t xml:space="preserve"> &amp;diams; 2-AMYLFURAN&lt;br /&gt;&amp;diams; 2-PENTYLFURAN&lt;br /&gt;&amp;diams; FURAN, 2-PENTYL-</t>
  </si>
  <si>
    <t xml:space="preserve"> 14360-50-0</t>
  </si>
  <si>
    <t xml:space="preserve"> PENTYL 2-FURYL KETONE</t>
  </si>
  <si>
    <t xml:space="preserve"> &amp;diams; 2-FURYL PENTYL KETONE&lt;br /&gt;&amp;diams; PENTYL 2-FURYL KETONE&lt;br /&gt;&amp;diams; 1-(2-FURANYL)-1-HEXANONE&lt;br /&gt;&amp;diams; 2-HEXANOYLFURAN&lt;br /&gt;&amp;diams; 1-HEXANONE, 1-(2-FURANYL)-&lt;br /&gt;&amp;diams; 1-HEXANONE, 1-(2-FURYL)-&lt;br /&gt;&amp;diams; 1-(2-FURYL)-1-HEXANONE</t>
  </si>
  <si>
    <t xml:space="preserve"> 51352-68-2</t>
  </si>
  <si>
    <t xml:space="preserve"> 5-PENTYL-3H-FURAN-2-ONE</t>
  </si>
  <si>
    <t xml:space="preserve"> &amp;diams; 5-PENTYL-3H-FURAN-2-ONE&lt;br /&gt;&amp;diams; 2(3H)-furanone, 5-pentyl-&lt;br /&gt;&amp;diams; 5-pentyl-2(3H)-furanone&lt;br /&gt;&amp;diams; 4-hydroxy-3-nonenoic acid gamma-lactone&lt;br /&gt;&amp;diams; InChI=1S/C9H14O2/c1-2-3-4-5-8-6-7-9(10)11-8/h6H,2-5,7H2,1H3&lt;br /&gt;&amp;diams; InChIKey: PGAMJXWVUGDLRA-UHFFFAOYSA-N</t>
  </si>
  <si>
    <t xml:space="preserve"> 1128-08-1</t>
  </si>
  <si>
    <t xml:space="preserve"> 2-PENTYL-3-METHYL-2-CYCLOPENTEN-1-ONE</t>
  </si>
  <si>
    <t xml:space="preserve"> &amp;diams; DIHYDROJASMONE&lt;br /&gt;&amp;diams; 2-PENTYL-3-METHYL-2-CYCLOPENTEN-1-ONE&lt;br /&gt;&amp;diams; 2-AMYL-3-METHYL-2-CYCLOPENTEN-1-ONE&lt;br /&gt;&amp;diams; 2-CYCLOPENTEN-1-ONE, 3-METHYL-2-PENTYL-&lt;br /&gt;&amp;diams; 3-METHYL-2-PENTYL-2-CYCLOPENTEN-1-ONE</t>
  </si>
  <si>
    <t xml:space="preserve"> 90397-36-7</t>
  </si>
  <si>
    <t xml:space="preserve"> 2-PENTYL 2-METHYLPENTANOATE</t>
  </si>
  <si>
    <t xml:space="preserve"> &amp;diams; 2-PENTYL 2-METHYLPENTANOATE&lt;br /&gt;&amp;diams; pentanoic acid, 2-methyl-, 1-methylbutyl ester</t>
  </si>
  <si>
    <t xml:space="preserve"> 2294-76-0</t>
  </si>
  <si>
    <t xml:space="preserve"> 2-PENTYLPYRIDINE</t>
  </si>
  <si>
    <t xml:space="preserve"> &amp;diams; 2-AMYLPYRIDINE&lt;br /&gt;&amp;diams; 2-PENTYLPYRIDINE&lt;br /&gt;&amp;diams; PYRIDINE, 2-PENTYL-</t>
  </si>
  <si>
    <t xml:space="preserve"> 37645-62-8</t>
  </si>
  <si>
    <t xml:space="preserve"> 2-PENTYLTHIAZOLE</t>
  </si>
  <si>
    <t xml:space="preserve"> &amp;diams; 2-PENTYLTHIAZOLE&lt;br /&gt;&amp;diams; thiazole, 2-pentyl-&lt;br /&gt;&amp;diams; 2-n-amylthiazole</t>
  </si>
  <si>
    <t xml:space="preserve"> 4861-58-9</t>
  </si>
  <si>
    <t xml:space="preserve"> 2-PENTYLTHIOPHENE</t>
  </si>
  <si>
    <t xml:space="preserve"> &amp;diams; 2-PENTYLTHIOPHENE&lt;br /&gt;&amp;diams; thiophene, 2-pentyl-&lt;br /&gt;&amp;diams; InChI=1S/C9H14S/c1-2-3-4-6-9-7-5-8-10-9/h5,7-8H,2-4,6H2,1H3&lt;br /&gt;&amp;diams; InChIKey: NOYVOSGVFSEKPR-UHFFFAOYSA-N</t>
  </si>
  <si>
    <t xml:space="preserve"> 8006-82-4</t>
  </si>
  <si>
    <t xml:space="preserve"> PEPPER, BLACK, OIL (PIPER NIGRUM L.)</t>
  </si>
  <si>
    <t xml:space="preserve"> &amp;diams; PEPPER OIL, BLACK&lt;br /&gt;&amp;diams; PEPPER OIL&lt;br /&gt;&amp;diams; PEPPER, BLACK, OIL&lt;br /&gt;&amp;diams; OILS, BLACK PEPPER&lt;br /&gt;&amp;diams; PIPER NIGRUM OIL</t>
  </si>
  <si>
    <t xml:space="preserve"> 8002-56-0</t>
  </si>
  <si>
    <t xml:space="preserve"> PEPPER, BLACK, OLEORESIN (PIPER NIGRUM L.)</t>
  </si>
  <si>
    <t xml:space="preserve"> &amp;diams; PEPPER OLEORESIN, BLACK&lt;br /&gt;&amp;diams; BLACK PEPPER OLEORESIN&lt;br /&gt;&amp;diams; PEPPER, BLACK, OLEORESIN&lt;br /&gt;&amp;diams; RESINS, OLEO-, BLACK PEPPER</t>
  </si>
  <si>
    <t xml:space="preserve"> 977051-62-9</t>
  </si>
  <si>
    <t xml:space="preserve"> PEPPER, BLACK (PIPER NIGRUM L.)</t>
  </si>
  <si>
    <t xml:space="preserve"> &amp;diams; PEPPER, BLACK&lt;br /&gt;&amp;diams; BLACK PEPPER&lt;br /&gt;&amp;diams; POIVRE NOIR (PIPER NIGRUM)&lt;br /&gt;&amp;diams; MALABAR BLACK PEPPER</t>
  </si>
  <si>
    <t xml:space="preserve"> COLOR OR COLORING ADJUNCT,&lt;br /&gt; FLAVORING AGENT OR ADJUVANT,&lt;br /&gt; PROCESSING AID,&lt;br /&gt; SURFACE-FINISHING AGENT</t>
  </si>
  <si>
    <t xml:space="preserve"> 977071-33-2</t>
  </si>
  <si>
    <t xml:space="preserve"> PEPPER, CAYENNE</t>
  </si>
  <si>
    <t xml:space="preserve"> &amp;diams; HOT PEPPER&lt;br /&gt;&amp;diams; CHILI PEPPER&lt;br /&gt;&amp;diams; PIMENT BRULANT (CAPSICUM FRUTESCENS)&lt;br /&gt;&amp;diams; CAPSICUM ANNUUM, LONGUM GROUP&lt;br /&gt;&amp;diams; CAYENNE PEPPER&lt;br /&gt;&amp;diams; LONG PEPPER&lt;br /&gt;&amp;diams; RED PEPPER (CHILE PEPPER)&lt;br /&gt;&amp;diams; CHILE PEPPER&lt;br /&gt;&amp;diams; CAPSICUM CHILE PEPPER&lt;br /&gt;&amp;diams; PEPPER, HOT&lt;br /&gt;&amp;diams; PEPPER, CHILI&lt;br /&gt;&amp;diams; PEPPER, RED OR CAYENNE&lt;br /&gt;&amp;diams; CAPSICUM ANNUUM VAR. ANNUUM&lt;br /&gt;&amp;diams; PEPPER, CAYENNE</t>
  </si>
  <si>
    <t xml:space="preserve"> 977018-19-1</t>
  </si>
  <si>
    <t xml:space="preserve"> PEPPERMINT LEAVES (MENTHA PIPERITA L.)</t>
  </si>
  <si>
    <t xml:space="preserve"> &amp;diams; PEPPERMINT LEAF&lt;br /&gt;&amp;diams; MENTHA PIPERITA LEAF</t>
  </si>
  <si>
    <t xml:space="preserve"> 8006-90-4</t>
  </si>
  <si>
    <t xml:space="preserve"> PEPPERMINT, OIL (MENTHA PIPERITA L.)</t>
  </si>
  <si>
    <t xml:space="preserve"> &amp;diams; PEPPERMINT OIL&lt;br /&gt;&amp;diams; OILS, PEPPERMINT&lt;br /&gt;&amp;diams; MENTHA PIPERITA OIL</t>
  </si>
  <si>
    <t xml:space="preserve"> 977001-36-7</t>
  </si>
  <si>
    <t xml:space="preserve"> PEPPERMINT PLANT</t>
  </si>
  <si>
    <t xml:space="preserve"> &amp;diams; PEPPERMINT&lt;br /&gt;&amp;diams; MENTHA PIPERITA&lt;br /&gt;&amp;diams; MENTHE POIVRE (MENTHA PIPERITA)&lt;br /&gt;&amp;diams; MENTHA CITRATA</t>
  </si>
  <si>
    <t xml:space="preserve"> 977184-01-2</t>
  </si>
  <si>
    <t xml:space="preserve"> PEPPER, RED</t>
  </si>
  <si>
    <t xml:space="preserve"> &amp;diams; RED PEPPER&lt;br /&gt;&amp;diams; PEPPER, RED</t>
  </si>
  <si>
    <t xml:space="preserve"> 977018-20-4</t>
  </si>
  <si>
    <t xml:space="preserve"> PEPPER, WHITE, OIL (PIPER NIGRUM L.)</t>
  </si>
  <si>
    <t xml:space="preserve"> &amp;diams; PEPPER OIL, WHITE&lt;br /&gt;&amp;diams; WHITE PEPPER OIL&lt;br /&gt;&amp;diams; PEPPER, WHITE, OIL</t>
  </si>
  <si>
    <t xml:space="preserve"> 977018-21-5</t>
  </si>
  <si>
    <t xml:space="preserve"> PEPPER, WHITE, OLEORESIN (PIPER NIGRUM L.)</t>
  </si>
  <si>
    <t xml:space="preserve"> &amp;diams; PEPPER OLEORESIN, WHITE&lt;br /&gt;&amp;diams; PEPPER, WHITE, OLEORESIN&lt;br /&gt;&amp;diams; WHITE PEPPER OLEORESIN</t>
  </si>
  <si>
    <t xml:space="preserve"> 977051-63-0</t>
  </si>
  <si>
    <t xml:space="preserve"> PEPPER, WHITE (PIPER NIGRUM L.)</t>
  </si>
  <si>
    <t xml:space="preserve"> &amp;diams; PEPPER, WHITE&lt;br /&gt;&amp;diams; WHITE PEPPER&lt;br /&gt;&amp;diams; POIVRE BLANC (PIPER NIGRUM)</t>
  </si>
  <si>
    <t xml:space="preserve"> 9001-75-6</t>
  </si>
  <si>
    <t xml:space="preserve"> PEPSIN</t>
  </si>
  <si>
    <t xml:space="preserve"> &amp;diams; PEPSIN&lt;br /&gt;&amp;diams; PEPSIN A&lt;br /&gt;&amp;diams; PEPSIN, BOVINE</t>
  </si>
  <si>
    <t xml:space="preserve"> 73049-73-7</t>
  </si>
  <si>
    <t xml:space="preserve"> PEPTONES</t>
  </si>
  <si>
    <t xml:space="preserve"> &amp;diams; PEPTONE&lt;br /&gt;&amp;diams; BREWERS PEPTONE&lt;br /&gt;&amp;diams; PEPTONES&lt;br /&gt;&amp;diams; PROTEINS, PEPTONES</t>
  </si>
  <si>
    <t xml:space="preserve"> 79-21-0</t>
  </si>
  <si>
    <t xml:space="preserve"> PERACETIC ACID</t>
  </si>
  <si>
    <t xml:space="preserve"> &amp;diams; PERACETIC ACID&lt;br /&gt;&amp;diams; ETHANEPEROXOIC ACID&lt;br /&gt;&amp;diams; PEROXYACETIC ACID&lt;br /&gt;&amp;diams; ACETYL HYDROPEROXIDE&lt;br /&gt;&amp;diams; MONOPERACETIC ACID&lt;br /&gt;&amp;diams; PEROXOACETIC ACID&lt;br /&gt;&amp;diams; ACETIC PEROXIDE</t>
  </si>
  <si>
    <t xml:space="preserve"> 355-42-0</t>
  </si>
  <si>
    <t xml:space="preserve"> perfluorohexane</t>
  </si>
  <si>
    <t xml:space="preserve"> &amp;diams; HEXANE, TETRADECAFLUORO-&lt;br /&gt;&amp;diams; TETRADECAFLUOROHEXANE</t>
  </si>
  <si>
    <t xml:space="preserve"> 2111-75-3</t>
  </si>
  <si>
    <t xml:space="preserve"> PERILLALDEHYDE</t>
  </si>
  <si>
    <t xml:space="preserve"> &amp;diams; PERILLALDEHYDE&lt;br /&gt;&amp;diams; P-MENTHA-1,8-DIEN-7-AL&lt;br /&gt;&amp;diams; 4-(1-METHYLETHENYL)-1-CYCLOHEXENE-1-CARBOXALDEHYDE&lt;br /&gt;&amp;diams; 4-ISOPROPENYL-1-CYCLOHEXENE-1-CARBOXALDEHYDE&lt;br /&gt;&amp;diams; 1-CYCLOHEXENE-1-CARBOXALDEHYDE, 4-(1-METHYLETHENYL)-&lt;br /&gt;&amp;diams; 1-CYCLOHEXENE-1-CARBOXALDEHYDE, 4-ISOPROPENYL-</t>
  </si>
  <si>
    <t xml:space="preserve"> 121199-28-8</t>
  </si>
  <si>
    <t xml:space="preserve"> PERILLALDEHYDE PROPYLENEGLYCOL ACETAL</t>
  </si>
  <si>
    <t xml:space="preserve"> &amp;diams; PERILLALDEHYDE PROPYLENE GLYCOL ACETAL&lt;br /&gt;&amp;diams; 1,3-dioxolane, 4-methyl-2-(4-(1-methylethenyl)-1-cyclohexen-1-yl)-&lt;br /&gt;&amp;diams; 4-methyl-2-(4-(1-methylethenyl)-1-cyclohexen-1-yl)-1,3-dioxolane&lt;br /&gt;&amp;diams; 4-isopropenyl-1-cyclohexene-1-carboxaldehyde propylene glycol acetal</t>
  </si>
  <si>
    <t xml:space="preserve"> 977186-33-6</t>
  </si>
  <si>
    <t xml:space="preserve"> PERILLA LEAF OIL</t>
  </si>
  <si>
    <t xml:space="preserve"> &amp;diams; PERILLA LEAF OIL&lt;br /&gt;&amp;diams; SHISO OIL</t>
  </si>
  <si>
    <t xml:space="preserve"> 977049-04-9</t>
  </si>
  <si>
    <t xml:space="preserve"> PERILLO</t>
  </si>
  <si>
    <t xml:space="preserve"> &amp;diams; PERILLO</t>
  </si>
  <si>
    <t xml:space="preserve"> 15111-96-3</t>
  </si>
  <si>
    <t xml:space="preserve"> PERILLYL ACETATE</t>
  </si>
  <si>
    <t xml:space="preserve"> &amp;diams; P-MENTHA-1,8-DIEN-7-YL ACETATE&lt;br /&gt;&amp;diams; DIHYDROCUMINYL ACETATE&lt;br /&gt;&amp;diams; MENTHADIEN-7-CARBINYL ACETATE&lt;br /&gt;&amp;diams; PERILLYL ACETATE&lt;br /&gt;&amp;diams; 1-CYCLOHEXENE-1-METHANOL, 4-(1-METHYLETHENYL)-, ACETATE&lt;br /&gt;&amp;diams; 1,8-P-MENTHADIEN-7-YL ACETATE&lt;br /&gt;&amp;diams; 4-(1-METHYLETHENYL)-1-CYCLOHEXENE-1-METHYL ACETATE&lt;br /&gt;&amp;diams; 4-ISOPROPENYL-1-CYCLOHEXENE CARBINYL ACETATE</t>
  </si>
  <si>
    <t xml:space="preserve"> 10450-60-9</t>
  </si>
  <si>
    <t xml:space="preserve"> PERIODIC ACID</t>
  </si>
  <si>
    <t xml:space="preserve"> &amp;diams; PERIODIC ACID (H5IO6)</t>
  </si>
  <si>
    <t xml:space="preserve"> 8048-51-9</t>
  </si>
  <si>
    <t xml:space="preserve"> PETITGRAIN, LEMON, OIL (CITRUS LIMON (L.) BURM. F.)</t>
  </si>
  <si>
    <t xml:space="preserve"> &amp;diams; PETITGRAIN OIL, LEMON&lt;br /&gt;&amp;diams; PETITGRAIN, LEMON, OIL&lt;br /&gt;&amp;diams; OILS, PETITGRAIN LEMON</t>
  </si>
  <si>
    <t xml:space="preserve"> 977051-67-4</t>
  </si>
  <si>
    <t xml:space="preserve"> PETITGRAIN, MANDARIN, OIL (CITRUS RETICULATA BLANCO VAR. MANDARIN)</t>
  </si>
  <si>
    <t xml:space="preserve"> &amp;diams; PETITGRAIN OIL, MANDARIN&lt;br /&gt;&amp;diams; PETITGRAIN, MANDARIN, OIL</t>
  </si>
  <si>
    <t xml:space="preserve"> 8014-17-3</t>
  </si>
  <si>
    <t xml:space="preserve"> PETITGRAIN, OIL (CITRUS AURANTIUM L.)</t>
  </si>
  <si>
    <t xml:space="preserve"> &amp;diams; PETITGRAIN OIL&lt;br /&gt;&amp;diams; OILS, PETITGRAIN</t>
  </si>
  <si>
    <t xml:space="preserve"> 8009-03-8</t>
  </si>
  <si>
    <t xml:space="preserve"> PETROLATUM</t>
  </si>
  <si>
    <t xml:space="preserve"> &amp;diams; PETROLATUM&lt;br /&gt;&amp;diams; PETROLEUM JELLY&lt;br /&gt;&amp;diams; PETROLATUM, AMBER&lt;br /&gt;&amp;diams; SOFT PARAFFIN&lt;br /&gt;&amp;diams; PARAFFIN, SOFT</t>
  </si>
  <si>
    <t xml:space="preserve"> LUBRICANT OR RELEASE AGENT,&lt;br /&gt; MASTICATORY SUBSTANCE,&lt;br /&gt; SOLVENT OR VEHICLE,&lt;br /&gt; SURFACE-ACTIVE AGENT</t>
  </si>
  <si>
    <t xml:space="preserve"> 977051-68-5</t>
  </si>
  <si>
    <t xml:space="preserve"> PETROLEUM HYDROCARBONS, ODORLESS, LIGHT</t>
  </si>
  <si>
    <t xml:space="preserve"> &amp;diams; PETROLEUM HYDROCARBONS, LIGHT, ODORLESS&lt;br /&gt;&amp;diams; PETROLEUM HYDROCARBONS, ODORLESS LIGHT&lt;br /&gt;&amp;diams; ODORLESS LIGHT PETROLEUM HYDROCARBONS</t>
  </si>
  <si>
    <t xml:space="preserve"> 8030-30-6</t>
  </si>
  <si>
    <t xml:space="preserve"> PETROLEUM NAPHTHA</t>
  </si>
  <si>
    <t xml:space="preserve"> &amp;diams; PETROLEUM BENZIN&lt;br /&gt;&amp;diams; NAPHTHA&lt;br /&gt;&amp;diams; PETROLEUM ETHER&lt;br /&gt;&amp;diams; NAPHTHA, PETROLEUM&lt;br /&gt;&amp;diams; PETROLEUM NAPHTHA&lt;br /&gt;&amp;diams; PETROLEUM, LIGHT</t>
  </si>
  <si>
    <t xml:space="preserve"> 977051-70-9</t>
  </si>
  <si>
    <t xml:space="preserve"> PETROLEUM WAX</t>
  </si>
  <si>
    <t xml:space="preserve"> &amp;diams; PETROLEUM WAX&lt;br /&gt;&amp;diams; WAX, PETROLEUM&lt;br /&gt;&amp;diams; REINFORCED WAX</t>
  </si>
  <si>
    <t xml:space="preserve"> MASTICATORY SUBSTANCE,&lt;br /&gt; SURFACE-ACTIVE AGENT,&lt;br /&gt; SURFACE-FINISHING AGENT</t>
  </si>
  <si>
    <t xml:space="preserve"> 977045-73-0</t>
  </si>
  <si>
    <t xml:space="preserve"> PETROLEUM WAX, SYNTHETIC</t>
  </si>
  <si>
    <t xml:space="preserve"> &amp;diams; PETROLEUM WAX, SYNTHETIC&lt;br /&gt;&amp;diams; PARAFFIN, SYNTHETIC&lt;br /&gt;&amp;diams; PARAFFIN WAX, SYNTHETIC&lt;br /&gt;&amp;diams; PLASTIC PARAFFIN&lt;br /&gt;&amp;diams; SYNTHETIC PARAFFIN&lt;br /&gt;&amp;diams; SYNTHETIC PARAFFIN WAX&lt;br /&gt;&amp;diams; SYNTHETIC PETROLEUM WAX&lt;br /&gt;&amp;diams; WAX, SYNTHETIC PARAFFIN</t>
  </si>
  <si>
    <t xml:space="preserve"> MASTICATORY SUBSTANCE,&lt;br /&gt; SURFACE-ACTIVE AGENT</t>
  </si>
  <si>
    <t xml:space="preserve"> 977165-85-7</t>
  </si>
  <si>
    <t xml:space="preserve"> PHAFFIA YEAST</t>
  </si>
  <si>
    <t xml:space="preserve"> &amp;diams; PHAFFIA YEAST&lt;br /&gt;&amp;diams; YEAST, PHAFFIA RHODOZYMA</t>
  </si>
  <si>
    <t xml:space="preserve"> 99-83-2</t>
  </si>
  <si>
    <t xml:space="preserve"> ALPHA-PHELLANDRENE</t>
  </si>
  <si>
    <t xml:space="preserve"> &amp;diams; ALPHA-PHELLANDRENE&lt;br /&gt;&amp;diams; P-MENTHA-1,5-DIENE&lt;br /&gt;&amp;diams; DIHYDRO-P-CYMENE&lt;br /&gt;&amp;diams; 2-METHYL-5-ISOPROPYL-1,3-CYCLOHEXADIENE&lt;br /&gt;&amp;diams; 1-METHYL-4-ISOPROPYL-1,5-CYCLOHEXADIENE&lt;br /&gt;&amp;diams; 1-ISOPROPYL-4-METHYL-2,4-CYCLOHEXADIENE&lt;br /&gt;&amp;diams; 1,3-CYCLOHEXADIENE, 2-METHYL-5-(1-METHYLETHYL)-&lt;br /&gt;&amp;diams; 2-METHYL-5-(1-METHYLETHYL)-1,3-CYCLOHEXADIENE&lt;br /&gt;&amp;diams; 5-ISOPROPYL-2-METHYL-1,3-CYCLOHEXADIENE&lt;br /&gt;&amp;diams; MENTHADIENE&lt;br /&gt;&amp;diams; 4-ISOPROPYL-1-METHYL-1,5-CYCLOHEXADIENE&lt;br /&gt;&amp;diams; PHELLANDRENE, ALPHA-</t>
  </si>
  <si>
    <t xml:space="preserve"> 103-45-7</t>
  </si>
  <si>
    <t xml:space="preserve"> PHENETHYL ACETATE</t>
  </si>
  <si>
    <t xml:space="preserve"> &amp;diams; PHENETHYL ACETATE&lt;br /&gt;&amp;diams; BENZYLCARBINYL ACETATE&lt;br /&gt;&amp;diams; PHENYLETHYL ACETATE&lt;br /&gt;&amp;diams; 2-PHENYLETHYL ACETATE&lt;br /&gt;&amp;diams; ACETIC ACID, 2-PHENYLETHYL ESTER&lt;br /&gt;&amp;diams; ACETIC ACID, PHENETHYL ESTER</t>
  </si>
  <si>
    <t xml:space="preserve"> 60-12-8</t>
  </si>
  <si>
    <t xml:space="preserve"> PHENETHYL ALCOHOL</t>
  </si>
  <si>
    <t xml:space="preserve"> &amp;diams; PHENETHYL ALCOHOL&lt;br /&gt;&amp;diams; BENZYLCARBINOL&lt;br /&gt;&amp;diams; PHENYLETHYL ALCOHOL&lt;br /&gt;&amp;diams; 2-HYDROXYETHYLBENZENE&lt;br /&gt;&amp;diams; BETA-PHENYLETHYL ALCOHOL&lt;br /&gt;&amp;diams; 2-PHENYLETHANOL&lt;br /&gt;&amp;diams; BENZYLMETHANOL&lt;br /&gt;&amp;diams; BENZENEETHANOL&lt;br /&gt;&amp;diams; 2-PHENYLETHYL ALCOHOL&lt;br /&gt;&amp;diams; 1-PHENYL-2-ETHANOL</t>
  </si>
  <si>
    <t xml:space="preserve"> 64-04-0</t>
  </si>
  <si>
    <t xml:space="preserve"> PHENETHYLAMINE</t>
  </si>
  <si>
    <t xml:space="preserve"> &amp;diams; PHENETHYLAMINE&lt;br /&gt;&amp;diams; BENZENEETHANAMINE&lt;br /&gt;&amp;diams; BETA-PHENYLETHYLAMINE&lt;br /&gt;&amp;diams; 1-AMINO-2-PHENYLETHANE&lt;br /&gt;&amp;diams; 2-AMINOETHYLBENZENE&lt;br /&gt;&amp;diams; 2-PHENYLETHYLAMINE</t>
  </si>
  <si>
    <t xml:space="preserve"> 133-18-6</t>
  </si>
  <si>
    <t xml:space="preserve"> PHENETHYL ANTHRANILATE</t>
  </si>
  <si>
    <t xml:space="preserve"> &amp;diams; PHENETHYL ANTHRANILATE&lt;br /&gt;&amp;diams; BENZOIC ACID, 2-AMINO-, 2-PHENYLETHYL ESTER&lt;br /&gt;&amp;diams; ANTHRANILIC ACID, PHENETHYL ESTER&lt;br /&gt;&amp;diams; BENZYLCARBINYL ANTHRANILATE&lt;br /&gt;&amp;diams; BETA-PHENETHYL O-AMINOBENZOATE&lt;br /&gt;&amp;diams; PHENYLETHYL ANTHRANILATE&lt;br /&gt;&amp;diams; 2-PHENYLETHYL ANTHRANILATE&lt;br /&gt;&amp;diams; 2-PHENYLETHYL 2-AMINOBENZOATE&lt;br /&gt;&amp;diams; 2-PHENYLETHYL O-AMINOBENZOATE</t>
  </si>
  <si>
    <t xml:space="preserve"> 94-47-3</t>
  </si>
  <si>
    <t xml:space="preserve"> PHENETHYL BENZOATE</t>
  </si>
  <si>
    <t xml:space="preserve"> &amp;diams; PHENETHYL BENZOATE&lt;br /&gt;&amp;diams; 2-PHENYLETHYL BENZOATE&lt;br /&gt;&amp;diams; BENZOIC ACID, 2-PHENYLETHYL ESTER&lt;br /&gt;&amp;diams; BENZOIC ACID, PHENETHYL ESTER&lt;br /&gt;&amp;diams; BENZYLCARBINYL BENZOATE&lt;br /&gt;&amp;diams; PHENYLETHYL BENZOATE&lt;br /&gt;&amp;diams; BETA-PHENYLETHYL BENZOATE&lt;br /&gt;&amp;diams; BETA-PHENETHYL BENZOATE</t>
  </si>
  <si>
    <t xml:space="preserve"> 103-52-6</t>
  </si>
  <si>
    <t xml:space="preserve"> PHENETHYL BUTYRATE</t>
  </si>
  <si>
    <t xml:space="preserve"> &amp;diams; PHENETHYL BUTYRATE&lt;br /&gt;&amp;diams; 2-PHENYLETHYL BUTYRATE&lt;br /&gt;&amp;diams; BENZYLCARBINYL BUTYRATE&lt;br /&gt;&amp;diams; PHENETHYL 2-METHYLPROPANOATE&lt;br /&gt;&amp;diams; BENZYLCARBINYL 2-METHYLPROPANOATE&lt;br /&gt;&amp;diams; BUTANOIC ACID, 2-PHENYLETHYL ESTER&lt;br /&gt;&amp;diams; 2-PHENYLETHYL BUTANOATE&lt;br /&gt;&amp;diams; BUTYRIC ACID, PHENETHYL ESTER&lt;br /&gt;&amp;diams; 2-PHENETHYL BUTANOATE&lt;br /&gt;&amp;diams; PHENETHYL BUTANOATE</t>
  </si>
  <si>
    <t xml:space="preserve"> 103-53-7</t>
  </si>
  <si>
    <t xml:space="preserve"> PHENETHYL CINNAMATE</t>
  </si>
  <si>
    <t xml:space="preserve"> &amp;diams; PHENETHYL CINNAMATE&lt;br /&gt;&amp;diams; 2-PHENYLETHYL CINNAMATE&lt;br /&gt;&amp;diams; BENZYLCARBINYL CINNAMATE&lt;br /&gt;&amp;diams; BETA-PHENETHYL BETA-PHENYLACRYLATE&lt;br /&gt;&amp;diams; BENZYLCARBINYL 3-PHENYLPROPENOATE&lt;br /&gt;&amp;diams; 2-PHENYLETHYL 3-PHENYLPROPENOATE&lt;br /&gt;&amp;diams; 2-PROPENOIC ACID, 3-PHENYL-, 2-PHENYLETHYL ESTER&lt;br /&gt;&amp;diams; CINNAMIC ACID, PHENETHYL ESTER&lt;br /&gt;&amp;diams; BETA-PHENYLETHYL CINNAMATE&lt;br /&gt;&amp;diams; BETA-PHENETHYL CINNAMATE&lt;br /&gt;&amp;diams; PHENYLETHYL CINNAMATE</t>
  </si>
  <si>
    <t xml:space="preserve"> 61810-55-7</t>
  </si>
  <si>
    <t xml:space="preserve"> PHENETHYL DECANOATE</t>
  </si>
  <si>
    <t xml:space="preserve"> &amp;diams; PHENETHYL DECANOATE&lt;br /&gt;&amp;diams; decanoic acid, 2-phenylethyl ester&lt;br /&gt;&amp;diams; 2-phenylethyl decanoate&lt;br /&gt;&amp;diams; phenethyl caprate&lt;br /&gt;&amp;diams; beta-phenethyl decanoate&lt;br /&gt;&amp;diams; InChI=1S/C18H28O2/c1-2-3-4-5-6-7-11-14-18(19)20-16-15-17-12-9-8-10-13-17/h8-10,12-13H,2-7,11,14-16H2,1H3&lt;br /&gt;&amp;diams; InChIKey: DDMQLUJPAGWJOB-UHFFFAOYSA-N</t>
  </si>
  <si>
    <t xml:space="preserve"> 104-62-1</t>
  </si>
  <si>
    <t xml:space="preserve"> PHENETHYL FORMATE</t>
  </si>
  <si>
    <t xml:space="preserve"> &amp;diams; PHENETHYL FORMATE&lt;br /&gt;&amp;diams; 2-PHENYLETHYL FORMATE&lt;br /&gt;&amp;diams; BENZYLCARBINYL FORMATE&lt;br /&gt;&amp;diams; BENZYLCARBINYL METHANOATE&lt;br /&gt;&amp;diams; 2-PHENETHYL METHANOATE&lt;br /&gt;&amp;diams; PHENYLETHYL FORMATE&lt;br /&gt;&amp;diams; FORMIC ACID, 2-PHENYLETHYL ESTER&lt;br /&gt;&amp;diams; PHENETHYL ALCOHOL, FORMATE&lt;br /&gt;&amp;diams; BETA-PHENYLETHYL FORMATE&lt;br /&gt;&amp;diams; BETA-PHENETHYL FORMATE&lt;br /&gt;&amp;diams; FORMIC ACID, PHENETHYL ESTER</t>
  </si>
  <si>
    <t xml:space="preserve"> 7149-32-8</t>
  </si>
  <si>
    <t xml:space="preserve"> PHENETHYL 2-FUROATE</t>
  </si>
  <si>
    <t xml:space="preserve"> &amp;diams; PHENETHYL 2-FUROATE&lt;br /&gt;&amp;diams; 2-PHENYLETHYL 2-FUROATE&lt;br /&gt;&amp;diams; BETA-PHENYLETHYL FUROATE&lt;br /&gt;&amp;diams; 2-FURANCARBOXYLIC ACID, 2-PHENYLETHYL ESTER&lt;br /&gt;&amp;diams; 2-PHENYLETHYL 2-FURANCARBOXYLATE</t>
  </si>
  <si>
    <t xml:space="preserve"> 6290-37-5</t>
  </si>
  <si>
    <t xml:space="preserve"> PHENETHYL HEXANOATE</t>
  </si>
  <si>
    <t xml:space="preserve"> &amp;diams; PHENETHYL HEXANOATE&lt;br /&gt;&amp;diams; 2-PHENYLETHYL CAPROATE&lt;br /&gt;&amp;diams; 2-PHENYLETHYL HEXANOATE&lt;br /&gt;&amp;diams; BENZYLCARBINYL CAPROATE&lt;br /&gt;&amp;diams; BENZYLCARBINYL HEXANOATE&lt;br /&gt;&amp;diams; 2-PHENETHYL HEXANOATE&lt;br /&gt;&amp;diams; HEXANOIC ACID, 2-PHENYLETHYL ESTER&lt;br /&gt;&amp;diams; HEXANOIC ACID, PHENETHYL ESTER</t>
  </si>
  <si>
    <t xml:space="preserve"> 103-48-0</t>
  </si>
  <si>
    <t xml:space="preserve"> PHENETHYL ISOBUTYRATE</t>
  </si>
  <si>
    <t xml:space="preserve"> &amp;diams; PHENETHYL ISOBUTYRATE&lt;br /&gt;&amp;diams; BENZYLCARBINYL ISOBUTYRATE&lt;br /&gt;&amp;diams; ISOBUTYRIC ACID, PHENETHYL ESTER&lt;br /&gt;&amp;diams; PROPANOIC ACID, 2-METHYL-, 2-PHENYLETHYL ESTER&lt;br /&gt;&amp;diams; PHENETHYL 2-METHYLPROPIONATE&lt;br /&gt;&amp;diams; 2-PHENYLETHYL ISOBUTYRATE&lt;br /&gt;&amp;diams; 2-PHENYLETHYL 2-METHYLPROPANOATE</t>
  </si>
  <si>
    <t xml:space="preserve"> 2257-09-2</t>
  </si>
  <si>
    <t xml:space="preserve"> PHENETHYL ISOTHIOCYANATE</t>
  </si>
  <si>
    <t xml:space="preserve"> &amp;diams; PHENETHYL ISOTHIOCYANATE&lt;br /&gt;&amp;diams; BENZENE, (2-ISOTHIOCYANATOETHYL)-&lt;br /&gt;&amp;diams; (2-ISOTHIOCYANATOETHYL)BENZENE&lt;br /&gt;&amp;diams; BETA-PHENETHYL ISOTHIOCYANATE&lt;br /&gt;&amp;diams; ISOTHIOCYANIC ACID, PHENETHYL ESTER&lt;br /&gt;&amp;diams; PHENYLETHYL MUSTARD OIL&lt;br /&gt;&amp;diams; 2-PHENYLETHYL ISOTHIOCYANATE&lt;br /&gt;&amp;diams; 1-ISOTHIOCYANATO-2-PHENYLETHANE</t>
  </si>
  <si>
    <t xml:space="preserve"> 140-26-1</t>
  </si>
  <si>
    <t xml:space="preserve"> PHENETHYL ISOVALERATE</t>
  </si>
  <si>
    <t xml:space="preserve"> &amp;diams; PHENETHYL ISOVALERATE&lt;br /&gt;&amp;diams; BENZYLCARBINYL ISOVALERATE&lt;br /&gt;&amp;diams; BENZYLCARBINYL 3-METHYLBUTANOATE&lt;br /&gt;&amp;diams; BENZYLCARBINYL ISOPENTANOATE&lt;br /&gt;&amp;diams; BUTANOIC ACID, 3-METHYL-, 2-PHENYLETHYL ESTER&lt;br /&gt;&amp;diams; BETA-PHENETHYL ISOVALERATE&lt;br /&gt;&amp;diams; ISOVALERIC ACID, PHENETHYL ESTER&lt;br /&gt;&amp;diams; PHENETHYL 3-METHYLBUTYRATE&lt;br /&gt;&amp;diams; PHENETHYL ISOVALERIANATE&lt;br /&gt;&amp;diams; PHENYLETHYL 3-METHYLBUTYRATE&lt;br /&gt;&amp;diams; 2-PHENYLETHYL 3-METHYLBUTANOATE&lt;br /&gt;&amp;diams; 2-PHENYLETHYL ISOVALERATE</t>
  </si>
  <si>
    <t xml:space="preserve"> 24817-51-4</t>
  </si>
  <si>
    <t xml:space="preserve"> PHENETHYL 2-METHYLBUTYRATE</t>
  </si>
  <si>
    <t xml:space="preserve"> &amp;diams; PHENETHYL 2-METHYLBUTYRATE&lt;br /&gt;&amp;diams; BENZYLCARBINYL 2-METHYLBUTYRATE&lt;br /&gt;&amp;diams; BETA-PHENETHYL ALPHA-METHYLBUTANOATE&lt;br /&gt;&amp;diams; BUTANOIC ACID, 2-METHYL-, 2-PHENYLETHYL ESTER&lt;br /&gt;&amp;diams; BUTYRIC ACID, 2-METHYL-, PHENETHYL ESTER&lt;br /&gt;&amp;diams; PHENYLETHYL 2-METHYLBUTYRATE&lt;br /&gt;&amp;diams; 2-PHENYLETHYL 2-METHYLBUTANOATE</t>
  </si>
  <si>
    <t xml:space="preserve"> 5457-70-5</t>
  </si>
  <si>
    <t xml:space="preserve"> PHENETHYL OCTANOATE</t>
  </si>
  <si>
    <t xml:space="preserve"> &amp;diams; PHENETHYL OCTANOATE&lt;br /&gt;&amp;diams; 2-PHENYLETHYL OCTANOATE&lt;br /&gt;&amp;diams; BENZYLCARBINYL OCTANOATE&lt;br /&gt;&amp;diams; 2-PHENYLETHYL CAPRYLATE&lt;br /&gt;&amp;diams; OCTANOIC ACID, 2-PHENYLETHYL ESTER&lt;br /&gt;&amp;diams; OCTANOIC ACID, PHENETHYL ESTER&lt;br /&gt;&amp;diams; 2-PHENETHYL OCTANOATE&lt;br /&gt;&amp;diams; PHENYLETHYL CAPRYLATE&lt;br /&gt;&amp;diams; BETA-PHENYLETHYL OCTANOATE</t>
  </si>
  <si>
    <t xml:space="preserve"> 102-20-5</t>
  </si>
  <si>
    <t xml:space="preserve"> PHENETHYL PHENYLACETATE</t>
  </si>
  <si>
    <t xml:space="preserve"> &amp;diams; PHENETHYL PHENYLACETATE&lt;br /&gt;&amp;diams; BENZYLCARBINYL ALPHA-TOLUATE&lt;br /&gt;&amp;diams; BENZYLCARBINYL PHENYLACETATE&lt;br /&gt;&amp;diams; BENZENEACETIC ACID, 2-PHENYLETHYL ESTER&lt;br /&gt;&amp;diams; ACETIC ACID, PHENYL-, PHENETHYL ESTER&lt;br /&gt;&amp;diams; BETA-PHENYLETHYL PHENYLACETATE&lt;br /&gt;&amp;diams; PHENYLETHYL PHENYLACETATE&lt;br /&gt;&amp;diams; 2-PHENYLETHYL PHENYLACETATE&lt;br /&gt;&amp;diams; 2-PHENYLETHYL ALPHA-TOLUATE&lt;br /&gt;&amp;diams; 2-PHENYLETHYL BENZENEACETATE</t>
  </si>
  <si>
    <t xml:space="preserve"> 122-70-3</t>
  </si>
  <si>
    <t xml:space="preserve"> PHENETHYL PROPIONATE</t>
  </si>
  <si>
    <t xml:space="preserve"> &amp;diams; PHENETHYL PROPIONATE&lt;br /&gt;&amp;diams; PHENYLETHYL PROPIONATE&lt;br /&gt;&amp;diams; 2-PHENYLETHYL PROPIONATE&lt;br /&gt;&amp;diams; BENZYLCARBINYL PROPIONATE&lt;br /&gt;&amp;diams; 2-PHENYLETHYL PROPANOATE&lt;br /&gt;&amp;diams; PROPANOIC ACID, 2-PHENYLETHYL ESTER&lt;br /&gt;&amp;diams; PROPIONIC ACID, PHENETHYL ESTER&lt;br /&gt;&amp;diams; 2-PHENETHYL PROPIONATE&lt;br /&gt;&amp;diams; BETA-PHENYLETHYL PROPIONATE&lt;br /&gt;&amp;diams; PHENETHYL POPANOATE</t>
  </si>
  <si>
    <t xml:space="preserve"> 87-22-9</t>
  </si>
  <si>
    <t xml:space="preserve"> PHENETHYL SALICYLATE</t>
  </si>
  <si>
    <t xml:space="preserve"> &amp;diams; PHENETHYL SALICYLATE&lt;br /&gt;&amp;diams; 2-PHENYLETHYL SALICYLATE&lt;br /&gt;&amp;diams; 2-PHENYLETHYL 2-HYDROXYBENZOATE&lt;br /&gt;&amp;diams; BENZYLCARBINYL 2-HYDROXYBENZOATE&lt;br /&gt;&amp;diams; BENZYLCARBINYL SALICYLATE&lt;br /&gt;&amp;diams; BENZOIC ACID, 2-HYDROXY-, 2-PHENYLETHYL&lt;br /&gt;&amp;diams; SALICYLIC ACID, PHENETHYL ESTER</t>
  </si>
  <si>
    <t xml:space="preserve"> 42078-65-9</t>
  </si>
  <si>
    <t xml:space="preserve"> PHENETHYL SENECIOATE</t>
  </si>
  <si>
    <t xml:space="preserve"> &amp;diams; PHENETHYL SENECIOATE&lt;br /&gt;&amp;diams; 2-PHENYLETHYL SENECIOATE&lt;br /&gt;&amp;diams; 2-PHENYLETHYL 3-METHYL-2-BUTENOATE&lt;br /&gt;&amp;diams; PHENETHYL 3,3-DIMETHYLACRYLATE&lt;br /&gt;&amp;diams; PHENETHYL 3-METHYLCROTONATE&lt;br /&gt;&amp;diams; 2-BUTENOIC ACID, 3-METHYL-, 2-PHENETHYL ESTER&lt;br /&gt;&amp;diams; PHENYLETHYL BETA,BETA-DIMETHYLACRYLATE&lt;br /&gt;&amp;diams; PHENYLETHYL DIMETHYLACRYLATE</t>
  </si>
  <si>
    <t xml:space="preserve"> 55719-85-2</t>
  </si>
  <si>
    <t xml:space="preserve"> PHENETHYL TIGLATE</t>
  </si>
  <si>
    <t xml:space="preserve"> &amp;diams; PHENETHYL TIGLATE&lt;br /&gt;&amp;diams; 2-PHENYLETHYL TIGLATE&lt;br /&gt;&amp;diams; 2-PHENYLETHYL TRANS-2-METHYLBUTENOATE&lt;br /&gt;&amp;diams; BENZYLCARBINYL TIGLATE&lt;br /&gt;&amp;diams; 2-PHENYLETHYL TRANS-2,3-DIMETHYLACRYLATE&lt;br /&gt;&amp;diams; 2-BUTENOIC ACID, 2-METHYL-, 2-PHENYLETHYL ESTER, (E)-&lt;br /&gt;&amp;diams; 2-PHENYLETHYL 2-METHYL-2-BUTENOATE, (E)-&lt;br /&gt;&amp;diams; BETA-PHENYLETHYL TIGLATE</t>
  </si>
  <si>
    <t xml:space="preserve"> 108-95-2</t>
  </si>
  <si>
    <t xml:space="preserve"> PHENOL</t>
  </si>
  <si>
    <t xml:space="preserve"> &amp;diams; PHENOL&lt;br /&gt;&amp;diams; CARBOLIC ACID&lt;br /&gt;&amp;diams; HYDROXYBENZENE</t>
  </si>
  <si>
    <t xml:space="preserve"> 27233-92-7</t>
  </si>
  <si>
    <t xml:space="preserve"> PHENOL-FORMALDEHYDE, CROSS-LINKED, TETRAETHYLENEPENTAMINE ACTIVATED</t>
  </si>
  <si>
    <t xml:space="preserve"> &amp;diams; POLY(FORMALDEHYDE-CO-PHENOL-CO-TETRAETHYLENEPENTAMINE)&lt;br /&gt;&amp;diams; FORMALDEHYDE-PHENOL-TETRAETHYLENEPENTAMINE COPOLYMER&lt;br /&gt;&amp;diams; FORMALDEHYDE, POLYMER WITH N-(2-AMINOETHYL)-N'-(2-((2-AMINOETHYL)AMINO)ETHYL)-1,2-ETHANEDIAMINE AND PHENOL&lt;br /&gt;&amp;diams; PHENOL-FORMALDEHYDE, CROSS-LINKED, TETRAETHYLENEPENTAMINE ACTIVATED&lt;br /&gt;&amp;diams; PHENOL CONDENSATION PRODUCTS, WITH FORMALDEHYDE AND TETRAETHYLENEPENTAMINE&lt;br /&gt;&amp;diams; POLY(FORMALDEHYDE-CO-PHENOL), CROSS-LINKED, ACTIVATED WITH TETRAETHYLENEPENTAMINE&lt;br /&gt;&amp;diams; POLY(FORMALDEHYDE-CO-N-(2-AMINOETHYL)-N'-(2-((2-AMINOETHYL)AMINO)ETHYL)-1,2-ETHANEDIAMINE-CO-PHENOL)</t>
  </si>
  <si>
    <t xml:space="preserve"> 32610-77-8</t>
  </si>
  <si>
    <t xml:space="preserve"> PHENOL-FORMALDEHYDE, CROSS-LINKED, TRIETHYLENETETRAMINE ACTIVATED</t>
  </si>
  <si>
    <t xml:space="preserve"> &amp;diams; POLY(FORMALDEHYDE-CO-PHENOL-CO-TRIETHYLENETETRAMINE)&lt;br /&gt;&amp;diams; FORMALDEHYDE-PHENOL-TRIETHYLENETETRAMINE COPOLYMER&lt;br /&gt;&amp;diams; FORMALDEHYDE, POLYMER WITH N,N'-BIS(2-AMINOETHYL)-1,2-ETHANEDIAMINE AND PHENOL&lt;br /&gt;&amp;diams; PHENOL CONDENSATION PRODUCTS, WITH FORMALDEHYDE AND TRIETHYLENETETRAMINE&lt;br /&gt;&amp;diams; PHENOL-FORMALDEHYDE, CROSS-LINKED, TRIETHYLENETETRAMINE ACTIVATED&lt;br /&gt;&amp;diams; POLY(FORMALDEHYDE-CO-PHENOL), CROSS-LINKED, ACTIVATED WITH TRIETHYLENETETRAMINE&lt;br /&gt;&amp;diams; POLY(FORMALDEHYDE-CO-N,N'-BIS(2-AMINOETHYL)-1,2-ETHANEDIAMINE-CO-PHENOL)</t>
  </si>
  <si>
    <t xml:space="preserve"> 977083-15-0</t>
  </si>
  <si>
    <t xml:space="preserve"> PHENOL-FORMALDEHYDE, CROSS-LINKED, TRIETHYLENETETRAMINE &amp; TETRAETHYLENEPENTAMINE ACTIVATED</t>
  </si>
  <si>
    <t xml:space="preserve"> &amp;diams; POLY(FORMALDEHYDE-CO-PHENOL), CROSS-LINKED, ACTIVATED WITH TETRAETHYLENEPENTAMINE/TRIETHYLENETETRAMINE&lt;br /&gt;&amp;diams; PHENOL-FORMALDEHYDE, CROSS-LINKED, TRIETHYLENETETRAMINE/TETRAETHYLENEPENTAMINE ACTIVATED</t>
  </si>
  <si>
    <t xml:space="preserve"> 977083-16-1</t>
  </si>
  <si>
    <t xml:space="preserve"> PHENOL-FORMALDEHYDE, SULFITE-MODIFIED, CROSS-LINKED</t>
  </si>
  <si>
    <t xml:space="preserve"> &amp;diams; POLY(FORMALDEHYDE-CO-PHENOL), CROSS-LINKED, SULFITE-MODIFIED&lt;br /&gt;&amp;diams; PHENOL-FORMALDEHYDE, SULFITE-MODIFIED, CROSS-LINKED</t>
  </si>
  <si>
    <t xml:space="preserve"> 122-59-8</t>
  </si>
  <si>
    <t xml:space="preserve"> PHENOXYACETIC ACID</t>
  </si>
  <si>
    <t xml:space="preserve"> &amp;diams; PHENOXYACETIC ACID&lt;br /&gt;&amp;diams; GLYCOL ACID PHENYL ETHER&lt;br /&gt;&amp;diams; PHENYLGLYCOLIC ACID, O-&lt;br /&gt;&amp;diams; POA&lt;br /&gt;&amp;diams; ACETIC ACID, PHENOXY-&lt;br /&gt;&amp;diams; PHENOXYETHANOIC ACID</t>
  </si>
  <si>
    <t xml:space="preserve"> 103-60-6</t>
  </si>
  <si>
    <t xml:space="preserve"> 2-PHENOXYETHYL ISOBUTYRATE</t>
  </si>
  <si>
    <t xml:space="preserve"> &amp;diams; ETHYLENE GLYCOL MONOPHENYL ETHER ISOBUTYRATE&lt;br /&gt;&amp;diams; ISOBUTYRIC ACID, 2-PHENOXYETHYL ESTER&lt;br /&gt;&amp;diams; PHENOXYETHYL ISOBUTYRATE&lt;br /&gt;&amp;diams; PROPANOIC ACID, 2-METHYL-, 2-PHENOXYETHYL ESTER&lt;br /&gt;&amp;diams; 2-PHENOXYETHYL 2-METHYLPROPANOATE&lt;br /&gt;&amp;diams; 2-PHENOXYETHYL ISOBUTYRATE</t>
  </si>
  <si>
    <t xml:space="preserve"> 23495-12-7</t>
  </si>
  <si>
    <t xml:space="preserve"> 2-PHENOXYETHYL PROPIONATE</t>
  </si>
  <si>
    <t xml:space="preserve"> &amp;diams; 2-PHENOXYETHYL PROPIONATE&lt;br /&gt;&amp;diams; ethanol, 2-phenoxy-, 1-propanoate&lt;br /&gt;&amp;diams; 2-phenoxyethyl 1-propanoate&lt;br /&gt;&amp;diams; ethanol, 2-phenoxy-, propanoate&lt;br /&gt;&amp;diams; 2-phenoxyethyl propanoate&lt;br /&gt;&amp;diams; ethanol, 2-phenoxy-, propionate</t>
  </si>
  <si>
    <t xml:space="preserve"> 122-78-1</t>
  </si>
  <si>
    <t xml:space="preserve"> PHENYLACETALDEHYDE</t>
  </si>
  <si>
    <t xml:space="preserve"> &amp;diams; PHENYLACETALDEHYDE&lt;br /&gt;&amp;diams; HYACINTHIN&lt;br /&gt;&amp;diams; ALPHA-TOLUALDEHYDE&lt;br /&gt;&amp;diams; TOLUIC ALDEHYDE, ALPHA-&lt;br /&gt;&amp;diams; BENZYLCARBOXALDEHYDE&lt;br /&gt;&amp;diams; ALPHA-TOLUIC ALDEHYDE&lt;br /&gt;&amp;diams; PHENYLACETIC ALDEHYDE&lt;br /&gt;&amp;diams; 1-OXO-2-PHENYLETHANE&lt;br /&gt;&amp;diams; BENZENEACETALDEHYDE&lt;br /&gt;&amp;diams; ACETALDEHYDE, PHENYL-&lt;br /&gt;&amp;diams; PHENYLETHANAL&lt;br /&gt;&amp;diams; OXOPHENYLETHANE</t>
  </si>
  <si>
    <t xml:space="preserve"> 5468-06-4</t>
  </si>
  <si>
    <t xml:space="preserve"> PHENYLACETALDEHYDE 2,3-BUTYLENE GLYCOL ACETAL</t>
  </si>
  <si>
    <t xml:space="preserve"> &amp;diams; PHENYLACETALDEHYDE 2,3-BUTYLENE GLYCOL ACETAL&lt;br /&gt;&amp;diams; 2-BENZYL-4,5-DIMETHYL-1,3-DIOXOLANE&lt;br /&gt;&amp;diams; 1,3-DIOXOLANE, 4,5-DIMETHYL-2-(PHENYLMETHYL)-&lt;br /&gt;&amp;diams; 4,5-DIMETHYL-2-(PHENYLMETHYL)-1,3-DIOXOLANE&lt;br /&gt;&amp;diams; 4,5-DIMETHYL-2-BENZYL-1,3-DIOXOLANE</t>
  </si>
  <si>
    <t xml:space="preserve"> 6314-97-2</t>
  </si>
  <si>
    <t xml:space="preserve"> PHENYLACETALDEHYDE DIETHYL ACETAL</t>
  </si>
  <si>
    <t xml:space="preserve"> &amp;diams; PHENYLACETALDEHYDE DIETHYL ACETAL&lt;br /&gt;&amp;diams; benzene, (2,2-diethoxyethyl)-&lt;br /&gt;&amp;diams; (2,2-diethyoxyethyl)benzene&lt;br /&gt;&amp;diams; acetaldehyde, phenyl-, diethyl acetal&lt;br /&gt;&amp;diams; 1,1-diethoxy-2-phenylethane</t>
  </si>
  <si>
    <t xml:space="preserve"> 68345-22-2</t>
  </si>
  <si>
    <t xml:space="preserve"> PHENYLACETALDEHYDE DIISOBUTYL ACETAL</t>
  </si>
  <si>
    <t xml:space="preserve"> &amp;diams; PHENYLACETALDEHYDE DIISOBUTYL ACETAL&lt;br /&gt;&amp;diams; BENZENE, (2,2-BIS(2-METHYLPROPOXY)ETHYL)-&lt;br /&gt;&amp;diams; (2,2-BIS(2-METHYLPROPOXY)ETHYL)BENZENE&lt;br /&gt;&amp;diams; 1,1-DIISOBUTOXY-2-PHENYLETHANE</t>
  </si>
  <si>
    <t xml:space="preserve"> 101-48-4</t>
  </si>
  <si>
    <t xml:space="preserve"> PHENYLACETALDEHYDE DIMETHYL ACETAL</t>
  </si>
  <si>
    <t xml:space="preserve"> &amp;diams; PHENYLACETALDEHYDE DIMETHYL ACETAL&lt;br /&gt;&amp;diams; BENZENE, (2,2-DIMETHOXYETHYL)-&lt;br /&gt;&amp;diams; (2,2-DIMETHOXYETHYL)BENZENE&lt;br /&gt;&amp;diams; ACETALDEHYDE, PHENYL-, DIMETHYL ACETAL&lt;br /&gt;&amp;diams; ALPHA-TOLYLALDEHYDE DIMETHYL ACETAL&lt;br /&gt;&amp;diams; PADMA&lt;br /&gt;&amp;diams; 1,1-DIMETHOXY-2-PHENYLETHANE&lt;br /&gt;&amp;diams; 2,2-DIMETHOXY-1-PHENYLETHANE&lt;br /&gt;&amp;diams; 2-PHENYLACETALDEHYDE DIMETHYL ACETAL</t>
  </si>
  <si>
    <t xml:space="preserve"> 29895-73-6</t>
  </si>
  <si>
    <t xml:space="preserve"> PHENYLACETALDEHYDE GLYCERYL ACETAL</t>
  </si>
  <si>
    <t xml:space="preserve"> &amp;diams; PHENYLACETALDEHYDE GLYCERYL ACETAL&lt;br /&gt;&amp;diams; BENZENEACETALDEHYDE, CYCLIC ACETAL WITH 1,2,3-PROPANETRIOL&lt;br /&gt;&amp;diams; BENZENEACETALDEHYDE 1,2,3-PROPANETRIOL CYCLIC ACETAL&lt;br /&gt;&amp;diams; ACETALDEHYDE, PHENYL-, CYCLIC ACETAL WITH GLYCEROL&lt;br /&gt;&amp;diams; 5-HYDROXY-2-BENZYL-1,3-DIOXAN&lt;br /&gt;&amp;diams; 5-HYDROXYMETHYL-2-BENZYL-1,3-DIOXOLANE</t>
  </si>
  <si>
    <t xml:space="preserve"> 5468-05-3</t>
  </si>
  <si>
    <t xml:space="preserve"> PHENYLACETALDEHYDE PROPYLENEGLYCOL ACETAL</t>
  </si>
  <si>
    <t xml:space="preserve"> &amp;diams; PHENYLACETALDEHYDE PROPYLENE GLYCOL ACETAL&lt;br /&gt;&amp;diams; 1,3-dioxolane, 4-methyl-2-(phenylmethyl)-&lt;br /&gt;&amp;diams; 4-methyl-2-(phenylmethyl)-1,3-dioxolane&lt;br /&gt;&amp;diams; 2-benzyl-4-methyl-1,3-dioxolane</t>
  </si>
  <si>
    <t xml:space="preserve"> 122-79-2</t>
  </si>
  <si>
    <t xml:space="preserve"> PHENYL ACETATE</t>
  </si>
  <si>
    <t xml:space="preserve"> &amp;diams; PHENYL ACETATE&lt;br /&gt;&amp;diams; PHENOL ACETATE&lt;br /&gt;&amp;diams; ACETIC ACID, PHENYL ESTER&lt;br /&gt;&amp;diams; ACETOXYBENZENE&lt;br /&gt;&amp;diams; (ACETYLOXY)BENZENE</t>
  </si>
  <si>
    <t xml:space="preserve"> 103-82-2</t>
  </si>
  <si>
    <t xml:space="preserve"> PHENYLACETIC ACID</t>
  </si>
  <si>
    <t xml:space="preserve"> &amp;diams; PHENYLACETIC ACID&lt;br /&gt;&amp;diams; BENZYLCARBOXYLIC ACID&lt;br /&gt;&amp;diams; BENZENEACETIC ACID&lt;br /&gt;&amp;diams; ALPHA-TOLUIC ACID&lt;br /&gt;&amp;diams; ACETIC ACID, PHENYL-&lt;br /&gt;&amp;diams; OMEGA-PHENYLACETIC ACID&lt;br /&gt;&amp;diams; 2-PHENYLACETIC ACID&lt;br /&gt;&amp;diams; PHENYLETHANOIC ACID</t>
  </si>
  <si>
    <t xml:space="preserve"> 150-30-1</t>
  </si>
  <si>
    <t xml:space="preserve"> DL-PHENYLALANINE</t>
  </si>
  <si>
    <t xml:space="preserve"> &amp;diams; PHENYLALANINE, DL-&lt;br /&gt;&amp;diams; ALPHA-AMINO-BETA-PHENYLPROPIONIC ACID, DL-&lt;br /&gt;&amp;diams; ALPHA-AMINOHYDROCINNAMIC ACID, DL-&lt;br /&gt;&amp;diams; DL-PHENYLALANINE&lt;br /&gt;&amp;diams; ALANINE, PHENYL-, DL-&lt;br /&gt;&amp;diams; BETA-PHENYL-ALPHA-ALANINE, DL-&lt;br /&gt;&amp;diams; BETA-PHENYLALANINE, DL-&lt;br /&gt;&amp;diams; PHENYLALANINE, (+-)-&lt;br /&gt;&amp;diams; 3-PHENYLALANINE, DL-&lt;br /&gt;&amp;diams; BETA-PHENYL-ALPHA-ALANINE, (+-)-&lt;br /&gt;&amp;diams; 2-AMINO-3-PHENYLPROPIONIC ACID, DL-</t>
  </si>
  <si>
    <t xml:space="preserve"> 63-91-2</t>
  </si>
  <si>
    <t xml:space="preserve"> L-PHENYLALANINE</t>
  </si>
  <si>
    <t xml:space="preserve"> &amp;diams; PHENYLALANINE, L-&lt;br /&gt;&amp;diams; L-PHENYLALANINE&lt;br /&gt;&amp;diams; ALANINE, PHENYL-, L-&lt;br /&gt;&amp;diams; PHENYLALANINE, (S)-&lt;br /&gt;&amp;diams; ALPHA-AMINOHYDROCINNAMIC ACID, L-&lt;br /&gt;&amp;diams; ALPHA-AMINO-BETA-PHENYLPROPIONIC ACID, L-&lt;br /&gt;&amp;diams; BETA-PHENYLALANINE, L-&lt;br /&gt;&amp;diams; 2-AMINO-3-PHENYLPROPIONIC ACID, L-&lt;br /&gt;&amp;diams; BETA-PHENYL-ALPHA-ALANINE, L-&lt;br /&gt;&amp;diams; BETA-PHENYLALNINE, (-)-&lt;br /&gt;&amp;diams; 3-PHENYLALANINE, L-</t>
  </si>
  <si>
    <t xml:space="preserve"> 2344-70-9</t>
  </si>
  <si>
    <t xml:space="preserve"> 4-PHENYL-2-BUTANOL</t>
  </si>
  <si>
    <t xml:space="preserve"> &amp;diams; 4-PHENYL-2-BUTANOL&lt;br /&gt;&amp;diams; ALPHA-METHYLBENZENEPROPANOL&lt;br /&gt;&amp;diams; 1-PHENYL-3-BUTANOL&lt;br /&gt;&amp;diams; METHYL PHENETHYL CARBINOL&lt;br /&gt;&amp;diams; PHENYLETHYL METHYL CARBINOL&lt;br /&gt;&amp;diams; METHYL 2-PHENYLETHYL CARBINOL&lt;br /&gt;&amp;diams; BENZENEPROPANOL, ALPHA-METHYL-&lt;br /&gt;&amp;diams; 2-BUTANOL, 4-PHENYL-&lt;br /&gt;&amp;diams; 2-HYDROXY-4-PHENYLBUTANE</t>
  </si>
  <si>
    <t xml:space="preserve"> 4411-89-6</t>
  </si>
  <si>
    <t xml:space="preserve"> 2-PHENYL-2-BUTENAL</t>
  </si>
  <si>
    <t xml:space="preserve"> &amp;diams; 2-PHENYL-2-BUTENAL&lt;br /&gt;&amp;diams; ALPHA-ETHYLIDENEBENZENEACETALDEHYDE&lt;br /&gt;&amp;diams; 2-PHENYLCROTONALDEHYDE&lt;br /&gt;&amp;diams; BENZENEACETALDEHYDE, ALPHA-ETHYLIDENE-&lt;br /&gt;&amp;diams; CROTONALDEHYDE, 2-PHENYL-&lt;br /&gt;&amp;diams; ALPHA-PHENYLCROTONALDEHYDE</t>
  </si>
  <si>
    <t xml:space="preserve"> 17488-65-2</t>
  </si>
  <si>
    <t xml:space="preserve"> 4-PHENYL-3-BUTEN-2-OL</t>
  </si>
  <si>
    <t xml:space="preserve"> &amp;diams; 4-PHENYL-3-BUTEN-2-OL&lt;br /&gt;&amp;diams; METHYL STYRYL CARBINOL&lt;br /&gt;&amp;diams; 3-BUTEN-2-OL, 4-PHENYL-</t>
  </si>
  <si>
    <t xml:space="preserve"> 122-57-6</t>
  </si>
  <si>
    <t xml:space="preserve"> 4-PHENYL-3-BUTEN-2-ONE</t>
  </si>
  <si>
    <t xml:space="preserve"> &amp;diams; 4-PHENYL-3-BUTEN-2-ONE&lt;br /&gt;&amp;diams; BENZALACETONE&lt;br /&gt;&amp;diams; BENZILIDENEACETONE&lt;br /&gt;&amp;diams; BENZILIDENE ACETONE&lt;br /&gt;&amp;diams; METHYL STYRYL KETONE&lt;br /&gt;&amp;diams; METHYL BETA-STYRYL KETONE&lt;br /&gt;&amp;diams; METHYL 2-PHENYLVINYL KETONE&lt;br /&gt;&amp;diams; STYRYL METHYL KETONE&lt;br /&gt;&amp;diams; 3-BUTEN-2-ONE, 4-PHENYL-&lt;br /&gt;&amp;diams; 2-PHENYLVINYL METHYL KETONE&lt;br /&gt;&amp;diams; 4-PHENYLBUTENONE&lt;br /&gt;&amp;diams; 4-PHENYL-3-BUTENE-2-ONE</t>
  </si>
  <si>
    <t xml:space="preserve"> 10415-88-0</t>
  </si>
  <si>
    <t xml:space="preserve"> 4-PHENYL-2-BUTYL ACETATE</t>
  </si>
  <si>
    <t xml:space="preserve"> &amp;diams; 4-PHENYL-2-BUTYL ACETATE&lt;br /&gt;&amp;diams; BENZENEPROPANOL, ALPHA-METHYL-, ACETATE&lt;br /&gt;&amp;diams; ALPHA-METHYLBENZENEPROPYL ACETATE&lt;br /&gt;&amp;diams; PHENYLETHYL METHYL CARBINYL ACETATE&lt;br /&gt;&amp;diams; 2-BUTANOL, 4-PHENYL-, ACETATE&lt;br /&gt;&amp;diams; 1-PHENYL-3-ACETOXYBUTANE</t>
  </si>
  <si>
    <t xml:space="preserve"> 4346-18-3</t>
  </si>
  <si>
    <t xml:space="preserve"> PHENYL BUTYRATE</t>
  </si>
  <si>
    <t xml:space="preserve"> &amp;diams; PHENYL BUTYRATE&lt;br /&gt;&amp;diams; butanoic acid, phenyl ester&lt;br /&gt;&amp;diams; phenyl butanoate&lt;br /&gt;&amp;diams; butyric acid, phenyl ester</t>
  </si>
  <si>
    <t xml:space="preserve"> 50626-02-3</t>
  </si>
  <si>
    <t xml:space="preserve"> 2-PHENYL-3-CARBETHOXY FURAN</t>
  </si>
  <si>
    <t xml:space="preserve"> &amp;diams; ETHYL 2-PHENYL-3-FUROATE&lt;br /&gt;&amp;diams; ETHYL 2-PHENYL-3-FURANCARBOXYLATE&lt;br /&gt;&amp;diams; 2-PHENYL-3-CARBETHOXYFURAN&lt;br /&gt;&amp;diams; 3-FURANCARBOXYLIC ACID, 2-PHENYL-, ETHYL ESTER</t>
  </si>
  <si>
    <t xml:space="preserve"> 882-33-7</t>
  </si>
  <si>
    <t xml:space="preserve"> PHENYL DISULFIDE</t>
  </si>
  <si>
    <t xml:space="preserve"> &amp;diams; DIPHENYL DISULFIDE&lt;br /&gt;&amp;diams; PHENYL DISULFIDE&lt;br /&gt;&amp;diams; PHENYLDITHIOBENZENE&lt;br /&gt;&amp;diams; BIPHENYL DISULFIDE&lt;br /&gt;&amp;diams; DISULFIDE, DIPHENYL&lt;br /&gt;&amp;diams; DIPHENYL DISULPHIDE</t>
  </si>
  <si>
    <t xml:space="preserve"> 6263-65-6</t>
  </si>
  <si>
    <t xml:space="preserve"> (+/-)-1-PHENYLETHYLMERCAPTAN</t>
  </si>
  <si>
    <t xml:space="preserve"> &amp;diams; 1-PHENYLETHANETHIOL&lt;br /&gt;&amp;diams; benzenemethanethiol, alpha-methyl-&lt;br /&gt;&amp;diams; alpha-methylbenzenemethanethiol&lt;br /&gt;&amp;diams; alpha-toluenethiol, alpha-methyl-&lt;br /&gt;&amp;diams; alpha-methyl-alpha-toluenethiol&lt;br /&gt;&amp;diams; 1-phenylethyl mercaptan, (+-)-&lt;br /&gt;&amp;diams; alpha-methylbenzyl mercaptan&lt;br /&gt;&amp;diams; 1-phenylethylthiol</t>
  </si>
  <si>
    <t xml:space="preserve"> 4410-99-5</t>
  </si>
  <si>
    <t xml:space="preserve"> PHENYLETHYL MERCAPTAN</t>
  </si>
  <si>
    <t xml:space="preserve"> &amp;diams; 2-PHENYLETHANETHIOL&lt;br /&gt;&amp;diams; BENZENEETHANETHIOL&lt;br /&gt;&amp;diams; ETHANETHIOL, 2-PHENYL-&lt;br /&gt;&amp;diams; 2-PHENYLETHYL MERCAPTAN&lt;br /&gt;&amp;diams; BETA-PHENYLETHYL MERCAPTAN&lt;br /&gt;&amp;diams; 2-PHENETHYLTHIOL&lt;br /&gt;&amp;diams; PHENYLETHYL MERCAPTAN</t>
  </si>
  <si>
    <t xml:space="preserve"> 26643-92-5</t>
  </si>
  <si>
    <t xml:space="preserve"> (+/-)-2-PHENYL-4-METHYL-2-HEXENAL</t>
  </si>
  <si>
    <t xml:space="preserve"> &amp;diams; 4-METHYL-2-PHENYL-2-HEXENAL&lt;br /&gt;&amp;diams; benzeneacetaldehyde, alpha-(2-methylbutylidene)-&lt;br /&gt;&amp;diams; 2-hexenal, 4-methyl-2-phenyl-&lt;br /&gt;&amp;diams; alpha-(2-methylbutylidene)benzeneacetaldehyde&lt;br /&gt;&amp;diams; 2-phenyl-4-methyl-2-hexenal&lt;br /&gt;&amp;diams; InChI=1S/C13H16O/c1-3-11(2)9-13(10-14)12-7-5-4-6-8-12/h4-11H,3H2,1-2H3/b13-9-&lt;br /&gt;&amp;diams; InChiKey=IOIWDGZFMUCYJR-LCYFTJDESA-N</t>
  </si>
  <si>
    <t xml:space="preserve"> 10415-87-9</t>
  </si>
  <si>
    <t xml:space="preserve"> 1-PHENYL-3-METHYL-3-PENTANOL</t>
  </si>
  <si>
    <t xml:space="preserve"> &amp;diams; 3-METHYL-1-PHENYL-3-PENTANOL&lt;br /&gt;&amp;diams; BENZENEPROPANOL, ALPHA-ETHYL-ALPHA-METHYL-&lt;br /&gt;&amp;diams; ALPHA-ETHYL-ALPHA-METHYLBENZENEPROPANOL&lt;br /&gt;&amp;diams; PHENYLETHYL METHYL ETHYL CARBINOL&lt;br /&gt;&amp;diams; PEMEC&lt;br /&gt;&amp;diams; 1-PHENYL-3-METHYL-3-PENTANOL&lt;br /&gt;&amp;diams; 3-PENTANOL, 3-METHYL-1-PHENYL-</t>
  </si>
  <si>
    <t xml:space="preserve"> 65504-93-0</t>
  </si>
  <si>
    <t xml:space="preserve"> 1-PHENYL-3 OR 5-PROPYLPYRAZOLE</t>
  </si>
  <si>
    <t xml:space="preserve"> &amp;diams; 1-PHENYL-3(OR 5)-PROPYLPYRAZOLE&lt;br /&gt;&amp;diams; 1-PHENYL-3(OR 5)-PROPYL-1,2-DIAZOLE&lt;br /&gt;&amp;diams; 1H-PYRAZOLE, 1-PHENYL-3(OR 5)-PROPYL-&lt;br /&gt;&amp;diams; 1-PHENYL-3(OR 5)-PROPYL-1H-PYRAZOLE</t>
  </si>
  <si>
    <t xml:space="preserve"> 10521-91-2</t>
  </si>
  <si>
    <t xml:space="preserve"> 5-PHENYLPENTANOL</t>
  </si>
  <si>
    <t xml:space="preserve"> &amp;diams; BENZENEPENTANOL&lt;br /&gt;&amp;diams; PHENYLAMYL ALCOHOL&lt;br /&gt;&amp;diams; 5-PHENYL-1-PENTANOL&lt;br /&gt;&amp;diams; 5-PHENYLPENTANOL&lt;br /&gt;&amp;diams; 1-PENTANOL, 5-PHENYL-</t>
  </si>
  <si>
    <t xml:space="preserve"> 24401-36-3</t>
  </si>
  <si>
    <t xml:space="preserve"> 2-PHENYL-4-PENTENAL</t>
  </si>
  <si>
    <t xml:space="preserve"> &amp;diams; 2-PHENYL-4-PENTENAL&lt;br /&gt;&amp;diams; BENZENEACETALDEHYDE, ALPHA-2-PROPENYL-&lt;br /&gt;&amp;diams; ALPHA-2-PROPENYLBENZENEACETALDEHYDE&lt;br /&gt;&amp;diams; 4-PENTENAL, 2-PHENYL-</t>
  </si>
  <si>
    <t xml:space="preserve"> 939-21-9</t>
  </si>
  <si>
    <t xml:space="preserve"> 3-PHENYL-4-PENTENAL</t>
  </si>
  <si>
    <t xml:space="preserve"> &amp;diams; 3-PHENYL-4-PENTENAL&lt;br /&gt;&amp;diams; BETA-ETHENYLBENZENEPROPANAL&lt;br /&gt;&amp;diams; BETA-VINYLHYDROCINNAMALDEHYDE&lt;br /&gt;&amp;diams; 3-PHENYL-3-VINYLPROPIONALDEHYDE&lt;br /&gt;&amp;diams; BENZENEPROPANAL, BETA-ETHENYL-&lt;br /&gt;&amp;diams; HYDROCINNAMALDEHYDE, BETA-VINYL-</t>
  </si>
  <si>
    <t xml:space="preserve"> 90-43-7</t>
  </si>
  <si>
    <t xml:space="preserve"> O-PHENYLPHENOL</t>
  </si>
  <si>
    <t xml:space="preserve"> &amp;diams; 2-PHENYLPHENOL&lt;br /&gt;&amp;diams; 2-HYDROXYDIPHENYL&lt;br /&gt;&amp;diams; 2-BIPHENYLOL&lt;br /&gt;&amp;diams; 2-HYDROXYBIPHENYL&lt;br /&gt;&amp;diams; HYDROXYBIPHENYL, O-&lt;br /&gt;&amp;diams; (1,1'-BIPHENYL)-2-OL&lt;br /&gt;&amp;diams; BIPHENYL-2-OL&lt;br /&gt;&amp;diams; 2-HYDROXY-1,1'-BIPHENYL&lt;br /&gt;&amp;diams; Biphenylol, o-&lt;br /&gt;&amp;diams; Diphenyl, o-&lt;br /&gt;&amp;diams; Xenol, o-</t>
  </si>
  <si>
    <t xml:space="preserve"> ANTIMICROBIAL AGENT,&lt;br /&gt; SURFACE-ACTIVE AGENT</t>
  </si>
  <si>
    <t xml:space="preserve"> 579-07-7</t>
  </si>
  <si>
    <t xml:space="preserve"> 1-PHENYL-1,2-PROPANEDIONE</t>
  </si>
  <si>
    <t xml:space="preserve"> &amp;diams; 1-PHENYL-1,2-PROPANEDIONE&lt;br /&gt;&amp;diams; ACETYL BENZOYL&lt;br /&gt;&amp;diams; BENZOYL METHYL KETONE&lt;br /&gt;&amp;diams; METHYL PHENYL DIKETONE&lt;br /&gt;&amp;diams; METHYL PHENYL GLYOXAL&lt;br /&gt;&amp;diams; PHENYL METHYL DIKETONE&lt;br /&gt;&amp;diams; PYRUVOPHENONE&lt;br /&gt;&amp;diams; 1,2-PROPANEDIONE, 1-PHENYL-</t>
  </si>
  <si>
    <t xml:space="preserve"> 93-54-9</t>
  </si>
  <si>
    <t xml:space="preserve"> 1-PHENYL-1-PROPANOL</t>
  </si>
  <si>
    <t xml:space="preserve"> &amp;diams; ALPHA-ETHYLBENZYL ALCOHOL&lt;br /&gt;&amp;diams; ALPHA-HYDROXYPROPYLBENZENE&lt;br /&gt;&amp;diams; BENZENEMETHANOL, ALPHA-ETHYL-&lt;br /&gt;&amp;diams; ALPHA-ETHYLBENZENEMETHANOL&lt;br /&gt;&amp;diams; BENZYL ALCOHOL, ALPHA-ETHYL-&lt;br /&gt;&amp;diams; ETHYL PHENYL CARBINOL&lt;br /&gt;&amp;diams; PHENYL ETHYL CARBINOL&lt;br /&gt;&amp;diams; 1-PHENYL-1-PROPANOL&lt;br /&gt;&amp;diams; 1-PHENYLPROPYL ALCOHOL&lt;br /&gt;&amp;diams; 1-PHENYL-1-HYDROXYPROPANE&lt;br /&gt;&amp;diams; ethylbenzyl alcohol, (+-)-alpha-&lt;br /&gt;&amp;diams; 1-phenyl-1-propanol, (+-)-&lt;br /&gt;&amp;diams; 1-phenylpropanol, (RS)-</t>
  </si>
  <si>
    <t xml:space="preserve"> 122-97-4</t>
  </si>
  <si>
    <t xml:space="preserve"> 3-PHENYL-1-PROPANOL</t>
  </si>
  <si>
    <t xml:space="preserve"> &amp;diams; 3-PHENYLPROPYL ALCOHOL&lt;br /&gt;&amp;diams; BENZYLETHYL ALCOHOL&lt;br /&gt;&amp;diams; BENZENEPROPANOL&lt;br /&gt;&amp;diams; (3-HYDROXYPROPYL)BENZENE&lt;br /&gt;&amp;diams; DIHYDROCINNAMAL ALCOHOL&lt;br /&gt;&amp;diams; HYDROCINNAMYL ALCOHOL&lt;br /&gt;&amp;diams; HYDROCINNAMIC ALCOHOL&lt;br /&gt;&amp;diams; PHENYLPROPYL ALCOHOL&lt;br /&gt;&amp;diams; 3-PHENYL-1-PROPANOL&lt;br /&gt;&amp;diams; 1-PROPANOL, 3-PHENYL-&lt;br /&gt;&amp;diams; 3-PHENYLPROPANOL&lt;br /&gt;&amp;diams; 3-BENZENEPROPANOL&lt;br /&gt;&amp;diams; 1-HYDROXY-3-PHENYLPROPANE</t>
  </si>
  <si>
    <t xml:space="preserve"> 57568-60-2</t>
  </si>
  <si>
    <t xml:space="preserve"> 2-PHENYL-3-(2-FURYL)-PROP-2-ENAL</t>
  </si>
  <si>
    <t xml:space="preserve"> &amp;diams; 2-PHENYL-3-(2-FURYL)PROP-2-ENAL&lt;br /&gt;&amp;diams; ALPHA-(2-FURANYLMETHYLENE)BENZENEACETALDEHYDE&lt;br /&gt;&amp;diams; ALPHA-PHENYL-2-FURANACROLEIN&lt;br /&gt;&amp;diams; BENZENEACETALDEHYDE, ALPHA-(2-FURANYLMETHYLENE)-&lt;br /&gt;&amp;diams; 2-FURFURYLIDENEPHENYLACETALDEHYDE&lt;br /&gt;&amp;diams; 2-PHENYL-3-(2-FURYL)-2-PROPENAL&lt;br /&gt;&amp;diams; 2-FURANACROLEIN, ALPHA-PHENYL-</t>
  </si>
  <si>
    <t xml:space="preserve"> 93-53-8</t>
  </si>
  <si>
    <t xml:space="preserve"> 2-PHENYLPROPIONALDEHYDE</t>
  </si>
  <si>
    <t xml:space="preserve"> &amp;diams; 2-PHENYLPROPANAL&lt;br /&gt;&amp;diams; ALPHA-METHYLBENZENEALDEHYDEALPHA-&lt;br /&gt;&amp;diams; 2-PHENYLPROPIONALDEHYDE&lt;br /&gt;&amp;diams; ALPHA-PHENYLPROPANAL&lt;br /&gt;&amp;diams; ALPHA-METHYLTOLUALDEHYDE&lt;br /&gt;&amp;diams; ALPHA-METHYLPHENYLACETALDEHYDE&lt;br /&gt;&amp;diams; ALPHA-PHENYLPROPIONALDEHYDE&lt;br /&gt;&amp;diams; HYDRATROPIC ALDEHYDE&lt;br /&gt;&amp;diams; BENZENEACETALALDEHYDE, ALPHA-METHYL-&lt;br /&gt;&amp;diams; HYACINTHAL&lt;br /&gt;&amp;diams; ALPHA-METHYL-ALPHA-TOLUIC ALDEHYDE&lt;br /&gt;&amp;diams; CUMENE ALDEHYDE&lt;br /&gt;&amp;diams; ALPHA-FORMYLETHYLBENZENE&lt;br /&gt;&amp;diams; ALPHA-METHYLBENZENEACETALDEHYDE</t>
  </si>
  <si>
    <t xml:space="preserve"> 104-53-0</t>
  </si>
  <si>
    <t xml:space="preserve"> 3-PHENYLPROPIONALDEHYDE</t>
  </si>
  <si>
    <t xml:space="preserve"> &amp;diams; 3-PHENYLPROPANAL&lt;br /&gt;&amp;diams; HYDROCINNAMIC ALDEHYDE&lt;br /&gt;&amp;diams; BENZYLACETALDEHYDE&lt;br /&gt;&amp;diams; 3-PHENYLPROPYL ALDEHYDE&lt;br /&gt;&amp;diams; 3-PHENYLPROPIONALDEHYDE&lt;br /&gt;&amp;diams; BETA-PHENYLPROPIONALDEHYDE&lt;br /&gt;&amp;diams; BENZENEPROPANAL&lt;br /&gt;&amp;diams; 3-PHENYL-1-PROPANAL&lt;br /&gt;&amp;diams; DIHYDROCINNAMALDEHYDE</t>
  </si>
  <si>
    <t xml:space="preserve"> 90-87-9</t>
  </si>
  <si>
    <t xml:space="preserve"> 2-PHENYLPROPIONALDEHYDE DIMETHYL ACETAL</t>
  </si>
  <si>
    <t xml:space="preserve"> &amp;diams; 2-PHENYLPROPANAL DIMETHYL ACETAL&lt;br /&gt;&amp;diams; BENZENE, (2,2-DIMETHOXY-1-METHYLETHYL)-&lt;br /&gt;&amp;diams; ALPHA-METHYLPHENACETALDEHYDE DIMETHYL ACETAL&lt;br /&gt;&amp;diams; (2,2-DIMETHOXY-1-METHYLETHYL)BENZENE&lt;br /&gt;&amp;diams; HYDRATROPIC ALDEHYDE DIMETHYL ACETAL&lt;br /&gt;&amp;diams; HYDRATROPALDEHYDE, DIMETHYL ACETAL&lt;br /&gt;&amp;diams; HYDRATROPALDEHYDE DIMETHYL ACETAL&lt;br /&gt;&amp;diams; 1,1-DIMETHOXY-2-PHENYLPROPANE&lt;br /&gt;&amp;diams; 2-PHENYLPROPIONALDEHYDE DIMETHYL ACETAL</t>
  </si>
  <si>
    <t xml:space="preserve"> 501-52-0</t>
  </si>
  <si>
    <t xml:space="preserve"> 3-PHENYLPROPIONIC ACID</t>
  </si>
  <si>
    <t xml:space="preserve"> &amp;diams; 3-PHENYLPROPIONIC ACID&lt;br /&gt;&amp;diams; BENZENEPROPANOIC ACID&lt;br /&gt;&amp;diams; BENZYLACETIC ACID&lt;br /&gt;&amp;diams; BETA-PHENYLPROPIONIC ACID&lt;br /&gt;&amp;diams; BENZENEPROPIONIC ACID&lt;br /&gt;&amp;diams; DIHYDROCINNAMIC ACID&lt;br /&gt;&amp;diams; HYDROCINNAMIC ACID&lt;br /&gt;&amp;diams; 3-PHENYLPROPANOIC ACID</t>
  </si>
  <si>
    <t xml:space="preserve"> 122-72-5</t>
  </si>
  <si>
    <t xml:space="preserve"> 3-PHENYLPROPYL ACETATE</t>
  </si>
  <si>
    <t xml:space="preserve"> &amp;diams; 3-PHENYLPROPYL ACETATE&lt;br /&gt;&amp;diams; BETA-PHENYLPROPYL ACETATE&lt;br /&gt;&amp;diams; BENZENEPROPANOL, ACETATE&lt;br /&gt;&amp;diams; (3-ACETOXYPROPYL)BENZENE&lt;br /&gt;&amp;diams; HYDROCINNAMYL ACETATE&lt;br /&gt;&amp;diams; 1-PROPANOL, 3-PHENYL-, ACETATE&lt;br /&gt;&amp;diams; 1-ACETOXY-3-PHENYLPROPANE&lt;br /&gt;&amp;diams; 3-PHENYL-1-PROPYL ACETATE</t>
  </si>
  <si>
    <t xml:space="preserve"> 80866-83-7</t>
  </si>
  <si>
    <t xml:space="preserve"> 2-PHENYLPROPYL BUTYRATE</t>
  </si>
  <si>
    <t xml:space="preserve"> &amp;diams; 2-PHENYLPROPYL BUTYRATE&lt;br /&gt;&amp;diams; BETA-METHYLPHENETHYL BUTYRATE&lt;br /&gt;&amp;diams; BUTANOIC ACID, 2-PHENYLPROPYL ESTER&lt;br /&gt;&amp;diams; HYDRATROPYL BUTYRATE&lt;br /&gt;&amp;diams; 2-PHENYLPROPYL BUTANOATE</t>
  </si>
  <si>
    <t xml:space="preserve"> 122-68-9</t>
  </si>
  <si>
    <t xml:space="preserve"> 3-PHENYLPROPYL CINNAMATE</t>
  </si>
  <si>
    <t xml:space="preserve"> &amp;diams; 3-PHENYLPROPYL CINNAMATE&lt;br /&gt;&amp;diams; CINNAMIC ACID, 3-PHENYLPROPYL ESTER&lt;br /&gt;&amp;diams; HYDROCINNAMYL CINNAMATE&lt;br /&gt;&amp;diams; HYDROCINNAMYL 3-PHENYLPROPENOATE&lt;br /&gt;&amp;diams; PHENYLPROPYL CINNAMATE&lt;br /&gt;&amp;diams; PHENYLPROPYL CINNAMATE, BETA-&lt;br /&gt;&amp;diams; 3-PHENYLPROPYL 3-PHENYL-2-PROPENOATE&lt;br /&gt;&amp;diams; 3-PHENYLPROPYL BETA-PHENYLACRYLATE&lt;br /&gt;&amp;diams; 2-PROPENOIC ACID, 3-PHENYL-, 3-PHENYLPROPYL ESTER</t>
  </si>
  <si>
    <t xml:space="preserve"> 104-64-3</t>
  </si>
  <si>
    <t xml:space="preserve"> 3-PHENYLPROPYL FORMATE</t>
  </si>
  <si>
    <t xml:space="preserve"> &amp;diams; 3-PHENYLPROPYL FORMATE&lt;br /&gt;&amp;diams; BETA-PHENYLPROPYL FORMATE&lt;br /&gt;&amp;diams; BENZENEPROPANOL, FORMATE&lt;br /&gt;&amp;diams; HYDROCINNAMYL FORMATE&lt;br /&gt;&amp;diams; HYDROCINNAMYL METHANOATE&lt;br /&gt;&amp;diams; 3-PHENYLPROPYL METHANOATE&lt;br /&gt;&amp;diams; 1-PROPANOL, 3-PHENYL-, FORMATE&lt;br /&gt;&amp;diams; 3-PHENYL-1-PROPYL FORMATE&lt;br /&gt;&amp;diams; 1-PHENYL-3-FORMYLOXYPROPANE</t>
  </si>
  <si>
    <t xml:space="preserve"> 6281-40-9</t>
  </si>
  <si>
    <t xml:space="preserve"> 3-PHENYLPROPYL HEXANOATE</t>
  </si>
  <si>
    <t xml:space="preserve"> &amp;diams; 3-PHENYLPROPYL HEXANOATE&lt;br /&gt;&amp;diams; HYDROCINNAMYL CAPROATE&lt;br /&gt;&amp;diams; HYDROCINNAMYL HEXANOATE&lt;br /&gt;&amp;diams; HEXANOIC ACID, 3-PHENYLPROPYL ESTER&lt;br /&gt;&amp;diams; 3-PHENYLPROPYL CAPROATE</t>
  </si>
  <si>
    <t xml:space="preserve"> 65813-53-8</t>
  </si>
  <si>
    <t xml:space="preserve"> 2-PHENYLPROPYL ISOBUTYRATE</t>
  </si>
  <si>
    <t xml:space="preserve"> &amp;diams; 2-PHENYLPROPYL ISOBUTYRATE&lt;br /&gt;&amp;diams; HYDRATROPYL ISOBUTYRATE&lt;br /&gt;&amp;diams; HYDRATROPYL 2-METHYLPROPANOATE&lt;br /&gt;&amp;diams; PROPANOIC ACID, 2-METHYL-, 2-PHENYLPROPYL ESTER&lt;br /&gt;&amp;diams; 2-PHENYLPROPYL 2-METHYLPROPANOATE&lt;br /&gt;&amp;diams; 2-METHYL-2-PHENYLETHYL 2-METHYLPROPANOATE</t>
  </si>
  <si>
    <t xml:space="preserve"> 103-58-2</t>
  </si>
  <si>
    <t xml:space="preserve"> 3-PHENYLPROPYL ISOBUTYRATE</t>
  </si>
  <si>
    <t xml:space="preserve"> &amp;diams; 3-PHENYLPROPYL ISOBUTYRATE&lt;br /&gt;&amp;diams; HYDROCINNAMYL ISOBUTYRATE&lt;br /&gt;&amp;diams; HYDROCINNAMYL 2-METHYLPROPANOATE&lt;br /&gt;&amp;diams; ISOBUTYRIC ACID, 3-PHENYLPROPYL ESTER&lt;br /&gt;&amp;diams; PHENYLPROPYL ISOBUTYRATE&lt;br /&gt;&amp;diams; PHENYLPROPYL 2-METHYLPROPANOATE, BETA-&lt;br /&gt;&amp;diams; PROPANOIC ACID, 2-METHYL-, 3-PHENYLPROPYL ESTER&lt;br /&gt;&amp;diams; 3-PHENYLPROPYL 2-METHYLPROPANOATE</t>
  </si>
  <si>
    <t xml:space="preserve"> 5452-07-3</t>
  </si>
  <si>
    <t xml:space="preserve"> 3-PHENYLPROPYL ISOVALERATE</t>
  </si>
  <si>
    <t xml:space="preserve"> &amp;diams; 3-PHENYLPROPYL ISOVALERATE&lt;br /&gt;&amp;diams; BUTANOIC ACID, 3-METHYL-, 3-PHENYLPROPYL ESTER&lt;br /&gt;&amp;diams; HYDROCINNAMYL ISOVALERATE&lt;br /&gt;&amp;diams; HYDROCINNAMYL 3-METHYLBUTANOATE&lt;br /&gt;&amp;diams; PHENYLPROPYL 3-METHYLBUTANOATE, BETA-&lt;br /&gt;&amp;diams; 3-PHENYLPROPYL 3-METHYLBUTANOATE&lt;br /&gt;&amp;diams; 3-PHENYLPROPYL ISOPENTANOATE&lt;br /&gt;&amp;diams; 3-PHENYLPROPYL ISOVALERIANATE</t>
  </si>
  <si>
    <t xml:space="preserve"> 122-74-7</t>
  </si>
  <si>
    <t xml:space="preserve"> 3-PHENYLPROPYL PROPIONATE</t>
  </si>
  <si>
    <t xml:space="preserve"> &amp;diams; 3-PHENYLPROPYL PROPIONATE&lt;br /&gt;&amp;diams; BETA-PHENYLPROPYL PROPIONATE&lt;br /&gt;&amp;diams; BENZENEPROPANOL, PROPANOATE&lt;br /&gt;&amp;diams; HYDROCINNAMYL PROPIONATE&lt;br /&gt;&amp;diams; 3-PHENYLPROPYL PROPANOATE&lt;br /&gt;&amp;diams; 1-PROPANOL, 3-PHENYL-, PROPIONATE&lt;br /&gt;&amp;diams; 3-PHENYL-1-PROPYL PROPIONATE</t>
  </si>
  <si>
    <t xml:space="preserve"> 2110-18-1</t>
  </si>
  <si>
    <t xml:space="preserve"> 2-(3-PHENYLPROPYL)PYRIDINE</t>
  </si>
  <si>
    <t xml:space="preserve"> &amp;diams; 2-(3-PHENYLPROPYL)PYRIDINE&lt;br /&gt;&amp;diams; ALPHA-(3-PHENYLPROPYL)PYRIDINE&lt;br /&gt;&amp;diams; PYRIDINE, 2-(3-PHENYLPROPYL)-</t>
  </si>
  <si>
    <t xml:space="preserve"> 3208-40-0</t>
  </si>
  <si>
    <t xml:space="preserve"> 2-(3-PHENYLPROPYL)TETRAHYDROFURAN</t>
  </si>
  <si>
    <t xml:space="preserve"> &amp;diams; 2-(3-PHENYLPROPYL)TETRAHYDROFURAN&lt;br /&gt;&amp;diams; ALPHA-(3-PHENYLPROPYL)TETRAHYDROFURAN&lt;br /&gt;&amp;diams; FURAN, TETRAHYDRO-2-(3-PHENYLPROPYL)-&lt;br /&gt;&amp;diams; TETRAHYDRO-2-(3-PHENYLPROPYL)FURAN&lt;br /&gt;&amp;diams; 2-HYDROCINNAMYLTETRAHYDROFURAN</t>
  </si>
  <si>
    <t xml:space="preserve"> 118-55-8</t>
  </si>
  <si>
    <t xml:space="preserve"> PHENYL SALICYLATE</t>
  </si>
  <si>
    <t xml:space="preserve"> &amp;diams; PHENYL SALICYLATE&lt;br /&gt;&amp;diams; SALOL&lt;br /&gt;&amp;diams; BENZOIC ACID, 2-HYDROXY-, PHENYL ESTER&lt;br /&gt;&amp;diams; PHENYL 2-HYDROXYBENZOATE&lt;br /&gt;&amp;diams; SALICYLIC ACID, PHENYL ESTER</t>
  </si>
  <si>
    <t xml:space="preserve"> ANTIOXIDANT,&lt;br /&gt; STABILIZER OR THICKENER</t>
  </si>
  <si>
    <t xml:space="preserve"> 7664-38-2</t>
  </si>
  <si>
    <t xml:space="preserve"> PHOSPHORIC ACID</t>
  </si>
  <si>
    <t xml:space="preserve"> &amp;diams; PHOSPHORIC ACID&lt;br /&gt;&amp;diams; ORTHOPHOSPHORIC ACID&lt;br /&gt;&amp;diams; PHOSPHORIC ACID, ORTHO-</t>
  </si>
  <si>
    <t xml:space="preserve"> ANTIMICROBIAL AGENT,&lt;br /&gt; FLAVOR ENHANCER,&lt;br /&gt; FLAVORING AGENT OR ADJUVANT,&lt;br /&gt; FUMIGANT,&lt;br /&gt; MALTING OR FERMENTING AID,&lt;br /&gt; NON-NUTRITIVE SWEETENER,&lt;br /&gt; PH CONTROL AGENT,&lt;br /&gt; SEQUESTRANT</t>
  </si>
  <si>
    <t xml:space="preserve"> 133.123 ,  133.124 ,  133.129 ,  133.169 ,  133.173 ,  133.178 ,  133.179 ,  163.110 ,  163.111 ,  163.112</t>
  </si>
  <si>
    <t xml:space="preserve"> 10025-87-3</t>
  </si>
  <si>
    <t xml:space="preserve"> PHOSPHORUS OXYCHLORIDE</t>
  </si>
  <si>
    <t xml:space="preserve"> &amp;diams; PHOSPHORUS OXYCHLORIDE&lt;br /&gt;&amp;diams; PHOSPHORYL CHLORIDE&lt;br /&gt;&amp;diams; PHOSPHORUS OXYTRICHLORIDE&lt;br /&gt;&amp;diams; PHOSPHORYL TRICHLORIDE&lt;br /&gt;&amp;diams; PHOSPHORIC TRICHLORIDE&lt;br /&gt;&amp;diams; TRICHLOROPHOSPHINE OXIDE</t>
  </si>
  <si>
    <t xml:space="preserve"> 87-41-2</t>
  </si>
  <si>
    <t xml:space="preserve"> PHTHALIDE</t>
  </si>
  <si>
    <t xml:space="preserve"> &amp;diams; PHTHALIDE&lt;br /&gt;&amp;diams; 1(3H)-ISOBENZOFURANONE&lt;br /&gt;&amp;diams; 1-phthalanone&lt;br /&gt;&amp;diams; 2-hydroxymethylbenzoic acid, gamma-lactone&lt;br /&gt;&amp;diams; phthalolactone&lt;br /&gt;&amp;diams; InChI=1S/C8H6O2/c9-8-7-4-2-1-3-6(7)5-10-8/h1-4H,5H2&lt;br /&gt;&amp;diams; InChiKey=WNZQDUSMALZDQF-UHFFFAOYSA-N</t>
  </si>
  <si>
    <t xml:space="preserve"> 150-86-7</t>
  </si>
  <si>
    <t xml:space="preserve"> PHYTOL</t>
  </si>
  <si>
    <t xml:space="preserve"> &amp;diams; PHYTOL&lt;br /&gt;&amp;diams; 2-HEXADECEN-1-OL, 3,7,11,15-TETRAMETHYL-, (R-(R*,R*-(E)))-&lt;br /&gt;&amp;diams; 3,7,11,15-TETRAMETHYL-2-HEXADECEN-1-OL, (R-(R*,R*-(E)))-&lt;br /&gt;&amp;diams; PHYTOL, TRANS-&lt;br /&gt;&amp;diams; 2-hexadecen-1-ol, 3,7,11,15-tetramethyl,(2E,7R,11R)-&lt;br /&gt;&amp;diams; 3,7,11,15-tetramethyl-2-hexadecen-1-ol,(2E,7R,11R)-&lt;br /&gt;&amp;diams; InChI=1S/C20H40O/c1-17(2)9-6-10-18(3)11-7-12-19(4)13-8-14-20(5)15-16-21/h15,17-19,21H,6-14,16H2,1-5H3/b20-15 /t18-,19-/m1/s1&lt;br /&gt;&amp;diams; InChiKey=BOTWFXYSPFMFNR-ZJFWYBQPSA-N&lt;br /&gt;&amp;diams; InChI=1S/C20H40O/c1-17(2)9-6-10-18(3)11-7-12-19(4)13-8-14-20(5)15-16-21/h15,17-19,21H,6-14,16H2,1-5H3/b20-15+/t18-,19-/m1/s1&lt;br /&gt;&amp;diams; InChIKey: BOTWFXYSPFMFNR-PYDDKJGSSA-N</t>
  </si>
  <si>
    <t xml:space="preserve"> 10236-16-5</t>
  </si>
  <si>
    <t xml:space="preserve"> PHYTYL ACETATE</t>
  </si>
  <si>
    <t xml:space="preserve"> &amp;diams; PHYTYL ACETATE&lt;br /&gt;&amp;diams; phytol acetate&lt;br /&gt;&amp;diams; 2-hexadecen-1-ol,3,7,11,15-tetramethyl&lt;br /&gt;&amp;diams; 3,7,11,15-tetramethyl-2-hexadecen-1-ol acetate,(2E,7R,11R)-&lt;br /&gt;&amp;diams; InChI=1S/C22H42O2/c1-18(2)10-7-11-19(3)12-8-13-20(4)14-9-15-21(5)16-17-24-22(6)23/h16,18-20H,7-15,17H2,1-6H3/b21-16+/t19-,20-/m1/s1&lt;br /&gt;&amp;diams; InChIKey: JIGCTXHIECXYRJ-ILWBRPEASA-N</t>
  </si>
  <si>
    <t xml:space="preserve"> 977157-17-7</t>
  </si>
  <si>
    <t xml:space="preserve"> PIMENTA LEAF, OIL (PIMENTA OFFICINALIS LINDL.)</t>
  </si>
  <si>
    <t xml:space="preserve"> &amp;diams; PIMENTA LEAF OIL&lt;br /&gt;&amp;diams; PIMENTO LEAF OIL&lt;br /&gt;&amp;diams; PIMENTA OFFICINALIS LEAF OIL</t>
  </si>
  <si>
    <t xml:space="preserve"> 18358-53-7</t>
  </si>
  <si>
    <t xml:space="preserve"> 3-PINANONE</t>
  </si>
  <si>
    <t xml:space="preserve"> 977089-63-6</t>
  </si>
  <si>
    <t xml:space="preserve"> PINE BARK, WHITE, EXTRACT SOLID (PINUS STROBUS L.)</t>
  </si>
  <si>
    <t xml:space="preserve"> &amp;diams; WHITE PINE BARK EXTRACT, SOLID&lt;br /&gt;&amp;diams; PINUS STROBUS BARK SOLID EXTRACT</t>
  </si>
  <si>
    <t xml:space="preserve"> 977089-62-5</t>
  </si>
  <si>
    <t xml:space="preserve"> PINE BARK, WHITE, OIL (PINUS STROBUS L.)</t>
  </si>
  <si>
    <t xml:space="preserve"> &amp;diams; WHITE PINE BARK OIL&lt;br /&gt;&amp;diams; PINE BARK OIL, WHITE&lt;br /&gt;&amp;diams; PINUS STROBUS BARK OIL</t>
  </si>
  <si>
    <t xml:space="preserve"> 977002-91-7</t>
  </si>
  <si>
    <t xml:space="preserve"> PINE BARK, WHITE (PINUS STROBUS L.)</t>
  </si>
  <si>
    <t xml:space="preserve"> &amp;diams; WHITE PINE&lt;br /&gt;&amp;diams; PINE BARK, WHITE&lt;br /&gt;&amp;diams; EASTERN WHITE PINE&lt;br /&gt;&amp;diams; PINUS STROBUS&lt;br /&gt;&amp;diams; PINE, WHITE</t>
  </si>
  <si>
    <t xml:space="preserve"> 80-56-8</t>
  </si>
  <si>
    <t xml:space="preserve"> ALPHA-PINENE</t>
  </si>
  <si>
    <t xml:space="preserve"> &amp;diams; ALPHA-PINENE&lt;br /&gt;&amp;diams; 2-PINENE&lt;br /&gt;&amp;diams; 2,6,6-TRIMETHYLBICYCLO(3.1.1)HEPT-2-ENE&lt;br /&gt;&amp;diams; BICYCLO(3.1.1)HEPT-2-ENE, 2,6,6-TRIMETHYL-&lt;br /&gt;&amp;diams; alpha-pinene, (+/-)-&lt;br /&gt;&amp;diams; 2-pinene, (+/-)-</t>
  </si>
  <si>
    <t xml:space="preserve"> 127-91-3</t>
  </si>
  <si>
    <t xml:space="preserve"> BETA-PINENE</t>
  </si>
  <si>
    <t xml:space="preserve"> &amp;diams; BETA-PINENE&lt;br /&gt;&amp;diams; 2(10)-PINENE&lt;br /&gt;&amp;diams; NOPINENE&lt;br /&gt;&amp;diams; 6,6-DIMETHYL-2-METHYLENEBICYCLO(3.1.1)HEPTANE&lt;br /&gt;&amp;diams; 6,6-DIMETHYL-2-METHYLENENORPINANE&lt;br /&gt;&amp;diams; BICYCLO(3.1.1)HEPTANE, 6,6-DIMETHYL-2-METHYLENE-&lt;br /&gt;&amp;diams; PSEUDOPINENE&lt;br /&gt;&amp;diams; TEREBENTHENE&lt;br /&gt;&amp;diams; PINENE, BETA-</t>
  </si>
  <si>
    <t xml:space="preserve"> 8000-26-8</t>
  </si>
  <si>
    <t xml:space="preserve"> PINE NEEDLE, DWARF, OIL (PINUS MUGO TURRA VAR. PUMILIO (HAENKE) ZENARI)</t>
  </si>
  <si>
    <t xml:space="preserve"> &amp;diams; PINE NEEDLE OIL&lt;br /&gt;&amp;diams; DWARF PINE NEEDLE OIL&lt;br /&gt;&amp;diams; PINE NEEDLE OIL, DWARF&lt;br /&gt;&amp;diams; MOUNTAIN PINE OIL&lt;br /&gt;&amp;diams; PUMILO PINE OIL&lt;br /&gt;&amp;diams; OILS, PINE NEEDLE</t>
  </si>
  <si>
    <t xml:space="preserve"> 8023-99-2</t>
  </si>
  <si>
    <t xml:space="preserve"> PINE, SCOTCH, OIL (PINUS SYLVESTRIS L.)</t>
  </si>
  <si>
    <t xml:space="preserve"> &amp;diams; PINE NEEDLE OIL, SCOTCH&lt;br /&gt;&amp;diams; PINE, SCOTCH, OIL&lt;br /&gt;&amp;diams; PINUS SYLVESTRIS OIL&lt;br /&gt;&amp;diams; OILS, PINE, PINUS SYLVESTRIS&lt;br /&gt;&amp;diams; PINE OIL, SCOTCH&lt;br /&gt;&amp;diams; SCOTCH PINE NEEDLE OIL</t>
  </si>
  <si>
    <t xml:space="preserve"> 977009-97-4</t>
  </si>
  <si>
    <t xml:space="preserve"> PINE TAR, OIL (PINUS SPP.)</t>
  </si>
  <si>
    <t xml:space="preserve"> &amp;diams; PINE TAR OIL&lt;br /&gt;&amp;diams; PINE TAR OIL, RECTIFIED</t>
  </si>
  <si>
    <t xml:space="preserve"> 977019-44-5</t>
  </si>
  <si>
    <t xml:space="preserve"> PINE, WHITE, OIL (PINUS SPP.)</t>
  </si>
  <si>
    <t xml:space="preserve"> &amp;diams; WHITE PINE OIL&lt;br /&gt;&amp;diams; PINE OIL, WHITE</t>
  </si>
  <si>
    <t xml:space="preserve"> 5947-36-4</t>
  </si>
  <si>
    <t xml:space="preserve"> PINOCARVEOL</t>
  </si>
  <si>
    <t xml:space="preserve"> &amp;diams; PINOCARVEOL&lt;br /&gt;&amp;diams; 2(10)-PINEN-3-OL&lt;br /&gt;&amp;diams; 3-HYDROXY-6,6-DIMETHYL-2-METHYLENEBICYCLO(3.1.1)HEPTANE&lt;br /&gt;&amp;diams; BICYCLO(3.1.1)HEPTAN-3-OL, 6,6-DIMETHYL-2-METHYLENE-&lt;br /&gt;&amp;diams; 6,6-DIMETHYL-2-METHYLENEBICYCLO(3.1.1)HEPTAN-3-OL&lt;br /&gt;&amp;diams; 10-PINEN-3-OL&lt;br /&gt;&amp;diams; 6,6-DIMETHYL-3-HYDROXY-2-METHYLENEBICYCLO(3.1.1)HEPTANE</t>
  </si>
  <si>
    <t xml:space="preserve"> 929116-08-5</t>
  </si>
  <si>
    <t xml:space="preserve"> PINOCARVYL ISOBUTYRATE</t>
  </si>
  <si>
    <t xml:space="preserve"> &amp;diams; PINOCARVYL ISOBUTYRATE&lt;br /&gt;&amp;diams; propanoic acid,2-methyl-, 6,6-dimethyl-2-methylenebicyclo(3.1.1)hept-3-yl ester&lt;br /&gt;&amp;diams; 6,6-dimethyl-2-methylenebicyclo(3.1.1)hept-3-yl 2-methylpropanoate&lt;br /&gt;&amp;diams; pinocarveol isobutyrate</t>
  </si>
  <si>
    <t xml:space="preserve"> 110-85-0</t>
  </si>
  <si>
    <t xml:space="preserve"> PIPERAZINE</t>
  </si>
  <si>
    <t xml:space="preserve"> &amp;diams; PIPERAZINE&lt;br /&gt;&amp;diams; DIETHYLENEDIAMINE&lt;br /&gt;&amp;diams; PIPERAZINE, ANHYDROUS&lt;br /&gt;&amp;diams; HEXAHYDROPYRAZINE&lt;br /&gt;&amp;diams; PIPERAZIDINE&lt;br /&gt;&amp;diams; InChI=1S/C4H10N2/c1-2-6-4-3-5-1/h5-6H,1-4H2&lt;br /&gt;&amp;diams; InChIKey: GLUUGHFHXGJENI-UHFFFAOYSA-N</t>
  </si>
  <si>
    <t xml:space="preserve"> 142-64-3</t>
  </si>
  <si>
    <t xml:space="preserve"> PIPERAZINE DIHYDROCHLORIDE</t>
  </si>
  <si>
    <t xml:space="preserve"> &amp;diams; PIPERAZINE DIHYDROCHLORIDE&lt;br /&gt;&amp;diams; DIETHYLENEDIAMINE DIHYDROCHLORIDE&lt;br /&gt;&amp;diams; PIPERAZINE HYDROCHLORIDE&lt;br /&gt;&amp;diams; PIPERAZINE, DIHYDROCHLORIDE&lt;br /&gt;&amp;diams; InChI=1S/C4H10N2.2ClH/c1-2-6-4-3-5-1 /h5-6H,1-4H2&lt;br /&gt;&amp;diams; 2*1H&lt;br /&gt;&amp;diams; InChIKey: CVVIJWRCGSYCMB-UHFFFAOYSA-N</t>
  </si>
  <si>
    <t xml:space="preserve"> 110-89-4</t>
  </si>
  <si>
    <t xml:space="preserve"> PIPERIDINE</t>
  </si>
  <si>
    <t xml:space="preserve"> &amp;diams; PIPERIDINE&lt;br /&gt;&amp;diams; HEXAHYDROPYRIDINE&lt;br /&gt;&amp;diams; HEXAZANE&lt;br /&gt;&amp;diams; PENTAMETHYLENIMINE&lt;br /&gt;&amp;diams; AZACYCLOHEXANE&lt;br /&gt;&amp;diams; CYCLOPENTIMINE&lt;br /&gt;&amp;diams; PERHYDROPYRIDINE&lt;br /&gt;&amp;diams; InChI=1S/C5H11N/c1-2-4-6-5-3-1/h6H,1-5H2&lt;br /&gt;&amp;diams; InChIKey: NQRYJNQNLNOLGT-UHFFFAOYSA-N</t>
  </si>
  <si>
    <t xml:space="preserve"> 94-62-2</t>
  </si>
  <si>
    <t xml:space="preserve"> PIPERINE</t>
  </si>
  <si>
    <t xml:space="preserve"> &amp;diams; PIPERINE&lt;br /&gt;&amp;diams; PIPEROYLPIPERIDINE&lt;br /&gt;&amp;diams; PIPERIDINE, 1-(5-(1,3-BENZODIOXOL-5-YL)-1-OXO-2,4-PENTADIENYL)-, (E,E)-&lt;br /&gt;&amp;diams; 1-(5-(1,3-BENZODIOXOL-5-YL)-1-OXO-2,4-PENTADIENYL)PIPERIDINE, (E,E)-&lt;br /&gt;&amp;diams; PIPERIDINE, 1-PIPEROYL-, (E,E)-&lt;br /&gt;&amp;diams; 1-PIPEROYLPIPERIDINE, (E,E)-&lt;br /&gt;&amp;diams; PIPERIN</t>
  </si>
  <si>
    <t xml:space="preserve"> 491-09-8</t>
  </si>
  <si>
    <t xml:space="preserve"> PIPERITENONE</t>
  </si>
  <si>
    <t xml:space="preserve"> &amp;diams; PIPERITENONE&lt;br /&gt;&amp;diams; P-MENTHA-1,4(8)-DIEN-3-ONE&lt;br /&gt;&amp;diams; 2-CYCLOHEXEN-1-ONE, 3-METHYL-6-(1-METHYLETHYLIDENE)-&lt;br /&gt;&amp;diams; 3-METHYL-6-(1-METHYLETHYLIDENE)-2-CYCLOHEXEN-1-ONE&lt;br /&gt;&amp;diams; PULESPENONE&lt;br /&gt;&amp;diams; 3-TERPINOLENONE&lt;br /&gt;&amp;diams; 1-METHYL-4-ISOPROPYLIDENE-1-CYCLOHEXEN-3-ONE</t>
  </si>
  <si>
    <t xml:space="preserve"> 35178-55-3</t>
  </si>
  <si>
    <t xml:space="preserve"> PIPERITENONE OXIDE</t>
  </si>
  <si>
    <t xml:space="preserve"> &amp;diams; PIPERITENONE OXIDE&lt;br /&gt;&amp;diams; 1,2-EPOXY-P-MENTH-4(8)-EN-3-ONE&lt;br /&gt;&amp;diams; 7-OXABICYCLO(4.1.0)HEPTAN-2-ONE, 6-METHYL-3-(1-METHYLETHYLIDENE)-&lt;br /&gt;&amp;diams; 6-METHYL-3-(1-METHYLETHYLIDENE)-7-OXABICYCLO(4.1.0)HEPTAN-2-ONE&lt;br /&gt;&amp;diams; P-MENTH-4(8)-EN-3-ONE, 1,2-EPOXY-&lt;br /&gt;&amp;diams; InChI=1S/C10H14O2/c1-6(2)7-4-5-10(3)9(12-10)8(7)11/h9H,4-5H2,1-3H3&lt;br /&gt;&amp;diams; InChIKey: AKASWINDKIEEBO-UHFFFAOYSA-N</t>
  </si>
  <si>
    <t xml:space="preserve"> 6091-50-5</t>
  </si>
  <si>
    <t xml:space="preserve"> D-PIPERITONE</t>
  </si>
  <si>
    <t xml:space="preserve"> &amp;diams; PIPERITONE, D-&lt;br /&gt;&amp;diams; P-MENTH-1-EN-3-ONE&lt;br /&gt;&amp;diams; PIPERITONE, ALPHA-&lt;br /&gt;&amp;diams; 4-ISOPROPYL-1-METHYL-1-CYCLOHEXEN-3-ONE&lt;br /&gt;&amp;diams; 1-METHYL-4-ISOPROPYL-1-CYCLOHEXEN-3-ONE&lt;br /&gt;&amp;diams; 2-CYCLOHEXEN-1-ONE, 3-METHYL-6-(1-METHYETHYL)-, (S)-&lt;br /&gt;&amp;diams; 3-METHYL-6-(1-METHYLETHYL)-2-CYCLOHEXEN-1-ONE, (S)-&lt;br /&gt;&amp;diams; P-MENTH-1-EN-3-ONE, (+)-</t>
  </si>
  <si>
    <t xml:space="preserve"> 4573-50-6</t>
  </si>
  <si>
    <t xml:space="preserve"> L-PIPERITONE</t>
  </si>
  <si>
    <t xml:space="preserve"> &amp;diams; PIPERITONE, L-&lt;br /&gt;&amp;diams; PIPERITONE, (-)-&lt;br /&gt;&amp;diams; 2-CYCLOHEXEN-1-ONE, 3-METHYL-6-(1-METHYLETHYL)-, (R)-&lt;br /&gt;&amp;diams; 3-METHYL-6-(1-METHYLETHYL)-2-CYCLOHEXEN-1-ONE, (R)-&lt;br /&gt;&amp;diams; P-MENTH-1-EN-3-ONE, (R)-(-)-&lt;br /&gt;&amp;diams; MENTH-1-EN-3-ONE, P-, (R)-(-)-&lt;br /&gt;&amp;diams; InChI=1S/C10H16O/c1-7(2)9-5-4-8(3)6-10(9)11/h6-7,9H,4-5H2,1-3H3/t9-/m1/s1&lt;br /&gt;&amp;diams; InChIKey: YSTPAHQEHQSRJD-SECBINFHSA-N</t>
  </si>
  <si>
    <t xml:space="preserve"> 90082-60-3</t>
  </si>
  <si>
    <t xml:space="preserve"> PIPER LONGUM DISTILLATE</t>
  </si>
  <si>
    <t xml:space="preserve"> &amp;diams; PIPER LONGUM DISTILLATE&lt;br /&gt;&amp;diams; pepper (piper), P. longum, ext.&lt;br /&gt;&amp;diams; pepper (piper), P. longum, distillate</t>
  </si>
  <si>
    <t xml:space="preserve"> 120-57-0</t>
  </si>
  <si>
    <t xml:space="preserve"> PIPERONAL</t>
  </si>
  <si>
    <t xml:space="preserve"> &amp;diams; PIPERONAL&lt;br /&gt;&amp;diams; HELIOTROPIN&lt;br /&gt;&amp;diams; PIPERONYLALDEHYDE&lt;br /&gt;&amp;diams; DIOXYMETHYLENEPROTOCATECHUIC ALDEHYDE&lt;br /&gt;&amp;diams; 3,4-METHYLENEDIOXYBENZALDEHYDE&lt;br /&gt;&amp;diams; PROTOCATECHUIC ALDEHYDE METHYLENE ETHER&lt;br /&gt;&amp;diams; 1,3-BENZODIOXOLE-5-CARBOXALDEHYDE&lt;br /&gt;&amp;diams; HELIOTROPINE&lt;br /&gt;&amp;diams; InChI=1S/C8H6O3/c9-4-6-1-2-7-8(3-6)11-5-10-7/h1-4H,5H2&lt;br /&gt;&amp;diams; InChIKey: SATCULPHIDQDRE-UHFFFAOYSA-N</t>
  </si>
  <si>
    <t xml:space="preserve"> 61683-99-6</t>
  </si>
  <si>
    <t xml:space="preserve"> PIPERONAL PROPYLENEGLYCOL ACETAL</t>
  </si>
  <si>
    <t xml:space="preserve"> &amp;diams; PIPERONAL PROPYLENE GLYCOL ACETAL&lt;br /&gt;&amp;diams; 1,3-benzodioxole, 5-(4-methyl-1,3-dioxolan-2-yl)-&lt;br /&gt;&amp;diams; 5-(4-methyl-1,3-dioxolan-2-yl)-1,3-benzodioxole&lt;br /&gt;&amp;diams; 1,3-dioxolane, 4-methyl-2-(3,4-methylenedioxyphenyl)-&lt;br /&gt;&amp;diams; 4-methyl-2-(3,4-methylenedioxyphenyl)-1,3-dioxolane</t>
  </si>
  <si>
    <t xml:space="preserve"> 326-61-4</t>
  </si>
  <si>
    <t xml:space="preserve"> PIPERONYL ACETATE</t>
  </si>
  <si>
    <t xml:space="preserve"> &amp;diams; PIPERONYL ACETATE&lt;br /&gt;&amp;diams; HELIOTROPYL ACETATE&lt;br /&gt;&amp;diams; 3,4-METHYLENEDIOXYBENZYL ACETATE&lt;br /&gt;&amp;diams; 1,3-BENZODIOXOLE-5-METHANOL, ACETATE&lt;br /&gt;&amp;diams; PIPERONYL ALCOHOL, ACETATE&lt;br /&gt;&amp;diams; 1,3-BENZODIOXOLE-5-METHANYL ACETATE</t>
  </si>
  <si>
    <t xml:space="preserve"> 5461-08-5</t>
  </si>
  <si>
    <t xml:space="preserve"> PIPERONYL ISOBUTYRATE</t>
  </si>
  <si>
    <t xml:space="preserve"> &amp;diams; PIPERONYL ISOBUTYRATE&lt;br /&gt;&amp;diams; HELIOTROPYL 2-METHYLPROPANOATE&lt;br /&gt;&amp;diams; PIPERONYL 2-METHYLPROPANOATE&lt;br /&gt;&amp;diams; PROPANOIC ACID, 2-METHYL-, 1,3-BENZODIOXOL-5-YLMETHYL ESTER&lt;br /&gt;&amp;diams; 3,4-METHYLENEDIOXYBENZYL 2-METHYLPROPANOATE&lt;br /&gt;&amp;diams; 1,3-BENZODIOXOL-5-YLMETHYL 2-METHYLPROPANOATE</t>
  </si>
  <si>
    <t xml:space="preserve"> 89997-56-8</t>
  </si>
  <si>
    <t xml:space="preserve"> PIPSISSEWA LEAVES, EXTRACT (CHIMAPHILA UMBELLATA NUTT.)</t>
  </si>
  <si>
    <t xml:space="preserve"> &amp;diams; PIPSISSEWA LEAF EXTRACT&lt;br /&gt;&amp;diams; CHIMAPHILA EXTRACT&lt;br /&gt;&amp;diams; CHIMAPHILA UMBELLATA LEAF EXTRACT&lt;br /&gt;&amp;diams; CHIMAPHILA UMBELLATA, EXT.&lt;br /&gt;&amp;diams; PRINCE'S PINE EXTRACT</t>
  </si>
  <si>
    <t xml:space="preserve"> 1197-15-5</t>
  </si>
  <si>
    <t xml:space="preserve"> 1,3-P-MENTHADIEN-7-AL</t>
  </si>
  <si>
    <t xml:space="preserve"> &amp;diams; P-MENTHA-1,3,-DIEN-7-AL&lt;br /&gt;&amp;diams; 1,3-cyclohexadiene-1-carboxaldehyde, 4-(1-methylethyl)-&lt;br /&gt;&amp;diams; 1,3-cyclohexadiene-1-carboxaldehyde, 4-isopropyl-&lt;br /&gt;&amp;diams; 1,3,-p-menthadien-7-al</t>
  </si>
  <si>
    <t xml:space="preserve"> 42822-86-6</t>
  </si>
  <si>
    <t xml:space="preserve"> P-MENTHANE-3,8-DIOL</t>
  </si>
  <si>
    <t xml:space="preserve"> &amp;diams; P-MENTHANE-3,8-DIOL&lt;br /&gt;&amp;diams; cyclohexanemethanol, 2-hydroxy-alpha,alpha,4-trimethyl-&lt;br /&gt;&amp;diams; 2-hydroxy-alpha,alpha,4-trimethylcyclohexanemethanol&lt;br /&gt;&amp;diams; 2-(2'-hydroxypropan-2'-yl)-5-methylcyclohexanol</t>
  </si>
  <si>
    <t xml:space="preserve"> 5502-75-0</t>
  </si>
  <si>
    <t xml:space="preserve"> P-MENTHAN-7-OL</t>
  </si>
  <si>
    <t xml:space="preserve"> &amp;diams; MENTHAN-7-OL, P-&lt;br /&gt;&amp;diams; cyclohexanemethanol,4-(1-methylethyl)-&lt;br /&gt;&amp;diams; 4-(1-methylethyl)cyclohexanemethanol&lt;br /&gt;&amp;diams; 4-isopropylcyclohexylmethanol</t>
  </si>
  <si>
    <t xml:space="preserve"> 18479-68-0</t>
  </si>
  <si>
    <t xml:space="preserve"> P-MENTH-1-EN-9-OL</t>
  </si>
  <si>
    <t xml:space="preserve"> &amp;diams; P-MENTH-1-EN-9-OL&lt;br /&gt;&amp;diams; 3-cyclohexene-1-ethanol, beta,4-dimethyl-&lt;br /&gt;&amp;diams; beta,4-dimethyl-3-cyclohexene-1-ethanol</t>
  </si>
  <si>
    <t xml:space="preserve"> 9003-05-8</t>
  </si>
  <si>
    <t xml:space="preserve"> POLYACRYLAMIDE</t>
  </si>
  <si>
    <t xml:space="preserve"> &amp;diams; POLYACRYLAMIDE&lt;br /&gt;&amp;diams; POLYACRYLAMIDE RESIN&lt;br /&gt;&amp;diams; 2-PROPENAMIDE, HOMOPOLYMER&lt;br /&gt;&amp;diams; POLY(2-PROPENAMIDE)&lt;br /&gt;&amp;diams; ACRYLAMIDE, POLYMERS</t>
  </si>
  <si>
    <t xml:space="preserve"> 26006-22-4</t>
  </si>
  <si>
    <t xml:space="preserve"> POLYACRYLAMIDE RESIN, MODIFIED</t>
  </si>
  <si>
    <t xml:space="preserve"> &amp;diams; POLY(ACRYLAMIDE-CO-(2-(METHACRYLOYLOXY)ETHYL)TRIMETHYLAMMONIUM METHYL SULFATE)&lt;br /&gt;&amp;diams; ACRYLAMIDE-BETA-METHACRYLOYLOXYETHYLTRIMETHYLAMMONIUM METHYL SULFATE COPOLYMER RESIN&lt;br /&gt;&amp;diams; BETA-METHACRYLOYLOXYETHYLTRIMETHYLAMMONIUM METHYL SULFATE-ACRYLAMIDE COPOLYMER&lt;br /&gt;&amp;diams; ACRYLAMIDE-(2-(METHACRYLOYLOXY)ETHYL)TRIMETHYLAMMONIUM METHYL SULFATE COPOLYMER RESIN&lt;br /&gt;&amp;diams; CHOLINE METHYL SULFATE METHACRYLATE-ACRYLAMIDE COPOLYMER&lt;br /&gt;&amp;diams; ETHANAMINIUM, N,N,N-TRIMETHYL-2-((2-METHYL-1-OXO-2-PROPENYL)OXY)-, METHYL SULFATE, POLYMER WITH 2-PROPENAMIDE&lt;br /&gt;&amp;diams; QUATERNIUM-39&lt;br /&gt;&amp;diams; POLYACRYLAMIDE RESIN, MODIFIED&lt;br /&gt;&amp;diams; POLY(N,N,N-TRIMETHYL-2-((2-METHYL-1-OXO-2-PROPENYL)OXY)ETHANAMINIUM METHYL SULFATE-CO-2-PROPENAMIDE)</t>
  </si>
  <si>
    <t xml:space="preserve"> 71050-62-9</t>
  </si>
  <si>
    <t xml:space="preserve"> POLY(ACRYLIC ACID-CO-HYPOPHOSPHITE), SODIUM SALT</t>
  </si>
  <si>
    <t xml:space="preserve"> &amp;diams; POLY(ACRYLIC ACID-CO-SODIUM HYPOPHOSPHITE)&lt;br /&gt;&amp;diams; ACRYLIC ACID-SODIUM PHOSPHINATE COPOLYMER&lt;br /&gt;&amp;diams; ACRYLIC ACID-SODIUM HYPOPHOSPHITE COPOLYMER&lt;br /&gt;&amp;diams; PHOSPHINIC ACID, SODIUM SALT, POLYMER WITH 2-PROPENOIC ACID&lt;br /&gt;&amp;diams; POLY(ACRYLIC ACID-CO-HYPOPHOSPHITE), SODIUM SALT&lt;br /&gt;&amp;diams; POLY(2-PROPENOIC ACID-CO-SODIUM PHOSPHINATE)&lt;br /&gt;&amp;diams; SODIUM HYPOPHOSPHITE-ACRYLIC ACID COPOLYMER&lt;br /&gt;&amp;diams; 2-PROPENOIC ACID-SODIUM PHOSPHINATE COPOLYMER&lt;br /&gt;&amp;diams; 2-PROPENOIC ACID, POLYMER WITH SODIUM PHOSPHINATE</t>
  </si>
  <si>
    <t xml:space="preserve"> 9003-04-7</t>
  </si>
  <si>
    <t xml:space="preserve"> POLYACRYLIC ACID, SODIUM SALT</t>
  </si>
  <si>
    <t xml:space="preserve"> &amp;diams; SODIUM POLYACRYLATE&lt;br /&gt;&amp;diams; 2-PROPENOIC ACID, HOMOPOLYMER, SODIUM SALT&lt;br /&gt;&amp;diams; ACRYLIC ACID, POLYMERS, SODIUM SALT&lt;br /&gt;&amp;diams; POLY(ACRYLIC ACID), SODIUM SALT</t>
  </si>
  <si>
    <t xml:space="preserve"> 68424-04-4</t>
  </si>
  <si>
    <t xml:space="preserve"> POLYDEXTROSE</t>
  </si>
  <si>
    <t xml:space="preserve"> &amp;diams; POLYDEXTROSE</t>
  </si>
  <si>
    <t xml:space="preserve"> FORMULATION AID,&lt;br /&gt; HUMECTANT,&lt;br /&gt; NUTRIENT SUPPLEMENT,&lt;br /&gt; STABILIZER OR THICKENER,&lt;br /&gt; TEXTURIZER</t>
  </si>
  <si>
    <t xml:space="preserve"> 9043-77-0</t>
  </si>
  <si>
    <t xml:space="preserve"> POLY(DIVINYLBENZENE-CO-ETHYLSTYRENE)</t>
  </si>
  <si>
    <t xml:space="preserve"> &amp;diams; POLY(DIVINYLBENZENE-CO-ETHYLSTYRENE)&lt;br /&gt;&amp;diams; BENZENE, DIETHENYL-, POLYMER WITH ETHENYLETHYLBENZENE&lt;br /&gt;&amp;diams; DIVINYLBENZENE-ETHYLVINYLBENZENE COPOLYMER&lt;br /&gt;&amp;diams; POLY(DIETHENYLBENZENE-CO-ETHENYLETHYLBENZENE)</t>
  </si>
  <si>
    <t xml:space="preserve"> 60177-39-1</t>
  </si>
  <si>
    <t xml:space="preserve"> POLY(DIVINYLBENZENE-CO-TRIMETHYL(VINYLBENZYL)AMMONIUM CHLORIDE)</t>
  </si>
  <si>
    <t xml:space="preserve"> &amp;diams; POLY(DIVINYLBENZENE-CO-TRIMETHYL(VINYLBENZYL)AMMONIUM CHLORIDE)&lt;br /&gt;&amp;diams; BENZENEMETHANAMINIUM, AR-ETHENYL-N,N,N-TRIMETHYL-, CHLORIDE, POLYMER WITH DIETHENYLBENZENE&lt;br /&gt;&amp;diams; POLY(DIVINYLBENZENE-CO-STYRENE), CHLOROMETHYLATED, AMINATED WITH TRIMETHYLAMINE&lt;br /&gt;&amp;diams; POLY(TRIMETHYL(VINYLBENZYL)AMMONIUM CHLORIDE), CROSSLINKED WITH DIVINYLBENZENE&lt;br /&gt;&amp;diams; POLY(VINYLBENZYLTRIMETHYLAMMONIUM CHLORIDE), CROSSLINKED WITH DIVINYLBENZENE&lt;br /&gt;&amp;diams; POLY(DIETHENYLBENZENE-CO-AR-N,N,N-TRIMETHYLBENZENEMETHANAMINIUM CHLORIDE)&lt;br /&gt;&amp;diams; STYRENE-DIVINYLBENZENE RESIN, CHLOROMETHYLATED, AMINATED WITH TRIMETHYLAMINE</t>
  </si>
  <si>
    <t xml:space="preserve"> 9002-88-4</t>
  </si>
  <si>
    <t xml:space="preserve"> POLYETHYLENE (M W 2,000-21,000)</t>
  </si>
  <si>
    <t xml:space="preserve"> &amp;diams; POLYETHYLENE&lt;br /&gt;&amp;diams; POLYETHYLENE WAX&lt;br /&gt;&amp;diams; POLYTHENE&lt;br /&gt;&amp;diams; ETHYLENE HOMOPOLYMER&lt;br /&gt;&amp;diams; POLYETHYLENE RESIN&lt;br /&gt;&amp;diams; ETHENE, HOMOPOLYMER&lt;br /&gt;&amp;diams; ETHYLENE, POLYMERS</t>
  </si>
  <si>
    <t xml:space="preserve"> MALTING OR FERMENTING AID,&lt;br /&gt; SEQUESTRANT,&lt;br /&gt; SURFACE-FINISHING AGENT</t>
  </si>
  <si>
    <t xml:space="preserve"> 25322-68-3</t>
  </si>
  <si>
    <t xml:space="preserve"> POLYETHYLENE GLYCOL (M W 200-9,500)</t>
  </si>
  <si>
    <t xml:space="preserve"> &amp;diams; PEG&lt;br /&gt;&amp;diams; POLYOXYETHYLENE&lt;br /&gt;&amp;diams; POLYETHYLENE GLYCOL&lt;br /&gt;&amp;diams; POLYETHYLENE OXIDE&lt;br /&gt;&amp;diams; ETHYLENE GLYCOL, ETHERIFIED&lt;br /&gt;&amp;diams; ETHYLENE GLYCOL, ETHOXYLATED&lt;br /&gt;&amp;diams; POLYGLYCOL&lt;br /&gt;&amp;diams; POLY(ETHYLENE GLYCOL)&lt;br /&gt;&amp;diams; POLY(ETHYLENE OXIDE)&lt;br /&gt;&amp;diams; POLYOXIRANE&lt;br /&gt;&amp;diams; GLYCOLS, POLYETHYLENE&lt;br /&gt;&amp;diams; POLY(OXY-1,2-ETHANEDIYL), ALPHA-HYDRO-OMEGA-HYDROXY-&lt;br /&gt;&amp;diams; ALPHA-HYDRO-OMEGA-HYDROXYPOLY(OXY-1,2-ETHANEDIYL)</t>
  </si>
  <si>
    <t xml:space="preserve"> BOILER WATER ADDITIVE,&lt;br /&gt; FLAVORING AGENT OR ADJUVANT,&lt;br /&gt; FORMULATION AID,&lt;br /&gt; LUBRICANT OR RELEASE AGENT,&lt;br /&gt; SURFACE-ACTIVE AGENT</t>
  </si>
  <si>
    <t xml:space="preserve"> 68441-17-8</t>
  </si>
  <si>
    <t xml:space="preserve"> POLYETHYLENE, OXIDIZED</t>
  </si>
  <si>
    <t xml:space="preserve"> &amp;diams; POLYETHYLENE, OXIDIZED&lt;br /&gt;&amp;diams; ETHENE, HOMOPOLYMER, OXIDIZED&lt;br /&gt;&amp;diams; OXIDIZED POLYETHYLENE&lt;br /&gt;&amp;diams; OXIDIZED POLYETHYLENE WAX</t>
  </si>
  <si>
    <t xml:space="preserve"> 68130-97-2</t>
  </si>
  <si>
    <t xml:space="preserve"> POLYETHYLENIMINE REACTION PRODUCT W/ 1,2-DICHLOROETHANE</t>
  </si>
  <si>
    <t xml:space="preserve"> &amp;diams; ETHYLENE DICHLORIDE-POLYETHYLENIMINE REACTION PRODUCT&lt;br /&gt;&amp;diams; AZIRIDINE, HOMOPOLYMER, REACTION PRODUCTS WITH 1,2-DICHLOROETHANE&lt;br /&gt;&amp;diams; POLYETHYLENIMINE, CROSS-LINKED WITH 1,2-DICHLOROETHANE&lt;br /&gt;&amp;diams; POLYAZIRIDINE, CROSS-LINKED WITH 1,2-DICHLOROETHANE&lt;br /&gt;&amp;diams; POLYETHYLENIMINE REACTION PRODUCT WITH 1,2-DICHLOROETHANE</t>
  </si>
  <si>
    <t xml:space="preserve"> 66070-87-9</t>
  </si>
  <si>
    <t xml:space="preserve"> POLYGLYCERYL PHTHALATE ESTER OF COCONUT OIL FATTY ACIDS</t>
  </si>
  <si>
    <t xml:space="preserve"> &amp;diams; poly(coconut oil-co-glycerin-co-phthalic anhydride)&lt;br /&gt;&amp;diams; coconut oil fatty acids, polyglyceryl phthalate ester&lt;br /&gt;&amp;diams; coconut oil, polymer with glycerol and phthalic anhydride&lt;br /&gt;&amp;diams; glycerin-phthalic anhydride-coconut oil copolymer&lt;br /&gt;&amp;diams; polyglyceryl phthalate cocoate_x000D_
</t>
  </si>
  <si>
    <t xml:space="preserve"> 9003-27-4</t>
  </si>
  <si>
    <t xml:space="preserve"> POLYISOBUTYLENE (MIN M W 37,000)</t>
  </si>
  <si>
    <t xml:space="preserve"> &amp;diams; POLYISOBUTYLENE&lt;br /&gt;&amp;diams; ISOBUTYLENE POLYMER&lt;br /&gt;&amp;diams; 2-METHYL-1-PROPENE, HOMOPOLYMER&lt;br /&gt;&amp;diams; 1-PROPENE, 2-METHYL-, HOMOPOLYMER&lt;br /&gt;&amp;diams; POLY(2-METHYL-1-PROPENE)&lt;br /&gt;&amp;diams; PROPENE, 2-METHYL-, POLYMERS</t>
  </si>
  <si>
    <t xml:space="preserve"> 9003-73-0</t>
  </si>
  <si>
    <t xml:space="preserve"> POLYLIMONENE</t>
  </si>
  <si>
    <t xml:space="preserve"> &amp;diams; POLYLIMONENE&lt;br /&gt;&amp;diams; DIPENTENE HOMOPOLYMER&lt;br /&gt;&amp;diams; CYCLOHEXENE, 1-METHYL-4-(1-METHYLETHENYL)-, HOMOPOLYMER&lt;br /&gt;&amp;diams; P-MENTHA-1,8-DIENE, POLYMERS&lt;br /&gt;&amp;diams; POLYDIPENTENE&lt;br /&gt;&amp;diams; DIPENTENE RESIN&lt;br /&gt;&amp;diams; 1-METHYL-4-(1-METHYLETHENYL)CYCLOHEXENE, HOMOPOLYMER</t>
  </si>
  <si>
    <t xml:space="preserve"> 26099-09-2</t>
  </si>
  <si>
    <t xml:space="preserve"> POLYMALEIC ACID</t>
  </si>
  <si>
    <t xml:space="preserve"> &amp;diams; POLY(MALEIC ACID)&lt;br /&gt;&amp;diams; MALEIC ACID, POLYMERS&lt;br /&gt;&amp;diams; POLYMALEIC ACID&lt;br /&gt;&amp;diams; MALEIC ACID HOMOPOLYMER&lt;br /&gt;&amp;diams; 2-BUTENEDIOIC ACID (Z)-, HOMOPOLYMER</t>
  </si>
  <si>
    <t xml:space="preserve"> 30915-61-8</t>
  </si>
  <si>
    <t xml:space="preserve"> POLYMALEIC ACID, SODIUM SALT</t>
  </si>
  <si>
    <t xml:space="preserve"> &amp;diams; POLY(MALEIC ACID), SODIUM SALT&lt;br /&gt;&amp;diams; MALEIC ACID, POLYMERS, SODIUM SALT&lt;br /&gt;&amp;diams; POLYMALEIC ACID, SODIUM SALT&lt;br /&gt;&amp;diams; SODIUM POLYMALEATE&lt;br /&gt;&amp;diams; SODIUM POLY(MALEATE)&lt;br /&gt;&amp;diams; 2-BUTENEDIOIC ACID (Z)-, HOMOPOLYMER, SODIUM SALT</t>
  </si>
  <si>
    <t xml:space="preserve"> 70247-90-4</t>
  </si>
  <si>
    <t xml:space="preserve"> POLY(MALEIC ANHYDRIDE), SODIUM SALT</t>
  </si>
  <si>
    <t xml:space="preserve"> &amp;diams; POLY(MALEIC ANHYDRIDE), SODIUM SALT&lt;br /&gt;&amp;diams; 2,5-FURANDIONE, HOMOPOLYMER, SODIUM SALT</t>
  </si>
  <si>
    <t xml:space="preserve"> 9005-07-6</t>
  </si>
  <si>
    <t xml:space="preserve"> POLYOXYETHYLENE DIOLEATE</t>
  </si>
  <si>
    <t xml:space="preserve"> &amp;diams; PEG DIOLEATE&lt;br /&gt;&amp;diams; POLYOXYETHYLENE DIOLEATE&lt;br /&gt;&amp;diams; POLY(OXY-1,2-ETHANEDIYL), ALPHA-(1-OXO-9-OCTADECENYL)-OMEGA-((1-OXO-9-OCTADECENYL)OXY)-, (Z,Z)-&lt;br /&gt;&amp;diams; ALPHA-(1-OXO-9-OCTADECENYL)-OMEGA-((1-OXO-9-OCTADECENCYL)OXY)POLY(OXY-1,2-ETHANEDIYL),  (Z,Z)-&lt;br /&gt;&amp;diams; GLYCOLS, POLYETHYLENE, DIOLEATE&lt;br /&gt;&amp;diams; OLEIC ACID, DIESTER WITH POLYETHYLENE GLYCOL&lt;br /&gt;&amp;diams; POLYETHYLENE GLYCOL DIOLEATE</t>
  </si>
  <si>
    <t xml:space="preserve"> 977028-99-1</t>
  </si>
  <si>
    <t xml:space="preserve"> POLYOXYETHYLENE (600) DIOLEATE</t>
  </si>
  <si>
    <t xml:space="preserve"> &amp;diams; PEG-12 DIOLEATE&lt;br /&gt;&amp;diams; POLYOXYETHYLENE 600 DIOLEATE&lt;br /&gt;&amp;diams; POLYETHYLENE GLYCOL 600 DIOLEATE</t>
  </si>
  <si>
    <t xml:space="preserve"> 9004-99-3</t>
  </si>
  <si>
    <t xml:space="preserve"> POLYOXYETHYLENE 40 MONOSTEARATE</t>
  </si>
  <si>
    <t xml:space="preserve"> &amp;diams; PEG STEARATE&lt;br /&gt;&amp;diams; POLYETHYLENE GLYCOL MONOSTEARATE&lt;br /&gt;&amp;diams; POLYETHYLENE OXIDE STEARATE&lt;br /&gt;&amp;diams; POLY(OXY-1,2-ETHANEDIYL), ALPHA-(1-OXOOCTADECYL)-OMEGA-HYDROXY-&lt;br /&gt;&amp;diams; ALPHA-(1-OXOOCTADECYL)-OMEGA-HYDROXYPOLY(OXY-1,2-ETHANEDIYL)&lt;br /&gt;&amp;diams; GLYCOLS, POLYETHYLENE, MONOSTEARATE&lt;br /&gt;&amp;diams; STEARIC ACID, MONOESTER WITH POLYETHYLENE GLYCOL&lt;br /&gt;&amp;diams; POLYETHYLENE GLYCOL STEARATE&lt;br /&gt;&amp;diams; POLYOXYETHYLENE STEARATE</t>
  </si>
  <si>
    <t xml:space="preserve"> 25322-69-4</t>
  </si>
  <si>
    <t xml:space="preserve"> POLYPROPYLENE GLYCOL (M W 1,200-3,000)</t>
  </si>
  <si>
    <t xml:space="preserve"> &amp;diams; PPG&lt;br /&gt;&amp;diams; POLYPROPYLENE GLYCOL&lt;br /&gt;&amp;diams; POLYOXYPROPYLENE&lt;br /&gt;&amp;diams; PROPYLENE OXIDE HOMOPOLYMER&lt;br /&gt;&amp;diams; METHYLOXIRANE HOMOPOLYMER&lt;br /&gt;&amp;diams; ALPHA-HYDRO-OMEGA-HYDROXYPOLY(OXYPROPYLENE)&lt;br /&gt;&amp;diams; GLYCOLS, POLYPROPYLENE&lt;br /&gt;&amp;diams; POLY(OXY(METHYL-1,2-ETHANEDIYL)), ALPHA-HYDRO-OMEGA-HYDROXY-&lt;br /&gt;&amp;diams; ALPHA-HYDRO-OMEGA-HYDROXYPOLY(OXY(METHYL-1,2-ETHANEDIYL))&lt;br /&gt;&amp;diams; POLYOXYPROPYLENE GLYCOL</t>
  </si>
  <si>
    <t xml:space="preserve"> 9005-64-5</t>
  </si>
  <si>
    <t xml:space="preserve"> POLYSORBATE 20</t>
  </si>
  <si>
    <t xml:space="preserve"> &amp;diams; POLYSORBATE 20&lt;br /&gt;&amp;diams; PEG-20 SORBITAN LAURATE&lt;br /&gt;&amp;diams; PEG SORBITAN LAURATE&lt;br /&gt;&amp;diams; POLYOXYETHYLENE SORBITAN MONOLAURATE&lt;br /&gt;&amp;diams; SORBITAN, MONODODECANOATE, POLY(OXY-1,2-ETHANEDIYL) DERIVS.&lt;br /&gt;&amp;diams; SORBITAN, MONOLAURATE, POLYOXYETHYLENE DERIVS.&lt;br /&gt;&amp;diams; POLYOXYETHYLENE (20) SORBITAN MONOLAURATE</t>
  </si>
  <si>
    <t xml:space="preserve"> BOILER WATER ADDITIVE,&lt;br /&gt; EMULSIFIER OR EMULSIFIER SALT,&lt;br /&gt; FLAVORING AGENT OR ADJUVANT,&lt;br /&gt; STABILIZER OR THICKENER,&lt;br /&gt; SURFACE-ACTIVE AGENT</t>
  </si>
  <si>
    <t xml:space="preserve"> 9005-67-8</t>
  </si>
  <si>
    <t xml:space="preserve"> POLYSORBATE 60</t>
  </si>
  <si>
    <t xml:space="preserve"> &amp;diams; POLYSORBATE 60&lt;br /&gt;&amp;diams; PEG-20 SORBITAN STEARATE&lt;br /&gt;&amp;diams; POLYOXYETHYLENE SORBITAN MONOSTEARATE&lt;br /&gt;&amp;diams; PEG SORBITAN STEARATE&lt;br /&gt;&amp;diams; SORBITAN, MONOOCTADECANOATE, POLY(OXY-1,2-ETHANEDIYL) DERIVS.&lt;br /&gt;&amp;diams; SORBITAN, MONOSTEARATE, POLYOXYETHYLENE DERIVS.&lt;br /&gt;&amp;diams; POLYOXYETHYLENE (20) SORBITAN MONOSTEARATE</t>
  </si>
  <si>
    <t xml:space="preserve"> 9005-71-4</t>
  </si>
  <si>
    <t xml:space="preserve"> POLYSORBATE 65</t>
  </si>
  <si>
    <t xml:space="preserve"> &amp;diams; POLYSORBATE 65&lt;br /&gt;&amp;diams; PEG-20 SORBITAN TRISTEARATE&lt;br /&gt;&amp;diams; PEG SORBITAN TRISTEARATE&lt;br /&gt;&amp;diams; SORBITAN, TRIOCTADECANOATE, POLY(OXY-1,2-ETHANEDIYL) DERIVS.&lt;br /&gt;&amp;diams; SORBITAN, TRISTEARATE, POLYOXYETHYLENE DERIVS.&lt;br /&gt;&amp;diams; POLYOXYETHYLENE SORBITAN TRISTEARATE&lt;br /&gt;&amp;diams; POLYOXYETHYLENE (20) SORBITAN TRISTEARATE</t>
  </si>
  <si>
    <t xml:space="preserve"> 9005-65-6</t>
  </si>
  <si>
    <t xml:space="preserve"> POLYSORBATE 80</t>
  </si>
  <si>
    <t xml:space="preserve"> &amp;diams; POLYSORBATE 80&lt;br /&gt;&amp;diams; PEG-20 SORBITAN OLEATE&lt;br /&gt;&amp;diams; POLYOXYETHYLENE SORBITAN MONOOLEATE&lt;br /&gt;&amp;diams; SORBITAN, MONO-9-OCTADECENOATE, POLY(OXY-1,2-ETHANEDIYL) DERIVS. (Z)-&lt;br /&gt;&amp;diams; PEG SORBITAN OLEATE&lt;br /&gt;&amp;diams; SORBITAN, MONOOLEATE, POLYOXYETHYLENE DERIVS.&lt;br /&gt;&amp;diams; GLYCOLS, POLYETHYLENE, ETHER WITH SORBITAN MONOOLEATE&lt;br /&gt;&amp;diams; POLYOXYETHYLENE (20) SORBITAN MONOOLEATE</t>
  </si>
  <si>
    <t xml:space="preserve"> COLOR OR COLORING ADJUNCT,&lt;br /&gt; EMULSIFIER OR EMULSIFIER SALT,&lt;br /&gt; FLAVOR ENHANCER,&lt;br /&gt; FLAVORING AGENT OR ADJUVANT,&lt;br /&gt; SOLVENT OR VEHICLE,&lt;br /&gt; STABILIZER OR THICKENER,&lt;br /&gt; SURFACE-ACTIVE AGENT</t>
  </si>
  <si>
    <t xml:space="preserve"> 977086-87-5</t>
  </si>
  <si>
    <t xml:space="preserve"> POLYSTYRENE, CROSS-LINKED, CHLOROMETHYLATED, THEN AMINATED WITH TRIMETHYLAMINE, DIMETHYLAMINE, DIETHYLENETRIAMINE, OR TRIETHANOLAMINE</t>
  </si>
  <si>
    <t xml:space="preserve"> &amp;diams; POLYSTYRENE, CROSS-LINKED, CHLOROMETHYLATED, AMINATED</t>
  </si>
  <si>
    <t xml:space="preserve"> 9003-20-7</t>
  </si>
  <si>
    <t xml:space="preserve"> POLYVINYL ACETATE</t>
  </si>
  <si>
    <t xml:space="preserve"> &amp;diams; POLYVINYL ACETATE&lt;br /&gt;&amp;diams; ETHENYL ACETATE HOMOPOLYMER&lt;br /&gt;&amp;diams; VINYL ACETATE POLYMER&lt;br /&gt;&amp;diams; POLYVINYL ACETATE RESIN&lt;br /&gt;&amp;diams; ACETIC ACID ETHENYL ESTER, HOMOPOLYMER&lt;br /&gt;&amp;diams; ACETIC ACID VINYL ESTER, POLYMERS</t>
  </si>
  <si>
    <t xml:space="preserve"> 9002-89-5</t>
  </si>
  <si>
    <t xml:space="preserve"> POLYVINYL ALCOHOL</t>
  </si>
  <si>
    <t xml:space="preserve"> &amp;diams; POLYVINYL ALCOHOL&lt;br /&gt;&amp;diams; ETHENOL, HOMOPOLYMER&lt;br /&gt;&amp;diams; POLYETHENOL&lt;br /&gt;&amp;diams; VINYL ALCOHOL, POLYMERS</t>
  </si>
  <si>
    <t xml:space="preserve"> 977043-97-2</t>
  </si>
  <si>
    <t xml:space="preserve"> POLYVINYL POLYPYRROLIDONE</t>
  </si>
  <si>
    <t xml:space="preserve"> &amp;diams; CROSPOVIDONE&lt;br /&gt;&amp;diams; POLYVINYLPOLYPYRROLIDONE&lt;br /&gt;&amp;diams; POLYVINYLPYRROLIDONE, CROSS-LINKED&lt;br /&gt;&amp;diams; PVPP&lt;br /&gt;&amp;diams; 1-VINYL-2-PYRROLIDINONE CROSS-LINKED INSOLUBLE POLYMER</t>
  </si>
  <si>
    <t xml:space="preserve"> 9003-39-8</t>
  </si>
  <si>
    <t xml:space="preserve"> POLYVINYLPYRROLIDONE</t>
  </si>
  <si>
    <t xml:space="preserve"> &amp;diams; POVIDONE&lt;br /&gt;&amp;diams; POLYVINYLPYRROLIDONE&lt;br /&gt;&amp;diams; 1-ETHENYL-2-PYRROLIDINONE HOMOPOLYMER&lt;br /&gt;&amp;diams; 2-PYRROLIDINONE, 1-ETHENYL-, HOMOPOLYMER&lt;br /&gt;&amp;diams; 1-VINYL-2-PYRROLIDINONE HOMOPOLYMER&lt;br /&gt;&amp;diams; 2-PYRROLIDINONE, 1-VINYL-, POLYMERS&lt;br /&gt;&amp;diams; POLY(1-ETHENYL-2-PYRROLIDINONE)&lt;br /&gt;&amp;diams; POLY(1-VINYL-2-PYRROLIDINONE)&lt;br /&gt;&amp;diams; POLY(1-(2-OXO-1-PYRROLIDINYL)ETHYLENE)&lt;br /&gt;&amp;diams; POLY(VINYLPYRROLIDINONE)&lt;br /&gt;&amp;diams; VINYLPYRROLIDONE HOMOPOLYMER</t>
  </si>
  <si>
    <t xml:space="preserve"> FORMULATION AID,&lt;br /&gt; PROCESSING AID,&lt;br /&gt; SOLVENT OR VEHICLE,&lt;br /&gt; STABILIZER OR THICKENER,&lt;br /&gt; SURFACE-ACTIVE AGENT</t>
  </si>
  <si>
    <t xml:space="preserve"> 977018-22-6</t>
  </si>
  <si>
    <t xml:space="preserve"> POMEGRANATE BARK, EXTRACT (PUNICA GRANATUM L.)</t>
  </si>
  <si>
    <t xml:space="preserve"> &amp;diams; POMEGRANATE BARK EXTRACT&lt;br /&gt;&amp;diams; PUNICA GRANATUM BARK EXTRACT</t>
  </si>
  <si>
    <t xml:space="preserve"> 977002-20-2</t>
  </si>
  <si>
    <t xml:space="preserve"> POPLAR BUDS (POPULUS SPP.)</t>
  </si>
  <si>
    <t xml:space="preserve"> &amp;diams; POPLAR BUD</t>
  </si>
  <si>
    <t xml:space="preserve"> 977051-77-6</t>
  </si>
  <si>
    <t xml:space="preserve"> POPPY SEED (PAPAVER SOMNIFERUM L.)</t>
  </si>
  <si>
    <t xml:space="preserve"> &amp;diams; POPPY SEED&lt;br /&gt;&amp;diams; POPPYSEED&lt;br /&gt;&amp;diams; PAPAVER SOMNIFERUM SEED</t>
  </si>
  <si>
    <t xml:space="preserve"> 127-08-2</t>
  </si>
  <si>
    <t xml:space="preserve"> POTASSIUM ACETATE</t>
  </si>
  <si>
    <t xml:space="preserve"> &amp;diams; POTASSIUM ACETATE&lt;br /&gt;&amp;diams; ACETIC ACID, POTASSIUM SALT&lt;br /&gt;&amp;diams; POTASSIUM ETHANOATE</t>
  </si>
  <si>
    <t xml:space="preserve"> 14691-84-0</t>
  </si>
  <si>
    <t xml:space="preserve"> POTASSIUM ACID PYROPHOSPHATE</t>
  </si>
  <si>
    <t xml:space="preserve"> &amp;diams; DIPOTASSIUM PYROPHOSPHATE&lt;br /&gt;&amp;diams; DIPHOSPHORIC ACID, DIPOTASSIUM SALT&lt;br /&gt;&amp;diams; DIPOTASSIUM DIPHOSPHATE&lt;br /&gt;&amp;diams; DIPOTASSIUM DIHYDROGEN PYROPHOSPHATE&lt;br /&gt;&amp;diams; POTASSIUM ACID PYROPHOSPHATE&lt;br /&gt;&amp;diams; PYROPHOSPHORIC ACID, DIPOTASSIUM SALT</t>
  </si>
  <si>
    <t xml:space="preserve"> 582-25-2</t>
  </si>
  <si>
    <t xml:space="preserve"> POTASSIUM BENZOATE</t>
  </si>
  <si>
    <t xml:space="preserve"> &amp;diams; POTASSIUM BENZOATE&lt;br /&gt;&amp;diams; BENZOIC ACID, POTASSIUM SALT</t>
  </si>
  <si>
    <t xml:space="preserve"> 298-14-6</t>
  </si>
  <si>
    <t xml:space="preserve"> POTASSIUM BICARBONATE</t>
  </si>
  <si>
    <t xml:space="preserve"> &amp;diams; POTASSIUM BICARBONATE&lt;br /&gt;&amp;diams; CARBONIC ACID, MONOPOTASSIUM SALT&lt;br /&gt;&amp;diams; MONOPOTASSIUM CARBONATE&lt;br /&gt;&amp;diams; POTASSIUM ACID CARBONATE&lt;br /&gt;&amp;diams; POTASSIUM HYDROGEN CARBONATE</t>
  </si>
  <si>
    <t xml:space="preserve"> FORMULATION AID,&lt;br /&gt; LEAVENING AGENT,&lt;br /&gt; NUTRIENT SUPPLEMENT,&lt;br /&gt; PH CONTROL AGENT,&lt;br /&gt; PROCESSING AID</t>
  </si>
  <si>
    <t xml:space="preserve"> 7773-03-7</t>
  </si>
  <si>
    <t xml:space="preserve"> POTASSIUM BISULFITE</t>
  </si>
  <si>
    <t xml:space="preserve"> &amp;diams; POTASSIUM BISULFITE&lt;br /&gt;&amp;diams; POTASSIUM ACID SULFITE&lt;br /&gt;&amp;diams; SULFUROUS ACID, MONOPOTASSIUM SALT&lt;br /&gt;&amp;diams; MONOPOTASSIUM SULFITE&lt;br /&gt;&amp;diams; POTASSIUM SULFITE (KHSO3)&lt;br /&gt;&amp;diams; POTASSIUM HYDROGEN SULFITE</t>
  </si>
  <si>
    <t xml:space="preserve"> 1332-77-0</t>
  </si>
  <si>
    <t xml:space="preserve"> POTASSIUM BORATE</t>
  </si>
  <si>
    <t xml:space="preserve"> &amp;diams; POTASSIUM TETRABORATE&lt;br /&gt;&amp;diams; BORON POTASSIUM OXIDE (B4K2O7)&lt;br /&gt;&amp;diams; BORIC ACID (H2B4O7), DIPOTASSIUM SALT&lt;br /&gt;&amp;diams; DIPOTASSIUM TETRABORATE&lt;br /&gt;&amp;diams; POTASSIUM BORATE (K2B4O7)</t>
  </si>
  <si>
    <t xml:space="preserve"> 7758-01-2</t>
  </si>
  <si>
    <t xml:space="preserve"> POTASSIUM BROMATE</t>
  </si>
  <si>
    <t xml:space="preserve"> &amp;diams; POTASSIUM BROMATE&lt;br /&gt;&amp;diams; BROMIC ACID, POTASSIUM SALT</t>
  </si>
  <si>
    <t xml:space="preserve"> DOUGH STRENGTHENER,&lt;br /&gt; FLOUR TREATING AGENT,&lt;br /&gt; LEAVENING AGENT,&lt;br /&gt; OXIDIZING OR REDUCING AGENT</t>
  </si>
  <si>
    <t xml:space="preserve"> 136.110 ,  136.180 ,  137.155 ,  137.160 ,  137.205</t>
  </si>
  <si>
    <t xml:space="preserve"> 7758-02-3</t>
  </si>
  <si>
    <t xml:space="preserve"> POTASSIUM BROMIDE</t>
  </si>
  <si>
    <t xml:space="preserve"> &amp;diams; POTASSIUM BROMIDE&lt;br /&gt;&amp;diams; POTASSIUM BROMIDE (KBR)</t>
  </si>
  <si>
    <t xml:space="preserve"> 13040-18-1</t>
  </si>
  <si>
    <t xml:space="preserve"> POTASSIUM CAPRATE</t>
  </si>
  <si>
    <t xml:space="preserve"> &amp;diams; POTASSIUM DECANOATE&lt;br /&gt;&amp;diams; POTASSIUM CAPRATE&lt;br /&gt;&amp;diams; DECANOIC ACID, POTASSIUM SALT</t>
  </si>
  <si>
    <t xml:space="preserve"> 764-71-6</t>
  </si>
  <si>
    <t xml:space="preserve"> POTASSIUM CAPRYLATE</t>
  </si>
  <si>
    <t xml:space="preserve"> &amp;diams; POTASSIUM OCTANOATE&lt;br /&gt;&amp;diams; POTASSIUM CAPRYLATE&lt;br /&gt;&amp;diams; OCTANOIC ACID, POTASSIUM SALT</t>
  </si>
  <si>
    <t xml:space="preserve"> 584-08-7</t>
  </si>
  <si>
    <t xml:space="preserve"> POTASSIUM CARBONATE</t>
  </si>
  <si>
    <t xml:space="preserve"> &amp;diams; POTASSIUM CARBONATE&lt;br /&gt;&amp;diams; POTASSIUM CARBONATE, ANHYDROUS&lt;br /&gt;&amp;diams; PEARL ASH&lt;br /&gt;&amp;diams; CARBONIC ACID, DIPOTASSIUM SALT&lt;br /&gt;&amp;diams; DIPOTASSIUM CARBONATE</t>
  </si>
  <si>
    <t xml:space="preserve"> FLAVORING AGENT OR ADJUVANT,&lt;br /&gt; LEAVENING AGENT,&lt;br /&gt; NUTRIENT SUPPLEMENT,&lt;br /&gt; PH CONTROL AGENT,&lt;br /&gt; PROCESSING AID</t>
  </si>
  <si>
    <t xml:space="preserve"> 68131-54-4</t>
  </si>
  <si>
    <t xml:space="preserve"> POTASSIUM CASEINATE</t>
  </si>
  <si>
    <t xml:space="preserve"> &amp;diams; POTASSIUM CASEINATE&lt;br /&gt;&amp;diams; CASEINS, POTASSIUM COMPLEXES&lt;br /&gt;&amp;diams; POTASSIUM CASEIN COMPLEX&lt;br /&gt;&amp;diams; CASEINATE, POTASSIUM</t>
  </si>
  <si>
    <t xml:space="preserve"> ENZYME,&lt;br /&gt; NUTRIENT SUPPLEMENT</t>
  </si>
  <si>
    <t xml:space="preserve"> 7758-04-5</t>
  </si>
  <si>
    <t xml:space="preserve"> POTASSIUM CYCLAMATE--PROHIBITED</t>
  </si>
  <si>
    <t xml:space="preserve"> &amp;diams; POTASSIUM CYCLAMATE&lt;br /&gt;&amp;diams; POTASSIUM CYCLOHEXYLSULFAMATE&lt;br /&gt;&amp;diams; POTASSIUM CYCLOHEXANESULFAMATE&lt;br /&gt;&amp;diams; SULFAMIC ACID, CYCLOHEXYL-, MONOPOTASSIUM SALT&lt;br /&gt;&amp;diams; MONOPOTASSIUM CYCLOHEXYLSULFAMATE&lt;br /&gt;&amp;diams; CYCLOHEXANESULFAMIC ACID, MONOPOTASSIUM SALT&lt;br /&gt;&amp;diams; MONOPOTASSIUM CYCLOHEXANESULFAMATE&lt;br /&gt;&amp;diams; CYCLAMATE POTASSIUM</t>
  </si>
  <si>
    <t xml:space="preserve"> 100743-68-8</t>
  </si>
  <si>
    <t xml:space="preserve"> POTASSIUM 2-(1'-ETHOXY)ETHOXYPROPANOATE</t>
  </si>
  <si>
    <t xml:space="preserve"> &amp;diams; POTASSIUM 2-(1'-ETHOXY)ETHOXYPROPIONATE&lt;br /&gt;&amp;diams; POTASSIUM O-(1'-ETHOXY)ETHYLLACTATE&lt;br /&gt;&amp;diams; POTASSIUM 2-(1-ETHOXYETHOXY)PROPANOATE&lt;br /&gt;&amp;diams; PROPANOIC ACID, 2-(1-ETHOXYETHOXY)-, POTASSIUM SALT&lt;br /&gt;&amp;diams; POTASSIUM LACTATE 1-ETHOXYETHYL ETHER&lt;br /&gt;&amp;diams; POTASSIUM 2-(1'-ETHOXY)ETHOXYPROPANOATE</t>
  </si>
  <si>
    <t xml:space="preserve"> 7704-72-5</t>
  </si>
  <si>
    <t xml:space="preserve"> POTASSIUM FUMARATE</t>
  </si>
  <si>
    <t xml:space="preserve"> &amp;diams; POTASSIUM FUMARATE&lt;br /&gt;&amp;diams; POTASSIUM 2-BUTENEDIOATE, (E)-&lt;br /&gt;&amp;diams; FUMARIC ACID, POTASSIUM SALT&lt;br /&gt;&amp;diams; 2-BUTENEDIOIC ACID (E)-, POTASSIUM SALT</t>
  </si>
  <si>
    <t xml:space="preserve"> 125-67-7</t>
  </si>
  <si>
    <t xml:space="preserve"> POTASSIUM GIBBERELLATE</t>
  </si>
  <si>
    <t xml:space="preserve"> &amp;diams; POTASSIUM GIBBERELLATE&lt;br /&gt;&amp;diams; GIBB-3-ENE-1,10-DICARBOXYLIC ACID, 2,4A,7-TRIHYDROXY-1-METHYL-8-METHYLENE-, 1,4A-LACTONE, MONOPOTASSIUM SALT, (1ALPHA,2BETA,4AALPHA,4BBETA,10BETA)-&lt;br /&gt;&amp;diams; GIBBERELLIC ACID, MONOPOTASSIUM SALT&lt;br /&gt;&amp;diams; MONOPOTASSIUM 2,4A,7-TRIHYDROXY-1-METHYL-8-METHYLENEGIBB-3-ENE-1,10-DICARBOXYLATE 1,4A-LACTONE, (1ALPHA,2BETA,4AALPHA,4BBETA,10BETA)-&lt;br /&gt;&amp;diams; MONOPOTASSIUM GIBBERELLATE</t>
  </si>
  <si>
    <t xml:space="preserve"> 299-27-4</t>
  </si>
  <si>
    <t xml:space="preserve"> POTASSIUM GLUCONATE</t>
  </si>
  <si>
    <t xml:space="preserve"> &amp;diams; POTASSIUM GLUCONATE&lt;br /&gt;&amp;diams; D-GLUCONIC ACID, MONOPOTASSIUM SALT&lt;br /&gt;&amp;diams; MONOPOTASSIUM D-GLUCONATE&lt;br /&gt;&amp;diams; GLUCONIC ACID, MONOPOTASSIUM SALT, D-</t>
  </si>
  <si>
    <t xml:space="preserve"> 1319-70-6</t>
  </si>
  <si>
    <t xml:space="preserve"> POTASSIUM GLYCEROPHOSPHATE</t>
  </si>
  <si>
    <t xml:space="preserve"> &amp;diams; POTASSIUM GLYCEROPHOSPHATE&lt;br /&gt;&amp;diams; DIPOTASSIUM 1,2,3-PROPANETRIOL MONO(DIHYDROGEN PHOSPHATE) TRIHYDRATE&lt;br /&gt;&amp;diams; DIPOTASSIUM GLYCEROPHOSPHATE TRIHYDRATE&lt;br /&gt;&amp;diams; GLYCEROPHOSPHORIC ACID, DIPOTASSIUM SALT, TRIHYDRATE&lt;br /&gt;&amp;diams; POTASSIUM GLYCEROPHOSPHATE TRIHYDRATE&lt;br /&gt;&amp;diams; 1,2,3-PROPANETRIOL, MONO(DIHYDROGEN PHOSPHATE), DIPOTASSIUM SALT, TRIHYDRATE</t>
  </si>
  <si>
    <t xml:space="preserve"> 1310-58-3</t>
  </si>
  <si>
    <t xml:space="preserve"> POTASSIUM HYDROXIDE</t>
  </si>
  <si>
    <t xml:space="preserve"> &amp;diams; POTASSIUM HYDROXIDE&lt;br /&gt;&amp;diams; POTASH&lt;br /&gt;&amp;diams; CAUSTIC POTASH&lt;br /&gt;&amp;diams; POTASH LYE&lt;br /&gt;&amp;diams; POTASSIUM HYDROXIDE (K(OH))&lt;br /&gt;&amp;diams; InChI=1S/K.H2O/h&lt;br /&gt;&amp;diams; 1H2/q+1&lt;br /&gt;&amp;diams; /p-1&lt;br /&gt;&amp;diams; InChIKey: KWYUFKZDYYNOTN-UHFFFAOYSA-M</t>
  </si>
  <si>
    <t xml:space="preserve"> FORMULATION AID,&lt;br /&gt; FUMIGANT,&lt;br /&gt; PH CONTROL AGENT,&lt;br /&gt; PROCESSING AID,&lt;br /&gt; STABILIZER OR THICKENER,&lt;br /&gt; WASHING OR SURFACE REMOVAL AGENT</t>
  </si>
  <si>
    <t xml:space="preserve"> 99690-64-9</t>
  </si>
  <si>
    <t xml:space="preserve"> POTASSIUM HYPOPHOSPHATE</t>
  </si>
  <si>
    <t xml:space="preserve"> &amp;diams; POTASSIUM HYPOPHOSPHATE&lt;br /&gt;&amp;diams; HYPOPHOSPHORIC ACID, TETRAPOTASSIUM SALT&lt;br /&gt;&amp;diams; POTASSIUM HYPOPHOSPHATE (K4P2O6)&lt;br /&gt;&amp;diams; TETRAPOTASSIUM HYPOPHOSPHATE</t>
  </si>
  <si>
    <t xml:space="preserve"> 7782-87-8</t>
  </si>
  <si>
    <t xml:space="preserve"> POTASSIUM HYPOPHOSPHITE</t>
  </si>
  <si>
    <t xml:space="preserve"> &amp;diams; POTASSIUM HYPOPHOSPHITE&lt;br /&gt;&amp;diams; POTASSIUM PHOSPHINATE&lt;br /&gt;&amp;diams; PHOSPHINIC ACID, POTASSIUM SALT&lt;br /&gt;&amp;diams; POTASSIUM HYPOPHOSPHITE (KH2PO2)</t>
  </si>
  <si>
    <t xml:space="preserve"> 7758-05-6</t>
  </si>
  <si>
    <t xml:space="preserve"> POTASSIUM IODATE</t>
  </si>
  <si>
    <t xml:space="preserve"> &amp;diams; POTASSIUM IODATE&lt;br /&gt;&amp;diams; IODIC ACID (HIO3), POTASSIUM SALT&lt;br /&gt;&amp;diams; POTASSIUM IODINE OXIDE (KIO3)</t>
  </si>
  <si>
    <t xml:space="preserve"> DOUGH STRENGTHENER,&lt;br /&gt; FLOUR TREATING AGENT,&lt;br /&gt; MALTING OR FERMENTING AID,&lt;br /&gt; NUTRIENT SUPPLEMENT,&lt;br /&gt; OXIDIZING OR REDUCING AGENT</t>
  </si>
  <si>
    <t xml:space="preserve"> 7681-11-0</t>
  </si>
  <si>
    <t xml:space="preserve"> POTASSIUM IODIDE</t>
  </si>
  <si>
    <t xml:space="preserve"> &amp;diams; POTASSIUM IODIDE&lt;br /&gt;&amp;diams; POTASSIUM MONOIODIDE&lt;br /&gt;&amp;diams; POTASSIUM IODIDE (KI)&lt;br /&gt;&amp;diams; InChI=1S/HI.K/h1H&lt;br /&gt;&amp;diams; /q&lt;br /&gt;&amp;diams; +1/p-1&lt;br /&gt;&amp;diams; InChIKey: NLKNQRATVPKPDG-UHFFFAOYSA-M</t>
  </si>
  <si>
    <t xml:space="preserve"> NUTRIENT SUPPLEMENT,&lt;br /&gt; TRACER</t>
  </si>
  <si>
    <t xml:space="preserve"> 996-31-6</t>
  </si>
  <si>
    <t xml:space="preserve"> POTASSIUM LACTATE</t>
  </si>
  <si>
    <t xml:space="preserve"> &amp;diams; POTASSIUM LACTATE&lt;br /&gt;&amp;diams; PROPANOIC ACID, 2-HYDROXY-, MONOPOTASSIUM SALT&lt;br /&gt;&amp;diams; MONOPOTASSIUM 2-HYDROXYPROPANOATE&lt;br /&gt;&amp;diams; LACTIC ACID, MONOPOTASSIUM SALT&lt;br /&gt;&amp;diams; MONOPOTASSIUM LACTATE&lt;br /&gt;&amp;diams; POTASSIUM ALPHA-HYDROXYPROPIONATE&lt;br /&gt;&amp;diams; LACTIC ACID, POTASSIUM SALT</t>
  </si>
  <si>
    <t xml:space="preserve"> 10124-65-9</t>
  </si>
  <si>
    <t xml:space="preserve"> POTASSIUM LAURATE</t>
  </si>
  <si>
    <t xml:space="preserve"> &amp;diams; POTASSIUM LAURATE&lt;br /&gt;&amp;diams; DODECANOIC ACID, POTASSIUM SALT&lt;br /&gt;&amp;diams; POTASSIUM DODECANOATE&lt;br /&gt;&amp;diams; LAURIC ACID, POTASSIUM SALT</t>
  </si>
  <si>
    <t xml:space="preserve"> 16731-55-8</t>
  </si>
  <si>
    <t xml:space="preserve"> POTASSIUM METABISULFITE</t>
  </si>
  <si>
    <t xml:space="preserve"> &amp;diams; POTASSIUM METABISULFITE&lt;br /&gt;&amp;diams; DIPOTASSIUM DISULFITE&lt;br /&gt;&amp;diams; DIPOTASSIUM PYROSULFITE&lt;br /&gt;&amp;diams; DISULFUROUS ACID, DIPOTASSIUM SALT&lt;br /&gt;&amp;diams; POTASSIUM PYROSULFITE&lt;br /&gt;&amp;diams; PYROSULFUROUS ACID, DIPOTASSIUM SALT&lt;br /&gt;&amp;diams; POTASSIUM DISULFITE</t>
  </si>
  <si>
    <t xml:space="preserve"> ANTIMICROBIAL AGENT,&lt;br /&gt; ANTIOXIDANT,&lt;br /&gt; COLOR OR COLORING ADJUNCT,&lt;br /&gt; DOUGH STRENGTHENER,&lt;br /&gt; FLOUR TREATING AGENT,&lt;br /&gt; OXIDIZING OR REDUCING AGENT</t>
  </si>
  <si>
    <t xml:space="preserve"> 137-41-7</t>
  </si>
  <si>
    <t xml:space="preserve"> POTASSIUM N-METHYLDITHIOCARBAMATE</t>
  </si>
  <si>
    <t xml:space="preserve"> &amp;diams; POTASSIUM N-METHYLDITHIOCARBAMATE&lt;br /&gt;&amp;diams; CARBAMODITHIOIC ACID, METHYL-, MONOPOTASSIUM SALT&lt;br /&gt;&amp;diams; CARBAMIC ACID, METHYLDITHIO-, MONOPOTASSIUM SALT&lt;br /&gt;&amp;diams; MONOPOTASSIUM METHYLCARBAMODITHIOATE&lt;br /&gt;&amp;diams; MONOPOTASSIUM METHYLDITHIOCARBAMATE</t>
  </si>
  <si>
    <t xml:space="preserve"> 13429-27-1</t>
  </si>
  <si>
    <t xml:space="preserve"> POTASSIUM MYRISTATE</t>
  </si>
  <si>
    <t xml:space="preserve"> &amp;diams; POTASSIUM MYRISTATE&lt;br /&gt;&amp;diams; TETRADECANOIC ACID, POTASSIUM SALT&lt;br /&gt;&amp;diams; POTASSIUM TETRADECANOATE&lt;br /&gt;&amp;diams; MYRISTIC ACID, POTASSIUM SALT</t>
  </si>
  <si>
    <t xml:space="preserve"> 7757-79-1</t>
  </si>
  <si>
    <t xml:space="preserve"> POTASSIUM NITRATE</t>
  </si>
  <si>
    <t xml:space="preserve"> &amp;diams; POTASSIUM NITRATE&lt;br /&gt;&amp;diams; NITER&lt;br /&gt;&amp;diams; SALTPETER&lt;br /&gt;&amp;diams; NITRIC ACID POTASSIUM SALT&lt;br /&gt;&amp;diams; InChI=1S/K.NO3/c&lt;br /&gt;&amp;diams; 2-1(3)4/q+1&lt;br /&gt;&amp;diams; -1&lt;br /&gt;&amp;diams; InChIKey: FGIUAXJPYTZDNR-UHFFFAOYSA-N</t>
  </si>
  <si>
    <t xml:space="preserve"> ANTIMICROBIAL AGENT,&lt;br /&gt; COLOR OR COLORING ADJUNCT,&lt;br /&gt; FLAVOR ENHANCER,&lt;br /&gt; FLAVORING AGENT OR ADJUVANT</t>
  </si>
  <si>
    <t xml:space="preserve"> 7758-09-0</t>
  </si>
  <si>
    <t xml:space="preserve"> POTASSIUM NITRITE</t>
  </si>
  <si>
    <t xml:space="preserve"> &amp;diams; POTASSIUM NITRITE&lt;br /&gt;&amp;diams; NITROUS ACID, POTASSIUM SALT</t>
  </si>
  <si>
    <t xml:space="preserve"> 143-18-0</t>
  </si>
  <si>
    <t xml:space="preserve"> POTASSIUM OLEATE</t>
  </si>
  <si>
    <t xml:space="preserve"> &amp;diams; POTASSIUM OLEATE&lt;br /&gt;&amp;diams; 9-OCTADECENOIC ACID (Z)-, POTASSIUM SALT&lt;br /&gt;&amp;diams; POTASSIUM 9-OCTADECENOATE, (Z)-&lt;br /&gt;&amp;diams; POTASSIUM CIS-9-OCTADECENOATE&lt;br /&gt;&amp;diams; OLEIC ACID, POTASSIUM SALT</t>
  </si>
  <si>
    <t xml:space="preserve"> ANTIMICROBIAL AGENT,&lt;br /&gt; EMULSIFIER OR EMULSIFIER SALT,&lt;br /&gt; FORMULATION AID,&lt;br /&gt; STABILIZER OR THICKENER</t>
  </si>
  <si>
    <t xml:space="preserve"> 2624-31-9</t>
  </si>
  <si>
    <t xml:space="preserve"> POTASSIUM PALMITATE</t>
  </si>
  <si>
    <t xml:space="preserve"> &amp;diams; POTASSIUM PALMITATE&lt;br /&gt;&amp;diams; HEXADECANOIC ACID, POTASSIUM SALT&lt;br /&gt;&amp;diams; POTASSIUM HEXADECANOATE&lt;br /&gt;&amp;diams; PALMITIC ACID, POTASSIUM SALT</t>
  </si>
  <si>
    <t xml:space="preserve"> 65028-59-3</t>
  </si>
  <si>
    <t xml:space="preserve"> POTASSIUM PECTINATE</t>
  </si>
  <si>
    <t xml:space="preserve"> &amp;diams; POTASSIUM PECTINATE&lt;br /&gt;&amp;diams; PECTIN, POTASSIUM SALT</t>
  </si>
  <si>
    <t xml:space="preserve"> 7722-64-7</t>
  </si>
  <si>
    <t xml:space="preserve"> POTASSIUM PERMANGANATE</t>
  </si>
  <si>
    <t xml:space="preserve"> &amp;diams; POTASSIUM PERMANGANATE&lt;br /&gt;&amp;diams; PERMANGANIC ACID (HMNO4), POTASSIUM SALT</t>
  </si>
  <si>
    <t xml:space="preserve"> 7727-21-1</t>
  </si>
  <si>
    <t xml:space="preserve"> POTASSIUM PERSULFATE</t>
  </si>
  <si>
    <t xml:space="preserve"> &amp;diams; POTASSIUM PERSULFATE&lt;br /&gt;&amp;diams; POTASSIUM PEROXYDISULFATE&lt;br /&gt;&amp;diams; DIPOTASSIUM PEROXYDISULFATE&lt;br /&gt;&amp;diams; PEROXYDISULFURIC ACID (((HO)S(O)2)2O2), DIPOTASSIUM SALT</t>
  </si>
  <si>
    <t xml:space="preserve"> 7778-77-0</t>
  </si>
  <si>
    <t xml:space="preserve"> POTASSIUM PHOSPHATE, MONOBASIC</t>
  </si>
  <si>
    <t xml:space="preserve"> &amp;diams; POTASSIUM PHOSPHATE, MONOBASIC&lt;br /&gt;&amp;diams; MONOPOTASSIUM PHOSPHATE&lt;br /&gt;&amp;diams; MONOPOTASSIUM MONOPHOSPHATE&lt;br /&gt;&amp;diams; POTASSIUM ACID PHOSPHATE&lt;br /&gt;&amp;diams; POTASSIUM DIHYDROGEN PHOSPHATE&lt;br /&gt;&amp;diams; PHOSPHORIC ACID, MONOPOTASSIUM SALT&lt;br /&gt;&amp;diams; ORTHOPHOSPHORIC ACID, MONOPOTASSIUM SALT</t>
  </si>
  <si>
    <t xml:space="preserve"> MALTING OR FERMENTING AID,&lt;br /&gt; NUTRIENT SUPPLEMENT,&lt;br /&gt; PH CONTROL AGENT,&lt;br /&gt; STABILIZER OR THICKENER</t>
  </si>
  <si>
    <t xml:space="preserve"> 101.9 ,  160.110</t>
  </si>
  <si>
    <t xml:space="preserve"> 7778-53-2</t>
  </si>
  <si>
    <t xml:space="preserve"> POTASSIUM PHOSPHATE, TRIBASIC</t>
  </si>
  <si>
    <t xml:space="preserve"> &amp;diams; POTASSIUM PHOSPHATE, TRIBASIC&lt;br /&gt;&amp;diams; PHOSPHORIC ACID, TRIPOTASSIUM SALT&lt;br /&gt;&amp;diams; POTASSIUM PHOSPHATE (K3PO4)&lt;br /&gt;&amp;diams; TRIPOTASSIUM PHOSPHATE&lt;br /&gt;&amp;diams; TRIPOTASSIUM ORTHOPHOSPHATE</t>
  </si>
  <si>
    <t xml:space="preserve"> EMULSIFIER OR EMULSIFIER SALT,&lt;br /&gt; PH CONTROL AGENT,&lt;br /&gt; STABILIZER OR THICKENER</t>
  </si>
  <si>
    <t xml:space="preserve"> 7790-53-6</t>
  </si>
  <si>
    <t xml:space="preserve"> POTASSIUM POLYMETAPHOSPHATE</t>
  </si>
  <si>
    <t xml:space="preserve"> &amp;diams; POTASSIUM METAPHOSPHATE (KPO3)&lt;br /&gt;&amp;diams; METAPHOSPHORIC ACID (HPO3), POTASSIUM SALT</t>
  </si>
  <si>
    <t xml:space="preserve"> EMULSIFIER OR EMULSIFIER SALT,&lt;br /&gt; HUMECTANT</t>
  </si>
  <si>
    <t xml:space="preserve"> 7320-34-5</t>
  </si>
  <si>
    <t xml:space="preserve"> POTASSIUM PYROPHOSPHATE</t>
  </si>
  <si>
    <t xml:space="preserve"> &amp;diams; TETRAPOTASSIUM PYROPHOSPHATE&lt;br /&gt;&amp;diams; DIPHOSPHORIC ACID, TETRAPOTASSIUM SALT&lt;br /&gt;&amp;diams; POTASSIUM PYROPHOSPHATE&lt;br /&gt;&amp;diams; PYROPHOSPHORIC ACID, TETRAPOTASSIUM SALT&lt;br /&gt;&amp;diams; POTASSIUM DIPHOSPHATE&lt;br /&gt;&amp;diams; POTASSIUM PYROPHOSPHATE, TETRABASIC&lt;br /&gt;&amp;diams; TETRAPOTASSIUM DIPHOSPHATE</t>
  </si>
  <si>
    <t xml:space="preserve"> 8046-74-0</t>
  </si>
  <si>
    <t xml:space="preserve"> POTASSIUM SALTS OF FATTY ACIDS</t>
  </si>
  <si>
    <t xml:space="preserve"> &amp;diams; FATTY ACIDS, POTASSIUM SALTS&lt;br /&gt;&amp;diams; POTASSIUM SALTS OF FATTY ACIDS&lt;br /&gt;&amp;diams; POTASSIUM SOAP&lt;br /&gt;&amp;diams; POTASSIUM FATTY ACID SOAP&lt;br /&gt;&amp;diams; SOAPS, POTASSIUM</t>
  </si>
  <si>
    <t xml:space="preserve"> 593-29-3</t>
  </si>
  <si>
    <t xml:space="preserve"> POTASSIUM STEARATE</t>
  </si>
  <si>
    <t xml:space="preserve"> &amp;diams; POTASSIUM STEARATE&lt;br /&gt;&amp;diams; OCTADECANOIC ACID, POTASSIUM SALT&lt;br /&gt;&amp;diams; POTASSIUM OCTADECANOATE&lt;br /&gt;&amp;diams; STEARIC ACID, POTASSIUM SALT</t>
  </si>
  <si>
    <t xml:space="preserve"> ANTIMICROBIAL AGENT,&lt;br /&gt; FORMULATION AID,&lt;br /&gt; LUBRICANT OR RELEASE AGENT,&lt;br /&gt; STABILIZER OR THICKENER</t>
  </si>
  <si>
    <t xml:space="preserve"> 7778-80-5</t>
  </si>
  <si>
    <t xml:space="preserve"> POTASSIUM SULFATE</t>
  </si>
  <si>
    <t xml:space="preserve"> &amp;diams; POTASSIUM SULFATE&lt;br /&gt;&amp;diams; SULFURIC ACID, DIPOTASSIUM SALT&lt;br /&gt;&amp;diams; DIPOTASSIUM SULFATE&lt;br /&gt;&amp;diams; SULFATE, POTASSIUM</t>
  </si>
  <si>
    <t xml:space="preserve"> FLAVOR ENHANCER,&lt;br /&gt; FLAVORING AGENT OR ADJUVANT,&lt;br /&gt; MALTING OR FERMENTING AID</t>
  </si>
  <si>
    <t xml:space="preserve"> 10117-38-1</t>
  </si>
  <si>
    <t xml:space="preserve"> POTASSIUM SULFITE</t>
  </si>
  <si>
    <t xml:space="preserve"> &amp;diams; POTASSIUM SULFITE&lt;br /&gt;&amp;diams; DIPOTASSIUM SULFITE&lt;br /&gt;&amp;diams; SULFUROUS ACID, DIPOTASSIUM SALT</t>
  </si>
  <si>
    <t xml:space="preserve"> 13845-36-8</t>
  </si>
  <si>
    <t xml:space="preserve"> POTASSIUM TRIPOLYPHOSPHATE</t>
  </si>
  <si>
    <t xml:space="preserve"> &amp;diams; POTASSIUM TRIPOLYPHOSPHATE&lt;br /&gt;&amp;diams; POTASSIUM TRIPHOSPHATE (K5P3O10)&lt;br /&gt;&amp;diams; TRIPHOSPHORIC ACID, PENTAPOTASSIUM SALT</t>
  </si>
  <si>
    <t xml:space="preserve"> NUTRIENT SUPPLEMENT,&lt;br /&gt; TEXTURIZER</t>
  </si>
  <si>
    <t xml:space="preserve"> 977000-07-9</t>
  </si>
  <si>
    <t xml:space="preserve"> POTATO STARCH</t>
  </si>
  <si>
    <t xml:space="preserve"> &amp;diams; STARCH, POTATO</t>
  </si>
  <si>
    <t xml:space="preserve"> FLAVOR ENHANCER,&lt;br /&gt; FLAVORING AGENT OR ADJUVANT,&lt;br /&gt; FORMULATION AID,&lt;br /&gt; LUBRICANT OR RELEASE AGENT,&lt;br /&gt; NUTRIENT SUPPLEMENT,&lt;br /&gt; STABILIZER OR THICKENER,&lt;br /&gt; TEXTURIZER</t>
  </si>
  <si>
    <t xml:space="preserve"> 1191-16-8</t>
  </si>
  <si>
    <t xml:space="preserve"> PRENYL ACETATE</t>
  </si>
  <si>
    <t xml:space="preserve"> &amp;diams; PRENY ACETATE&lt;br /&gt;&amp;diams; 2-buten-1-ol, 3-methyl-, acetate&lt;br /&gt;&amp;diams; 3-methyl-2-butenyl acetate&lt;br /&gt;&amp;diams; 3-methyl-2-buten-1-ol, acetate&lt;br /&gt;&amp;diams; 3,3-dimethylallyl acetate</t>
  </si>
  <si>
    <t xml:space="preserve"> 5205-11-8</t>
  </si>
  <si>
    <t xml:space="preserve"> PRENYL BENZOATE</t>
  </si>
  <si>
    <t xml:space="preserve"> &amp;diams; PRENYL BENZOATE&lt;br /&gt;&amp;diams; 2-buten-1-ol, 3-methyl-, benzoate&lt;br /&gt;&amp;diams; 3-methyl-2-buten-1-ol, benzoate&lt;br /&gt;&amp;diams; 3-methyl-2-butenyl benzoate&lt;br /&gt;&amp;diams; benzoic acid, 2-methyl-2-butenyl ester&lt;br /&gt;&amp;diams; InChI=1S/C12H14O2/c1-10(2)8-9-14-12(13)11-6-4-3-5-7-11/h3-8H,9H2,1-2H3&lt;br /&gt;&amp;diams; InChIKey: INVWRXWYYVMFQC-UHFFFAOYSA-N</t>
  </si>
  <si>
    <t xml:space="preserve"> 76649-22-4</t>
  </si>
  <si>
    <t xml:space="preserve"> PRENYL CAPROATE</t>
  </si>
  <si>
    <t xml:space="preserve"> &amp;diams; PRENYL CAPROATE&lt;br /&gt;&amp;diams; hexanoic acid, 3-methyl-2-butenyl ester&lt;br /&gt;&amp;diams; 3-methyl-2-butenyl hexanoate&lt;br /&gt;&amp;diams; InChI=1S/C11H20O2/c1-4-5-6-7-11(12)13-9-8-10(2)3/h8H,4-7,9H2,1-3H3&lt;br /&gt;&amp;diams; InChIKey: MUVXQQVJNUBWPF-UHFFFAOYSA-N</t>
  </si>
  <si>
    <t xml:space="preserve"> 68480-28-4</t>
  </si>
  <si>
    <t xml:space="preserve"> PRENYL FORMATE</t>
  </si>
  <si>
    <t xml:space="preserve"> &amp;diams; PRENYL FORMATE&lt;br /&gt;&amp;diams; 2-buten-1-ol, 3-methyl-, formate&lt;br /&gt;&amp;diams; 3-methyl-2-butenyl formate&lt;br /&gt;&amp;diams; InChI=1S/C6H10O2/c1-6(2)3-4-8-5-7/h3,5H,4H2,1-2H3&lt;br /&gt;&amp;diams; InChIKey: ZCROFVOAWLRGFY-UHFFFAOYSA-N</t>
  </si>
  <si>
    <t xml:space="preserve"> 76649-23-5</t>
  </si>
  <si>
    <t xml:space="preserve"> PRENYL ISOBUTYRATE</t>
  </si>
  <si>
    <t xml:space="preserve"> &amp;diams; PRENYL ISOBUTYRATE&lt;br /&gt;&amp;diams; isobutyric acid, 3-methyl-2butenyl ester&lt;br /&gt;&amp;diams; propanoic acid, 2-methyl-, 3-methyl-2butenyl ester&lt;br /&gt;&amp;diams; 3-methyl-2-butenyl-2methylpropanoate&lt;br /&gt;&amp;diams; 3-methyl-2butenyl isobutyrate&lt;br /&gt;&amp;diams; InChI=1S/C9H16O2/c1-7(2)5-6-11-9(10)8(3)4/h5,8H,6H2,1-4H3&lt;br /&gt;&amp;diams; InChIKey: YSJHMPXIMIOXGU-UHFFFAOYSA-N</t>
  </si>
  <si>
    <t xml:space="preserve"> 33049-93-3</t>
  </si>
  <si>
    <t xml:space="preserve"> PRENYL THIOACETATE</t>
  </si>
  <si>
    <t xml:space="preserve"> &amp;diams; PRENYL THIOACETATE&lt;br /&gt;&amp;diams; ETHANETHIOIC ACID, S-(3-METHYL-2-BUTENYL) ESTER&lt;br /&gt;&amp;diams; S-(3-METHYL-2-BUTENYL) ETHANETHIOATE&lt;br /&gt;&amp;diams; ACETIC ACID, THIO-, S-(3-METHYL-2-BUTENYL) ESTER&lt;br /&gt;&amp;diams; S-(3-METHYL-2-BUTENYL) THIOACETATE</t>
  </si>
  <si>
    <t xml:space="preserve"> 5287-45-6</t>
  </si>
  <si>
    <t xml:space="preserve"> PRENYLTHIOL</t>
  </si>
  <si>
    <t xml:space="preserve"> &amp;diams; PRENYLTHIOL&lt;br /&gt;&amp;diams; 2-BUTENE-1-THIOL, 3-METHYL-&lt;br /&gt;&amp;diams; 3-METHYL-2-BUTENE-1-THIOL&lt;br /&gt;&amp;diams; PRENYL MERCAPTAN&lt;br /&gt;&amp;diams; 3-METHYL-2-BUTENYL MERCAPTAN&lt;br /&gt;&amp;diams; 3-METHYL-2-BUTENETHIOL-1</t>
  </si>
  <si>
    <t xml:space="preserve"> 977018-23-7</t>
  </si>
  <si>
    <t xml:space="preserve"> PRICKLY ASH BARK EXTRACT (XANTHOXYLUM SPP.)</t>
  </si>
  <si>
    <t xml:space="preserve"> &amp;diams; PRICKLY ASH BARK EXTRACT&lt;br /&gt;&amp;diams; XANTHOXYLUM EXTRACT</t>
  </si>
  <si>
    <t xml:space="preserve"> 977018-24-8</t>
  </si>
  <si>
    <t xml:space="preserve"> PRICKLY ASH BARK, OIL</t>
  </si>
  <si>
    <t xml:space="preserve"> &amp;diams; PRICKLY ASH BARK OIL&lt;br /&gt;&amp;diams; XANTHOXYLUM OIL</t>
  </si>
  <si>
    <t xml:space="preserve"> 147-85-3</t>
  </si>
  <si>
    <t xml:space="preserve"> L-PROLINE</t>
  </si>
  <si>
    <t xml:space="preserve"> &amp;diams; PROLINE, L-&lt;br /&gt;&amp;diams; L-PROLINE&lt;br /&gt;&amp;diams; 2-PYRROLIDINECARBOXYLIC ACID, (S)-</t>
  </si>
  <si>
    <t xml:space="preserve"> 74-98-6</t>
  </si>
  <si>
    <t xml:space="preserve"> PROPANE</t>
  </si>
  <si>
    <t xml:space="preserve"> &amp;diams; PROPANE&lt;br /&gt;&amp;diams; DIMETHYLMETHANE&lt;br /&gt;&amp;diams; PROPYL HYDRID&lt;br /&gt;&amp;diams; PETROLEUM GAS, LIQUEFIED&lt;br /&gt;&amp;diams; InChI=1S/C3H8/c1-3-2/h3H2,1-2H3&lt;br /&gt;&amp;diams; InChI=1S/C3H8/c1-3-2/h3H2,1-2H3&lt;br /&gt;&amp;diams; InChIKey: ATUOYWHBWRKTHZ-UHFFFAOYSA-N</t>
  </si>
  <si>
    <t xml:space="preserve"> 88497-17-0</t>
  </si>
  <si>
    <t xml:space="preserve"> 1,1-PROPANEDITHIOL</t>
  </si>
  <si>
    <t xml:space="preserve"> &amp;diams; 1,1-PROPANEDITHIOL&lt;br /&gt;&amp;diams; 1,1-dimercaptopropane</t>
  </si>
  <si>
    <t xml:space="preserve"> 814-67-5</t>
  </si>
  <si>
    <t xml:space="preserve"> 1,2-PROPANEDITHIOL</t>
  </si>
  <si>
    <t xml:space="preserve"> &amp;diams; 1,2-PROPANEDITHIOL&lt;br /&gt;&amp;diams; 1,2-DIMERCAPTOPROPANE&lt;br /&gt;&amp;diams; 1-METHYL-1,2-ETHANEDITHIOL</t>
  </si>
  <si>
    <t xml:space="preserve"> 109-80-8</t>
  </si>
  <si>
    <t xml:space="preserve"> 1,3-PROPANEDITHIOL</t>
  </si>
  <si>
    <t xml:space="preserve"> &amp;diams; 1,3-PROPANEDITHIOL&lt;br /&gt;&amp;diams; 1,3-DIMERCAPTOPROPANE&lt;br /&gt;&amp;diams; TRIMETHYLENE DIMERCAPTAN</t>
  </si>
  <si>
    <t xml:space="preserve"> 75-33-2</t>
  </si>
  <si>
    <t xml:space="preserve"> 2-PROPANETHIOL</t>
  </si>
  <si>
    <t xml:space="preserve"> &amp;diams; ISOPROPANETHIOL&lt;br /&gt;&amp;diams; 1-METHYLETHANETHIOL&lt;br /&gt;&amp;diams; 2-MERCAPTOPROPANE&lt;br /&gt;&amp;diams; 2-PROPANETHIOL&lt;br /&gt;&amp;diams; ISOPROPYL MERCAPTAN&lt;br /&gt;&amp;diams; ISOPROPYLTHIOL</t>
  </si>
  <si>
    <t xml:space="preserve"> 505-10-2</t>
  </si>
  <si>
    <t xml:space="preserve"> 3-(METHYLTHIO)PROPANOL</t>
  </si>
  <si>
    <t xml:space="preserve"> &amp;diams; 3-(METHYLTHIO)-1-PROPANOL&lt;br /&gt;&amp;diams; GAMMA-HYDROXYPROPYL METHYL SULFIDE&lt;br /&gt;&amp;diams; GAMMA-METHYLMERCAPTOPROPYL ALCOHOL&lt;br /&gt;&amp;diams; METHIONOL&lt;br /&gt;&amp;diams; METHYL 3-HYDROXYPROPYLSULFIDE&lt;br /&gt;&amp;diams; 3-(METHYLTHIO)PROPANOL&lt;br /&gt;&amp;diams; 3-(METHYLTHIO)PROPYL ALCOHOL&lt;br /&gt;&amp;diams; 1-PROPANOL, 3-(METHYLTHIO)-&lt;br /&gt;&amp;diams; 3-HYDROXYPROPYL METHYL SULFIDE</t>
  </si>
  <si>
    <t xml:space="preserve"> 6635-22-9</t>
  </si>
  <si>
    <t xml:space="preserve"> 4-PROPENYL-2,6-DIMETHOXYPHENOL</t>
  </si>
  <si>
    <t xml:space="preserve"> &amp;diams; 4-PROPENYL-2,6-DIMETHOXYPHENOL&lt;br /&gt;&amp;diams; PHENOL, 2,6-DIMETHOXY-4-(1-PROPENYL)-&lt;br /&gt;&amp;diams; PHENOL, 2,6-DIMETHOXY-4-PROPENYL-&lt;br /&gt;&amp;diams; SYRINGYLPROPENE&lt;br /&gt;&amp;diams; 4-(1-PROPENYL)-2,6-DIMETHOXYPHENOL&lt;br /&gt;&amp;diams; 4-PROPENYLSYRINGOL&lt;br /&gt;&amp;diams; 6-METHOXYISOEUGENOL_x000D_
</t>
  </si>
  <si>
    <t xml:space="preserve"> 94-86-0</t>
  </si>
  <si>
    <t xml:space="preserve"> PROPENYLGUAETHOL</t>
  </si>
  <si>
    <t xml:space="preserve"> &amp;diams; 2-ETHOXY-5-PROPENYLPHENOL&lt;br /&gt;&amp;diams; HYDROXYMETHYL ANETHOLE&lt;br /&gt;&amp;diams; ISOSAFROEUGENOL&lt;br /&gt;&amp;diams; PROPENYLGUAETHOL&lt;br /&gt;&amp;diams; PHENOL, 2-ETHOXY-5-(1-PROPENYL)-&lt;br /&gt;&amp;diams; PHENOL, 2-ETHOXY-5-PROPENYL-&lt;br /&gt;&amp;diams; 1-ETHOXY-2-HYDROXY-4-PROPENYLBENZENE&lt;br /&gt;&amp;diams; 3-PROPENYL-6-ETHOXYPHENOL&lt;br /&gt;&amp;diams; 2-ETHOXY-5-(1-PROPENYL)PHENOL&lt;br /&gt;&amp;diams; 6-ETHOXY-M-ANOL</t>
  </si>
  <si>
    <t xml:space="preserve"> 85960-81-2</t>
  </si>
  <si>
    <t xml:space="preserve"> (Z)-4-PROPENYLPHENOL</t>
  </si>
  <si>
    <t xml:space="preserve"> &amp;diams; 4-PROPENYLPHENOL, CIS-&lt;br /&gt;&amp;diams; phenol, 4-(1Z)-1-propenyl-&lt;br /&gt;&amp;diams; 4-(1-propenyl)phenol, (Z)-&lt;br /&gt;&amp;diams; 4-propenylphenol, (Z)-</t>
  </si>
  <si>
    <t xml:space="preserve"> 64703-98-6</t>
  </si>
  <si>
    <t xml:space="preserve"> 4-(2-PROPENYL)PHENYL-BETA-D-GLUCOPYRANOSIDE</t>
  </si>
  <si>
    <t xml:space="preserve"> &amp;diams; 4-ALLYPHENYL BETA-D-GLUCOPYRANOSIDE&lt;br /&gt;&amp;diams; beta-D-glucopyranoside, 4-(2-propenyl)phenyl&lt;br /&gt;&amp;diams; 4-(2-propenyl)phenyl beta-D-glucopyranoside&lt;br /&gt;&amp;diams; chavicol beta-D-glucopyranoside&lt;br /&gt;&amp;diams; allylphenyl beta-D-glucopyranoside, p-</t>
  </si>
  <si>
    <t xml:space="preserve"> 5905-46-4</t>
  </si>
  <si>
    <t xml:space="preserve"> PROPENYL PROPYL DISULFIDE</t>
  </si>
  <si>
    <t xml:space="preserve"> &amp;diams; PROPENYL PROPYL DISULFIDE&lt;br /&gt;&amp;diams; DISULFIDE, 1-PROPENYL PROPYL&lt;br /&gt;&amp;diams; DISULFIDE, PROPENYL PROPYL&lt;br /&gt;&amp;diams; 1-PROPENYL PROPYL DISULFIDE</t>
  </si>
  <si>
    <t xml:space="preserve"> 33922-80-4</t>
  </si>
  <si>
    <t xml:space="preserve"> DI-(1-PROPENYL)-SULFIDE (MIXTURE OF ISOMERS)</t>
  </si>
  <si>
    <t xml:space="preserve"> &amp;diams; PROPENYL SULFIDE&lt;br /&gt;&amp;diams; di-1-propenyl sulfide&lt;br /&gt;&amp;diams; 1-propene, 1,1'-thiobis-&lt;br /&gt;&amp;diams; 1,1'-thiobis(1-propene)&lt;br /&gt;&amp;diams; dipropenyl sulfide</t>
  </si>
  <si>
    <t xml:space="preserve"> 123-38-6</t>
  </si>
  <si>
    <t xml:space="preserve"> PROPIONALDEHYDE</t>
  </si>
  <si>
    <t xml:space="preserve"> &amp;diams; PROPANAL&lt;br /&gt;&amp;diams; PROPIONALDEHYDE&lt;br /&gt;&amp;diams; PROPYL ALDEHYDE&lt;br /&gt;&amp;diams; METHYLACETALDEHYDE&lt;br /&gt;&amp;diams; InChI=1S/C3H6O/c1-2-3-4/h3H,2H2,1H3&lt;br /&gt;&amp;diams; InChIKey: NBBJYMSMWIIQGU-UHFFFAOYSA-N</t>
  </si>
  <si>
    <t xml:space="preserve"> 79-09-4</t>
  </si>
  <si>
    <t xml:space="preserve"> PROPIONIC ACID</t>
  </si>
  <si>
    <t xml:space="preserve"> &amp;diams; PROPIONIC ACID&lt;br /&gt;&amp;diams; ETHYLFORMIC ACID&lt;br /&gt;&amp;diams; METHYLACETIC ACID&lt;br /&gt;&amp;diams; C3 ACID&lt;br /&gt;&amp;diams; PROPANOIC ACID&lt;br /&gt;&amp;diams; InChI=1S/C3H6O2/c1-2-3(4)5/h2H2,1H3,(H,4,5)&lt;br /&gt;&amp;diams; InChIKey: XBDQKXXYIPTUBI-UHFFFAOYSA-N</t>
  </si>
  <si>
    <t xml:space="preserve"> ANTIMICROBIAL AGENT,&lt;br /&gt; FLAVORING AGENT OR ADJUVANT,&lt;br /&gt; PH CONTROL AGENT</t>
  </si>
  <si>
    <t xml:space="preserve"> 65817-24-5</t>
  </si>
  <si>
    <t xml:space="preserve"> 2-(4-METHYL-2-HYDROXYPHENYL)PROPIONIC ACID-GAMMA-LACTONE</t>
  </si>
  <si>
    <t xml:space="preserve"> &amp;diams; 3,6-DIMETHYL-2(3H)-BENZOFURANONE&lt;br /&gt;&amp;diams; FURAMINTON&lt;br /&gt;&amp;diams; 2(3H)-BENZOFURANONE, 3,6-DIMETHYL-&lt;br /&gt;&amp;diams; 3,6-DIMETHYLBENZO(B)FURAN-2(3H)-ONE&lt;br /&gt;&amp;diams; 2-(4-METHYL-2-HYDROXYPHENYL)PROPIONIC ACID GAMMA-LACTONE</t>
  </si>
  <si>
    <t xml:space="preserve"> 1073-26-3</t>
  </si>
  <si>
    <t xml:space="preserve"> 2-PROPIONYLPYRROLE</t>
  </si>
  <si>
    <t xml:space="preserve"> &amp;diams; 2-PROPIONYLPYRROLE&lt;br /&gt;&amp;diams; 2-PYRRYL ETHYL KETONE&lt;br /&gt;&amp;diams; ALPHA-PROPIONYLPYRROLE&lt;br /&gt;&amp;diams; ETHYL 2-PYRROLYL KETONE&lt;br /&gt;&amp;diams; 1-(2-PYRROLYL)-1-PROPANONE&lt;br /&gt;&amp;diams; 1-PROPANONE, 1-(1H-PYRROL-2-YL)-&lt;br /&gt;&amp;diams; 1-(1H-PYRROL-2-YL)-1-PROPANONE&lt;br /&gt;&amp;diams; 1-PROPANONE, 1-PYRROL-2-YL-&lt;br /&gt;&amp;diams; 1-PYRROL-2-YL-1-PROPANONE</t>
  </si>
  <si>
    <t xml:space="preserve"> 133447-37-7</t>
  </si>
  <si>
    <t xml:space="preserve"> 2-PROPIONYLPYRROLINE</t>
  </si>
  <si>
    <t xml:space="preserve"> &amp;diams; 2-PROPIONYL-1-PYRROLINE&lt;br /&gt;&amp;diams; 1-propanone, 1-(3,4-dihydro-2H-pyrrol-5-yl)-&lt;br /&gt;&amp;diams; 1-(3,4-dihydro-2H-pyrrol-5-yl)-1-propanone&lt;br /&gt;&amp;diams; 2-propionylpyrroline</t>
  </si>
  <si>
    <t xml:space="preserve"> 43039-98-1</t>
  </si>
  <si>
    <t xml:space="preserve"> 2-PROPIONYLTHIAZOLE</t>
  </si>
  <si>
    <t xml:space="preserve"> &amp;diams; 2-PROPIONYLTHIAZOLE&lt;br /&gt;&amp;diams; 1-(2-THIAZOLYL)-1-PROPANONE&lt;br /&gt;&amp;diams; ETHYL 2-THIAZOLYL KETONE&lt;br /&gt;&amp;diams; 1-PROPANONE, 1-(2-THIAZOLYL)-</t>
  </si>
  <si>
    <t xml:space="preserve"> 29926-42-9</t>
  </si>
  <si>
    <t xml:space="preserve"> 2-PROPIONYL-2-THIAZOLINE</t>
  </si>
  <si>
    <t xml:space="preserve"> &amp;diams; 2-PROPIONYL-2-THIAZOLINE&lt;br /&gt;&amp;diams; 1-propanone, 1-(4,5-dihydro-2-thiazolyl)-&lt;br /&gt;&amp;diams; 1-(4,5-dihydro-2-thiazolyl)-1-propanone&lt;br /&gt;&amp;diams; 1-propanone, 1-(2-thiazolin-2-yl)-</t>
  </si>
  <si>
    <t xml:space="preserve"> 93-55-0</t>
  </si>
  <si>
    <t xml:space="preserve"> PROPIOPHENONE</t>
  </si>
  <si>
    <t xml:space="preserve"> &amp;diams; PROPIOPHENONE&lt;br /&gt;&amp;diams; ETHYL PHENYL KETONE&lt;br /&gt;&amp;diams; PHENYL ETHYL KETONE&lt;br /&gt;&amp;diams; 1-PHENYL-1-PROPANONE&lt;br /&gt;&amp;diams; PROPIONYLBENZENE&lt;br /&gt;&amp;diams; 1-PROPANONE, 1-PHENYL-&lt;br /&gt;&amp;diams; InChI=1S/C9H10O/c1-2-9(10)8-6-4-3-5-7-8/h3-7H,2H2,1H3&lt;br /&gt;&amp;diams; InChIKey: KRIOVPPHQSLHCZ-UHFFFAOYSA-N</t>
  </si>
  <si>
    <t xml:space="preserve"> 109-60-4</t>
  </si>
  <si>
    <t xml:space="preserve"> PROPYL ACETATE</t>
  </si>
  <si>
    <t xml:space="preserve"> &amp;diams; PROPYL ACETATE&lt;br /&gt;&amp;diams; PROPYL ETHANOATE&lt;br /&gt;&amp;diams; ACETIC ACID, PROPYL ESTER&lt;br /&gt;&amp;diams; 1-ACETOXYPROPANE&lt;br /&gt;&amp;diams; InChI=1S/C5H10O2/c1-3-4-7-5(2)6/h3-4H2,1-2H3&lt;br /&gt;&amp;diams; InChIKey: YKYONYBAUNKHLG-UHFFFAOYSA-N</t>
  </si>
  <si>
    <t xml:space="preserve"> 71-23-8</t>
  </si>
  <si>
    <t xml:space="preserve"> PROPYL ALCOHOL</t>
  </si>
  <si>
    <t xml:space="preserve"> &amp;diams; PROPYL ALCOHOL&lt;br /&gt;&amp;diams; PROPANOL&lt;br /&gt;&amp;diams; 1-PROPANOL&lt;br /&gt;&amp;diams; ETHYLCARBINOL&lt;br /&gt;&amp;diams; PROPYLIC ALCOHOL&lt;br /&gt;&amp;diams; 1-HYDROXYPROPANE</t>
  </si>
  <si>
    <t xml:space="preserve"> 107-10-8</t>
  </si>
  <si>
    <t xml:space="preserve"> PROPYLAMINE</t>
  </si>
  <si>
    <t xml:space="preserve"> &amp;diams; PROPYLAMINE&lt;br /&gt;&amp;diams; 1-PROPANAMINE&lt;br /&gt;&amp;diams; 1-AMINOPROPANE</t>
  </si>
  <si>
    <t xml:space="preserve"> 104-45-0</t>
  </si>
  <si>
    <t xml:space="preserve"> P-PROPYLANISOLE</t>
  </si>
  <si>
    <t xml:space="preserve"> &amp;diams; 4-PROPYLANISOLE&lt;br /&gt;&amp;diams; DIHYDROANETHOLE&lt;br /&gt;&amp;diams; 1-METHOXY-4-PROPYLBENZENE&lt;br /&gt;&amp;diams; 4-PROPYLMETHOXYBENZENE&lt;br /&gt;&amp;diams; METHYL P-PROPYLPHENYL ETHER&lt;br /&gt;&amp;diams; BENZENE, 1-METHOXY-4-PROPYL-&lt;br /&gt;&amp;diams; ANISOLE, P-PROPYL-&lt;br /&gt;&amp;diams; PROPYLANISOLE, P-</t>
  </si>
  <si>
    <t xml:space="preserve"> 2315-68-6</t>
  </si>
  <si>
    <t xml:space="preserve"> PROPYL BENZOATE</t>
  </si>
  <si>
    <t xml:space="preserve"> &amp;diams; PROPYL BENZOATE&lt;br /&gt;&amp;diams; PROPYL BENZENECARBOXYLATE&lt;br /&gt;&amp;diams; BENZOIC ACID, PROPYL ESTER&lt;br /&gt;&amp;diams; InChI=1S/C10H12O2/c1-2-8-12-10(11)9-6-4-3-5-7-9/h3-7H,2,8H2,1H3&lt;br /&gt;&amp;diams; InChIKey: UDEWPOVQBGFNGE-UHFFFAOYSA-N</t>
  </si>
  <si>
    <t xml:space="preserve"> 105-66-8</t>
  </si>
  <si>
    <t xml:space="preserve"> PROPYL BUTYRATE</t>
  </si>
  <si>
    <t xml:space="preserve"> &amp;diams; PROPYL BUTYRATE&lt;br /&gt;&amp;diams; PROPYL BUTANOATE&lt;br /&gt;&amp;diams; BUTANOIC ACID, PROPYL ESTER&lt;br /&gt;&amp;diams; BUTYRIC ACID, PROPYL ESTER</t>
  </si>
  <si>
    <t xml:space="preserve"> 7778-83-8</t>
  </si>
  <si>
    <t xml:space="preserve"> PROPYL CINNAMATE</t>
  </si>
  <si>
    <t xml:space="preserve"> &amp;diams; PROPYL CINNAMATE&lt;br /&gt;&amp;diams; PROPYL 3-PHENYLPROPENOATE&lt;br /&gt;&amp;diams; PROPYL BETA-PHENYLACRYLATE&lt;br /&gt;&amp;diams; 2-PROPENOIC ACID, 3-PHENYL-, PROPYL ESTER&lt;br /&gt;&amp;diams; PROPYL 3-PHENYL-2-PROPENOATE&lt;br /&gt;&amp;diams; CINNAMIC ACID, PROPYL ESTER</t>
  </si>
  <si>
    <t xml:space="preserve"> 84788-08-9</t>
  </si>
  <si>
    <t xml:space="preserve"> PROPYL 2,4-DECADIENOATE</t>
  </si>
  <si>
    <t xml:space="preserve"> &amp;diams; PROPYL 2,4-DECADIENOATE&lt;br /&gt;&amp;diams; 2,4-DECADIENOIC ACID, PROPYL ESTER</t>
  </si>
  <si>
    <t xml:space="preserve"> 6766-82-1</t>
  </si>
  <si>
    <t xml:space="preserve"> 4-PROPYL-2,6-DIMETHOXYPHENOL</t>
  </si>
  <si>
    <t xml:space="preserve"> &amp;diams; 4-PROPYL-2,6-DIMETHOXYPHENOL&lt;br /&gt;&amp;diams; PHENOL, 2,6-DIMETHOXY-4-PROPYL-&lt;br /&gt;&amp;diams; 2,6-DIMETHOXY-4-PROPYLPHENOL&lt;br /&gt;&amp;diams; 4-PROPYLSYRINGOL</t>
  </si>
  <si>
    <t xml:space="preserve"> 53833-32-2</t>
  </si>
  <si>
    <t xml:space="preserve"> 2-PROPYL-4,5-DIMETHYLOXAZOLE</t>
  </si>
  <si>
    <t xml:space="preserve"> &amp;diams; 4,5-DIMETHYL-2-PROPYLOXAZOLE&lt;br /&gt;&amp;diams; oxazole, 4,5-dimethyl-2-propyl-&lt;br /&gt;&amp;diams; 2-propyl-4,5-dimethyloxazole&lt;br /&gt;&amp;diams; InChI=1S/C8H13NO/c1-4-5-8-9-6(2)7(3)10-8/h4-5H2,1-3H3&lt;br /&gt;&amp;diams;  InChIKey: SDRFPOFMNGISHT-UHFFFAOYSA-N</t>
  </si>
  <si>
    <t xml:space="preserve"> 629-19-6</t>
  </si>
  <si>
    <t xml:space="preserve"> PROPYL DISULFIDE</t>
  </si>
  <si>
    <t xml:space="preserve"> &amp;diams; DIPROPYL DISULFIDE&lt;br /&gt;&amp;diams; PROPYL DISULFIDE&lt;br /&gt;&amp;diams; PROPYLDITHIOPROPANE&lt;br /&gt;&amp;diams; DISULFIDE, DIPROPYL&lt;br /&gt;&amp;diams; 4,5-DITHIAOCTANE</t>
  </si>
  <si>
    <t xml:space="preserve"> 78-89-7</t>
  </si>
  <si>
    <t xml:space="preserve"> PROPYLENE CHLOROHYDRIN</t>
  </si>
  <si>
    <t xml:space="preserve"> &amp;diams; PROPYLENE CHLOROHYDRIN&lt;br /&gt;&amp;diams; 2-CHLOROPROPANOL&lt;br /&gt;&amp;diams; 2-CHLORO-1-PROPANOL&lt;br /&gt;&amp;diams; 1-PROPANOL, 2-CHLORO-&lt;br /&gt;&amp;diams; 2-CHLOROPROPYL ALCOHOL&lt;br /&gt;&amp;diams; 1-HYDROXY-2-CHLOROPROPANE</t>
  </si>
  <si>
    <t xml:space="preserve"> 57-55-6</t>
  </si>
  <si>
    <t xml:space="preserve"> PROPYLENE GLYCOL</t>
  </si>
  <si>
    <t xml:space="preserve"> &amp;diams; PROPYLENE GLYCOL&lt;br /&gt;&amp;diams; 1,2-PROPANEDIOL&lt;br /&gt;&amp;diams; 1,2-PROPYLENE GLYCOL&lt;br /&gt;&amp;diams; 1,2-DIHYDROXYPROPANE&lt;br /&gt;&amp;diams; 2-HYDROXYPROPANOL&lt;br /&gt;&amp;diams; PROPANE-1,2-DIOL&lt;br /&gt;&amp;diams; ISOPROPYLENE GLYCOL&lt;br /&gt;&amp;diams; ALPHA-PROPYLENE GLYCOL&lt;br /&gt;&amp;diams; METHYLETHYLENE GLYCOL</t>
  </si>
  <si>
    <t xml:space="preserve"> ANTICAKING AGENT OR FREE-FLOW AGENT,&lt;br /&gt; ANTIMICROBIAL AGENT,&lt;br /&gt; ANTIOXIDANT,&lt;br /&gt; DRYING AGENT,&lt;br /&gt; EMULSIFIER OR EMULSIFIER SALT,&lt;br /&gt; FLAVOR ENHANCER,&lt;br /&gt; FLAVORING AGENT OR ADJUVANT,&lt;br /&gt; FORMULATION AID,&lt;br /&gt; HUMECTANT,&lt;br /&gt; SOLVENT OR VEHICLE</t>
  </si>
  <si>
    <t xml:space="preserve"> 9005-37-2</t>
  </si>
  <si>
    <t xml:space="preserve"> PROPYLENE GLYCOL ALGINATE</t>
  </si>
  <si>
    <t xml:space="preserve"> &amp;diams; PROPYLENE GLYCOL ALGINATE&lt;br /&gt;&amp;diams; ALGINIC ACID, ESTER WITH 1,2-PROPANEDIOL&lt;br /&gt;&amp;diams; PROPANE-1,2-DIOL ALGINATE&lt;br /&gt;&amp;diams; 1,2-PROPANEDIOL ALGINATE&lt;br /&gt;&amp;diams; 1,2-PROPYLENE GLYCOL ALGINATE</t>
  </si>
  <si>
    <t xml:space="preserve"> EMULSIFIER OR EMULSIFIER SALT,&lt;br /&gt; FLAVOR ENHANCER,&lt;br /&gt; FLAVORING AGENT OR ADJUVANT,&lt;br /&gt; FORMULATION AID,&lt;br /&gt; PROCESSING AID,&lt;br /&gt; SOLVENT OR VEHICLE,&lt;br /&gt; STABILIZER OR THICKENER,&lt;br /&gt; SURFACE-ACTIVE AGENT,&lt;br /&gt; SURFACE-FINISHING AGENT</t>
  </si>
  <si>
    <t xml:space="preserve"> 623-84-7</t>
  </si>
  <si>
    <t xml:space="preserve"> PROPYLENEGLYCOL DIACETATE</t>
  </si>
  <si>
    <t xml:space="preserve"> &amp;diams; PROPYLENE GLYCOL DIACETATE&lt;br /&gt;&amp;diams; 1,2-PROPANEDIOL DIACETATE&lt;br /&gt;&amp;diams; 1,2-propanediol, diacetate&lt;br /&gt;&amp;diams; 1,2-propanediol, 1,2-diacetate&lt;br /&gt;&amp;diams; InChI=1S/C7H12O4/c1-5(11-7(3)9)4-10-6(2)8/h5H,4H2,1-3H3&lt;br /&gt;&amp;diams; InChIKey: MLHOXUWWKVQEJB-UHFFFAOYSA-N</t>
  </si>
  <si>
    <t xml:space="preserve"> 19224-26-1</t>
  </si>
  <si>
    <t xml:space="preserve"> PROPYLENE GLYCOL DIBENZOATE</t>
  </si>
  <si>
    <t xml:space="preserve"> &amp;diams; PROPYLENE GLYCOL DIBENZOATE&lt;br /&gt;&amp;diams; 1,2-PROPANEDIOL DIBENZOATE&lt;br /&gt;&amp;diams; 1,2-PROPANEDIOL, DIBENZOATE</t>
  </si>
  <si>
    <t xml:space="preserve"> 50980-84-2</t>
  </si>
  <si>
    <t xml:space="preserve"> PROPYLENEGLYCOL DIBUTYRATE</t>
  </si>
  <si>
    <t xml:space="preserve"> &amp;diams; PROPYLENE GLYCOL DIBUTYRATE&lt;br /&gt;&amp;diams; 1,2-PROPANEDIOL DIBUTYRATE&lt;br /&gt;&amp;diams; butanoic acid, 1,1'-(1-methyl-1,2-ethanediyl) ester&lt;br /&gt;&amp;diams; 1,1'-(1-methyl-1,2-ethanediyl) dibutanoate&lt;br /&gt;&amp;diams; butanoic acid, 1-methyl-1,2-ethanediyl ester&lt;br /&gt;&amp;diams; 1-methyl-1,2-ethanediyl dibutanoate&lt;br /&gt;&amp;diams; butyric acid, propylene ester&lt;br /&gt;&amp;diams; InChI=1S/C11H20O4/c1-4-6-10(12)14-8-9(3)15-11(13)7-5-2/h9H,4-8H2,1-3H3&lt;br /&gt;&amp;diams; InChIKey: RWNOITVZTGQIRG-UHFFFAOYSA-N</t>
  </si>
  <si>
    <t xml:space="preserve"> 50343-36-7</t>
  </si>
  <si>
    <t xml:space="preserve"> PROPYLENEGLYCOL DIHEXANOATE</t>
  </si>
  <si>
    <t xml:space="preserve"> &amp;diams; PROPYLENE GLYCOL DIHEXANOATE&lt;br /&gt;&amp;diams; 1,2-propanediol dihexanoate&lt;br /&gt;&amp;diams; hexanoic acid, 1,1'-(1-methyl-1,2-ethanediyl) ester&lt;br /&gt;&amp;diams; 1,1'-(1-methyl-1,2-ethanediyl) dihexanoate&lt;br /&gt;&amp;diams; hexanoic acid, 1-methyl-1,2-ethanediyl ester&lt;br /&gt;&amp;diams; 1-methyl-1,2-ethanediyl dihexanoate&lt;br /&gt;&amp;diams; InChI=1S/C15H28O4/c1-4-6-8-10-14(16)18-12-13(3)19-15(17)11-9-7-5-2/h13H,4-12H2,1-3H3&lt;br /&gt;&amp;diams; InChIKey: RMZFJNNOMUICLE-UHFFFAOYSA-N</t>
  </si>
  <si>
    <t xml:space="preserve"> 15514-30-0</t>
  </si>
  <si>
    <t xml:space="preserve"> PROPYLENEGLYCOL DI-2-METHYLBUTYRATE</t>
  </si>
  <si>
    <t xml:space="preserve"> 7384-98-7</t>
  </si>
  <si>
    <t xml:space="preserve"> PROPYLENEGLYCOL DIOCTANOATE</t>
  </si>
  <si>
    <t xml:space="preserve"> &amp;diams; PROPYLENE GLYCOL DIOCTANOATE&lt;br /&gt;&amp;diams; OCTANOIC ACID, 1-METHYL-1,2-ETHANEDIYL ESTER&lt;br /&gt;&amp;diams; 1-METHYL-1,2-ETHANEDIYL DIOCTANOATE&lt;br /&gt;&amp;diams; 1,2-PROPANEDIYL DIOCTANOATE&lt;br /&gt;&amp;diams; nChI=1S/C19H36O4/c1-4-6-8-10-12-14-18(20)22-16-17(3)23-19(21)15-13-11-9-7-5-2/h17H,4-16H2,1-3H3&lt;br /&gt;&amp;diams; InChIKey: OVYMWJFNQQOJBU-UHFFFAOYSA-N</t>
  </si>
  <si>
    <t xml:space="preserve"> 10108-80-2</t>
  </si>
  <si>
    <t xml:space="preserve"> PROPYLENEGLYCOL DIPROPIONATE</t>
  </si>
  <si>
    <t xml:space="preserve"> &amp;diams; PROPYLENE GLYCOL DIPROPIONATE&lt;br /&gt;&amp;diams; PROPYLENE GLYCOL DIPROPIONATE, ALPHA,BETA&lt;br /&gt;&amp;diams; 1,2-PROPANEDIOL DIPROPANOATE&lt;br /&gt;&amp;diams; 1,2-propanediol, dipropanoate&lt;br /&gt;&amp;diams; 1,2-propanediol, dipropionate&lt;br /&gt;&amp;diams; 1,2-propanediol, 1,2-dipropanoate&lt;br /&gt;&amp;diams; propylene glycol 1,2-dipropionate&lt;br /&gt;&amp;diams; InChI=1S/C9H16O4/c1-4-8(10)12-6-7(3)13-9(11)5-2/h7H,4-6H2,1-3H3&lt;br /&gt;&amp;diams; InChIKey: KFNABOVSAPCOCY-UHFFFAOYSA-N</t>
  </si>
  <si>
    <t xml:space="preserve"> 977050-70-6</t>
  </si>
  <si>
    <t xml:space="preserve"> PROPYLENE GLYCOL MONO- AND DIESTERS OF FATS AND FATTY ACIDS</t>
  </si>
  <si>
    <t xml:space="preserve"> &amp;diams; FATTY ACIDS, PROPYLENE GLYCOL MONO- AND DIESTERS&lt;br /&gt;&amp;diams; PROPYLENE GLYCOL MONO- AND DIESTERS OF FATS AND FATTY ACIDS&lt;br /&gt;&amp;diams; PROPANE-1,2-DIOL, FATTY ACID ESTERS&lt;br /&gt;&amp;diams; PROPYLENE GLYCOL, FATTY ACID ESTERS&lt;br /&gt;&amp;diams; PROPYLENE GLYCOL, FATTY ACID MONO- AND DIESTERS&lt;br /&gt;&amp;diams; 1,2-PROPYLENE GLYCOL, FATTY ACID ESTERS</t>
  </si>
  <si>
    <t xml:space="preserve"> 29592-95-8</t>
  </si>
  <si>
    <t xml:space="preserve"> PROPYLENEGLYCOL MONOBUTYRATE</t>
  </si>
  <si>
    <t xml:space="preserve"> &amp;diams; PROPYLENE GLYCOL MONOBUTYRATE&lt;br /&gt;&amp;diams; butanoic acid, monoester with 1,2-propanediol&lt;br /&gt;&amp;diams; butyric acid, ester with 1,2-propanediol&lt;br /&gt;&amp;diams; butyric acid, monoester with 1,2-propanediol&lt;br /&gt;&amp;diams; 1,2-propanediyl monobutyrate&lt;br /&gt;&amp;diams; 1,2-propanediol, monobutanoate</t>
  </si>
  <si>
    <t xml:space="preserve"> 29592-92-5</t>
  </si>
  <si>
    <t xml:space="preserve"> PROPYLENEGLYCOL MONOHEXANOATE</t>
  </si>
  <si>
    <t xml:space="preserve"> &amp;diams; PROPYLENE GLYCOL MONOHEXANOATE&lt;br /&gt;&amp;diams; propylene glycol monocaproate&lt;br /&gt;&amp;diams; hexanoic acid, ester with 1,2-propanediol&lt;br /&gt;&amp;diams; hexanoic acid monoester with 1,2-propanediol&lt;br /&gt;&amp;diams; 1,2-propanediol, monohexanoate</t>
  </si>
  <si>
    <t xml:space="preserve"> 977187-82-8</t>
  </si>
  <si>
    <t xml:space="preserve"> PROPYLENEGLYCOL MONO-2-METHYLBUTYRATE</t>
  </si>
  <si>
    <t xml:space="preserve"> &amp;diams; PROPYLENE GLYCOL MONO-2-METHYLBUTYRATE</t>
  </si>
  <si>
    <t xml:space="preserve"> 1323-39-3</t>
  </si>
  <si>
    <t xml:space="preserve"> PROPYLENE GLYCOL STEARATE</t>
  </si>
  <si>
    <t xml:space="preserve"> &amp;diams; PROPYLENE GLYCOL MONOSTEARATE&lt;br /&gt;&amp;diams; PROPYLENE GLYCOL MONOOCTADECANOATE&lt;br /&gt;&amp;diams; PROPYLENE GLYCOL OCTADECANOATE&lt;br /&gt;&amp;diams; OCTADECANOIC ACID, MONOESTER WITH 1,2-PROPANEDIOL&lt;br /&gt;&amp;diams; STEARIC ACID, MONOESTER WITH 1,2-PROPANEDIOL&lt;br /&gt;&amp;diams; 1,2-PROPANEDIOL MONOOCTADECANOATE&lt;br /&gt;&amp;diams; 1,2-PROPANEDIOL, MONOSTEARATE&lt;br /&gt;&amp;diams; 1,2-PROPYLENE GLYCOL MONOSTEARATE</t>
  </si>
  <si>
    <t xml:space="preserve"> EMULSIFIER OR EMULSIFIER SALT,&lt;br /&gt; FLAVORING AGENT OR ADJUVANT,&lt;br /&gt; STABILIZER OR THICKENER</t>
  </si>
  <si>
    <t xml:space="preserve"> 75-56-9</t>
  </si>
  <si>
    <t xml:space="preserve"> PROPYLENE OXIDE</t>
  </si>
  <si>
    <t xml:space="preserve"> &amp;diams; PROPYLENE OXIDE&lt;br /&gt;&amp;diams; 1,2-PROPYLENE OXIDE&lt;br /&gt;&amp;diams; 1,2-EPOXYPROPANE&lt;br /&gt;&amp;diams; METHYLOXIRANE&lt;br /&gt;&amp;diams; OXIRANE, METHYL-&lt;br /&gt;&amp;diams; PROPANE, 1,2-EPOXY-</t>
  </si>
  <si>
    <t xml:space="preserve"> 110-74-7</t>
  </si>
  <si>
    <t xml:space="preserve"> PROPYL FORMATE</t>
  </si>
  <si>
    <t xml:space="preserve"> &amp;diams; PROPYL FORMATE&lt;br /&gt;&amp;diams; PROPYL METHANOATE&lt;br /&gt;&amp;diams; FORMIC ACID, PROPYL ESTER&lt;br /&gt;&amp;diams; InChI=1S/C4H8O2/c1-2-3-6-4-5/h4H,2-3H2,1H3&lt;br /&gt;&amp;diams; InChIKey: KFNNIILCVOLYIR-UHFFFAOYSA-N</t>
  </si>
  <si>
    <t xml:space="preserve"> 623-22-3</t>
  </si>
  <si>
    <t xml:space="preserve"> PROPYL 2-FURANACRYLATE</t>
  </si>
  <si>
    <t xml:space="preserve"> &amp;diams; PROPYL 2-FURANACRYLATE&lt;br /&gt;&amp;diams; PROPYL 3-(2-FURYL)ACRYLATE&lt;br /&gt;&amp;diams; PROPYL 3-(2-FURYL)-2-PROPENOATE&lt;br /&gt;&amp;diams; PROPYL BETA-FURYLACRYLATE&lt;br /&gt;&amp;diams; PROPYL 3-(2-FURANYL)-2-PROPENOATE&lt;br /&gt;&amp;diams; 2-PROPENOIC ACID, 3-(2-FURANYL)-, PROPYL ESTER&lt;br /&gt;&amp;diams; 2-FURANACRYLIC ACID, PROPYL ESTER</t>
  </si>
  <si>
    <t xml:space="preserve"> 615-10-1</t>
  </si>
  <si>
    <t xml:space="preserve"> PROPYL 2-FUROATE</t>
  </si>
  <si>
    <t xml:space="preserve"> &amp;diams; PROPYL 2-FUROATE&lt;br /&gt;&amp;diams; PROPYL 2-FURANCARBOXYLATE&lt;br /&gt;&amp;diams; PROPYL PYROMUCATE&lt;br /&gt;&amp;diams; 2-FURANCARBOXYLIC ACID, PROPYL ESTER&lt;br /&gt;&amp;diams; 2-FUROIC ACID, PROPYL ESTER</t>
  </si>
  <si>
    <t xml:space="preserve"> 121-79-9</t>
  </si>
  <si>
    <t xml:space="preserve"> PROPYL GALLATE</t>
  </si>
  <si>
    <t xml:space="preserve"> &amp;diams; PROPYL GALLATE&lt;br /&gt;&amp;diams; BENZOIC ACID, 3,4,5-TRIHYDROXY-, PROPYL ESTER&lt;br /&gt;&amp;diams; PROPYL 3,4,5-TRIHYDROXYBENZOATE&lt;br /&gt;&amp;diams; GALLIC ACID, PROPYL ESTER</t>
  </si>
  <si>
    <t xml:space="preserve"> 7778-87-2</t>
  </si>
  <si>
    <t xml:space="preserve"> PROPYL HEPTANOATE</t>
  </si>
  <si>
    <t xml:space="preserve"> &amp;diams; PROPYL HEPTANOATE&lt;br /&gt;&amp;diams; PROPYL HEPTOATE&lt;br /&gt;&amp;diams; PROPYL HEPTYLATE&lt;br /&gt;&amp;diams; HEPTANOIC ACID, PROPYL ESTER</t>
  </si>
  <si>
    <t xml:space="preserve"> 626-77-7</t>
  </si>
  <si>
    <t xml:space="preserve"> PROPYL HEXANOATE</t>
  </si>
  <si>
    <t xml:space="preserve"> &amp;diams; PROPYL HEXANOATE&lt;br /&gt;&amp;diams; PROPYL CAPROATE&lt;br /&gt;&amp;diams; HEXANOIC ACID, PROPYL ESTER</t>
  </si>
  <si>
    <t xml:space="preserve"> 17369-59-4</t>
  </si>
  <si>
    <t xml:space="preserve"> 3-PROPYLIDENEPHTHALIDE</t>
  </si>
  <si>
    <t xml:space="preserve"> &amp;diams; 3-PROPYLIDENEPHTHALIDE&lt;br /&gt;&amp;diams; ISOPROPYLIDENEPHTHALIDE&lt;br /&gt;&amp;diams; PHTHALIDE, 3-PROPYLIDENE-&lt;br /&gt;&amp;diams; 1(3H)-ISOBENZOFURANONE, 3-PROPYLIDENE-&lt;br /&gt;&amp;diams; 3-PROPYLIDENE-1(3H)-ISOBENZOFURANONE</t>
  </si>
  <si>
    <t xml:space="preserve"> 644-49-5</t>
  </si>
  <si>
    <t xml:space="preserve"> PROPYL ISOBUTYRATE</t>
  </si>
  <si>
    <t xml:space="preserve"> &amp;diams; PROPYL ISOBUTYRATE&lt;br /&gt;&amp;diams; PROPYL 2-METHYLPROPANOATE&lt;br /&gt;&amp;diams; PROPANOIC ACID, 2-METHYL-, PROPYL ESTER&lt;br /&gt;&amp;diams; ISOBUTYRIC ACID, PROPYL ESTER</t>
  </si>
  <si>
    <t xml:space="preserve"> 557-00-6</t>
  </si>
  <si>
    <t xml:space="preserve"> PROPYL ISOVALERATE</t>
  </si>
  <si>
    <t xml:space="preserve"> &amp;diams; PROPYL ISOVALERATE&lt;br /&gt;&amp;diams; PROPYL 3-METHYLBUTANOATE&lt;br /&gt;&amp;diams; PROPYL ISOVALERIANATE&lt;br /&gt;&amp;diams; PROPYL ISOPENTANOATE&lt;br /&gt;&amp;diams; PROPYL 3-METHYLBUTYRATE&lt;br /&gt;&amp;diams; BUTANOIC ACID, 3-METHYL-, PROPYL ESTER&lt;br /&gt;&amp;diams; ISOVALERIC ACID, PROPYL ESTER</t>
  </si>
  <si>
    <t xml:space="preserve"> 645-67-0</t>
  </si>
  <si>
    <t xml:space="preserve"> PROPYL LEVULINATE</t>
  </si>
  <si>
    <t xml:space="preserve"> &amp;diams; PROPYL LEVULINATE&lt;br /&gt;&amp;diams; LEVULINIC ACID, PROPYL ESTER&lt;br /&gt;&amp;diams; PENTANOIC ACID, 4-OXO-, PROPYL ESTER&lt;br /&gt;&amp;diams; PROPYL 4-OXOPENTANOATE</t>
  </si>
  <si>
    <t xml:space="preserve"> 107-03-9</t>
  </si>
  <si>
    <t xml:space="preserve"> PROPYL MERCAPTAN</t>
  </si>
  <si>
    <t xml:space="preserve"> &amp;diams; PROPANETHIOL&lt;br /&gt;&amp;diams; PROPYL MERCAPTAN&lt;br /&gt;&amp;diams; 1-PROPANETHIOL&lt;br /&gt;&amp;diams; THIOPROPYL ALCOHOL&lt;br /&gt;&amp;diams; PROPYLTHIOL&lt;br /&gt;&amp;diams; 1-PROPYL MERCAPTAN&lt;br /&gt;&amp;diams; 1-MERCAPTOPROPANE</t>
  </si>
  <si>
    <t xml:space="preserve"> 19788-50-2</t>
  </si>
  <si>
    <t xml:space="preserve"> PROPYL 2-MERCAPTOPROPIONATE</t>
  </si>
  <si>
    <t xml:space="preserve"> &amp;diams; PROPYL 2-MERCAPTOPROPIONATE&lt;br /&gt;&amp;diams; propanoic acid, 2-mercapto-, propyl ester&lt;br /&gt;&amp;diams; propionic acid, 2-mercapto-, propyl ester&lt;br /&gt;&amp;diams; propyl, 2-mercatopropanoate&lt;br /&gt;&amp;diams; InChI=1S/C6H12O2S/c1-3-4-8-6(7)5(2)9/h5,9H,3-4H2,1-2H3&lt;br /&gt;&amp;diams; InChiKey=SZNSBSIVODFXBS-UHFFFAOYSA-N</t>
  </si>
  <si>
    <t xml:space="preserve"> 61197-09-9</t>
  </si>
  <si>
    <t xml:space="preserve"> PROPYL 2-METHYL-3-FURYL DISULFIDE</t>
  </si>
  <si>
    <t xml:space="preserve"> &amp;diams; PROPYL 2-METHYL-3-FURYL DISULFIDE&lt;br /&gt;&amp;diams; FURAN, 2-METHYL-3-(PROPYLDITHIO)-&lt;br /&gt;&amp;diams; 2-METHYL-3-(PROPYLDITHIO)FURAN&lt;br /&gt;&amp;diams; 2-METHYL-3-FURYL PROPYL DISULFIDE</t>
  </si>
  <si>
    <t xml:space="preserve"> 705-73-7</t>
  </si>
  <si>
    <t xml:space="preserve"> ALPHA-PROPYLPHENETHYL ALCOHOL</t>
  </si>
  <si>
    <t xml:space="preserve"> &amp;diams; ALPHA-PROPYLPHENETHYL ALCOHOL&lt;br /&gt;&amp;diams; ALPHA-PROPYLBENZENEETHANOL&lt;br /&gt;&amp;diams; BENZYLPROPYLCARBINOL&lt;br /&gt;&amp;diams; BENZYLBUTYL ALCOHOL&lt;br /&gt;&amp;diams; BENZENEETHANOL, ALPHA-PROPYL-&lt;br /&gt;&amp;diams; PHENETHYL ALCOHOL, ALPHA-PROPYL-&lt;br /&gt;&amp;diams; PROPYLPHENETHYL ALCOHOL, ALPHA-&lt;br /&gt;&amp;diams; 1-PHENYL-2-PENTANOL&lt;br /&gt;&amp;diams; 2-HYDROXY-1-PHENYLPENTANE</t>
  </si>
  <si>
    <t xml:space="preserve"> 644-35-9</t>
  </si>
  <si>
    <t xml:space="preserve"> O-PROPYLPHENOL</t>
  </si>
  <si>
    <t xml:space="preserve"> &amp;diams; 2-PROPYLPHENOL&lt;br /&gt;&amp;diams; PROPYLPHENOL, O-&lt;br /&gt;&amp;diams; 1-(2-HYDROXYPHENYL)PROPANE&lt;br /&gt;&amp;diams; PHENOL, 2-PROPYL-&lt;br /&gt;&amp;diams; PHENOL, O-PROPYL-</t>
  </si>
  <si>
    <t xml:space="preserve"> 645-56-7</t>
  </si>
  <si>
    <t xml:space="preserve"> P-PROPYLPHENOL</t>
  </si>
  <si>
    <t xml:space="preserve"> &amp;diams; 4-PROPYLPHENOL&lt;br /&gt;&amp;diams; DIHYDROCHAVICOL&lt;br /&gt;&amp;diams; PROPYLPHENOL, P-&lt;br /&gt;&amp;diams; PHENOL, 4-PROPYL-&lt;br /&gt;&amp;diams; PHENOL, P-PROPYL-&lt;br /&gt;&amp;diams; HYDROXYPROPYLBENZENE, P-</t>
  </si>
  <si>
    <t xml:space="preserve"> 4606-15-9</t>
  </si>
  <si>
    <t xml:space="preserve"> PROPYL PHENYLACETATE</t>
  </si>
  <si>
    <t xml:space="preserve"> &amp;diams; PROPYL PHENYLACETATE&lt;br /&gt;&amp;diams; PROPYL ALPHA-TOLUATE&lt;br /&gt;&amp;diams; BENZENEACETIC ACID, PROPYL ESTER&lt;br /&gt;&amp;diams; PROPYL BENZENEACETATE&lt;br /&gt;&amp;diams; ACETIC ACID, PHENYL-, PROPYL ESTER</t>
  </si>
  <si>
    <t xml:space="preserve"> 1113-13-9</t>
  </si>
  <si>
    <t xml:space="preserve"> PROPYL PROPANE THIOSULFONATE</t>
  </si>
  <si>
    <t xml:space="preserve"> &amp;diams; S-PROPYL 1-PROPANESULFONOTHIOATE&lt;br /&gt;&amp;diams; 1-propanesulfonothioic acid, S-propyl ester&lt;br /&gt;&amp;diams; 1-propanesulfonic acid, thio-, S-propyl ester&lt;br /&gt;&amp;diams; S-propyl thio-1-propanesulfonate&lt;br /&gt;&amp;diams; S-propyl propanethiosulfonate&lt;br /&gt;&amp;diams; InChI=1S/C6H14O2S2/c1-3-5-9-10(7,8)6-4-2/h3-6H2,1-2H3&lt;br /&gt;&amp;diams; InChIKey: OUIASSQOLAEHIR-UHFFFAOYSA-N</t>
  </si>
  <si>
    <t xml:space="preserve"> 106-36-5</t>
  </si>
  <si>
    <t xml:space="preserve"> PROPYL PROPIONATE</t>
  </si>
  <si>
    <t xml:space="preserve"> &amp;diams; PROPYL PROPIONATE&lt;br /&gt;&amp;diams; PROPYL PROPANOATE&lt;br /&gt;&amp;diams; PROPANOIC ACID, PROPYL ESTER&lt;br /&gt;&amp;diams; PROPIONIC ACID, PROPYL ESTER</t>
  </si>
  <si>
    <t xml:space="preserve"> 18138-03-9</t>
  </si>
  <si>
    <t xml:space="preserve"> 2-PROPYLPYRAZINE</t>
  </si>
  <si>
    <t xml:space="preserve"> &amp;diams; PROPYLPYRAZINE&lt;br /&gt;&amp;diams; PYRAZINE, PROPYL-&lt;br /&gt;&amp;diams; 2-PROPYLPYRAZINE</t>
  </si>
  <si>
    <t xml:space="preserve"> 622-39-9</t>
  </si>
  <si>
    <t xml:space="preserve"> 2-PROPYLPYRIDINE</t>
  </si>
  <si>
    <t xml:space="preserve"> &amp;diams; 2-PROPYLPYRIDINE&lt;br /&gt;&amp;diams; pyridine, 2-propyl-&lt;br /&gt;&amp;diams; conyrine</t>
  </si>
  <si>
    <t xml:space="preserve"> 20279-43-0</t>
  </si>
  <si>
    <t xml:space="preserve"> PROPYL PYRUVATE</t>
  </si>
  <si>
    <t xml:space="preserve"> &amp;diams; PROPYL PYRUVATE&lt;br /&gt;&amp;diams; propanoic acid, 2-oxo-, propyl ester&lt;br /&gt;&amp;diams; propyl 2-oxopropanoate&lt;br /&gt;&amp;diams; pyruvic acid, propyl ester&lt;br /&gt;&amp;diams; InChI=1S/C6H10O3/c1-3-4-9-6(8)5(2)7/h3-4H2,1-2H3&lt;br /&gt;&amp;diams; InChIKey: ILPVOWZUBFRIAX-UHFFFAOYSA-N</t>
  </si>
  <si>
    <t xml:space="preserve"> 10297-72-0</t>
  </si>
  <si>
    <t xml:space="preserve"> PROPYL SORBATE</t>
  </si>
  <si>
    <t xml:space="preserve"> &amp;diams; PROPYL SORBATE&lt;br /&gt;&amp;diams; PROPYL 2,4-HEXADIENOATE&lt;br /&gt;&amp;diams; 2,4-hexadienoic acid, propyl ester, (2E,4E)-&lt;br /&gt;&amp;diams; propyl 2,4-hexadienoate, (2E,4E)-&lt;br /&gt;&amp;diams; sorbic acid, propyl ester&lt;br /&gt;&amp;diams; 2,4-hexadienoic acid, propyl ester, (E,E)-&lt;br /&gt;&amp;diams; propyl 2,4-hexadienoate, (E,E)-</t>
  </si>
  <si>
    <t xml:space="preserve"> 92729-55-0</t>
  </si>
  <si>
    <t xml:space="preserve"> PROPYL 4-TERT-BUTYLPHENYLACETATE</t>
  </si>
  <si>
    <t xml:space="preserve"> &amp;diams; PROPYL 4-TERT-BUTYLPHENYLACETATE&lt;br /&gt;&amp;diams; benzeneacetic acid, 4-(1,1-dimethylethyl)-, propyl ester&lt;br /&gt;&amp;diams; propyl 4-(1,1-dimethylethyl)benzeneacetate&lt;br /&gt;&amp;diams; acetic acid, (p-tert-butylphenyl)-, propyl ester&lt;br /&gt;&amp;diams; propyl (p-tert-butylphenyl)acetate</t>
  </si>
  <si>
    <t xml:space="preserve"> 2307-10-0</t>
  </si>
  <si>
    <t xml:space="preserve"> PROPYL THIOACETATE</t>
  </si>
  <si>
    <t xml:space="preserve"> &amp;diams; S-PROPYL THIOACETATE&lt;br /&gt;&amp;diams; PROPYL THIOACETATE&lt;br /&gt;&amp;diams; PROPYL THIOLACETATE&lt;br /&gt;&amp;diams; ETHANETHIOIC ACID, S-PROPYL ESTER&lt;br /&gt;&amp;diams; S-PROPYL ETHANETHIOATE&lt;br /&gt;&amp;diams; ACETIC ACID, THIO-, S-PROPYL ESTER</t>
  </si>
  <si>
    <t xml:space="preserve"> 977017-31-4</t>
  </si>
  <si>
    <t xml:space="preserve"> PROTEASE FROM ASPERGILLUS FLAVUS</t>
  </si>
  <si>
    <t xml:space="preserve"> &amp;diams; PROTEASE, ASPERGILLUS FLAVUS</t>
  </si>
  <si>
    <t xml:space="preserve"> 977031-92-7</t>
  </si>
  <si>
    <t xml:space="preserve"> PROTEASE FROM ASPERGILLUS NIGER</t>
  </si>
  <si>
    <t xml:space="preserve"> &amp;diams; PROTEASE, ASPERGILLUS NIGER</t>
  </si>
  <si>
    <t xml:space="preserve"> 977017-33-6</t>
  </si>
  <si>
    <t xml:space="preserve"> PROTEASE FROM ASPERGILLUS ORYZAE</t>
  </si>
  <si>
    <t xml:space="preserve"> &amp;diams; PROTEASE, ASPERGILLUS ORYZAE</t>
  </si>
  <si>
    <t xml:space="preserve"> 977031-93-8</t>
  </si>
  <si>
    <t xml:space="preserve"> PROTEASE FROM BACILLUS AMYLOLIQUEFACIENS</t>
  </si>
  <si>
    <t xml:space="preserve"> &amp;diams; PROTEASE, BACILLUS AMYLOLIQUEFACIENS</t>
  </si>
  <si>
    <t xml:space="preserve"> 977165-99-3</t>
  </si>
  <si>
    <t xml:space="preserve"> PROTEASE FROM BACILLUS LICHENIFORMIS</t>
  </si>
  <si>
    <t xml:space="preserve"> &amp;diams; PROTEINASE, BACILLUS LICHENIFORMIS&lt;br /&gt;&amp;diams; PROTEASE, BACILLUS LICHENIFORMIS</t>
  </si>
  <si>
    <t xml:space="preserve"> 51931-23-8</t>
  </si>
  <si>
    <t xml:space="preserve"> PROTEASE FROM BACILLUS SUBTILIS</t>
  </si>
  <si>
    <t xml:space="preserve"> &amp;diams; PROTEASE, BACILLUS SUBTILIS&lt;br /&gt;&amp;diams; PROTEINASE, BACILLUS SUBTILIS</t>
  </si>
  <si>
    <t xml:space="preserve"> 100085-61-8</t>
  </si>
  <si>
    <t xml:space="preserve"> PROTEIN, ANIMAL, HYDROLYZED</t>
  </si>
  <si>
    <t xml:space="preserve"> &amp;diams; HYDROLYZED ANIMAL PROTEIN&lt;br /&gt;&amp;diams; ANIMAL PROTEIN HYDROLYSATE&lt;br /&gt;&amp;diams; ANIMAL PROTEIN, HYDROLYZED&lt;br /&gt;&amp;diams; PROTEIN HYDROLYZATES, ANIMAL&lt;br /&gt;&amp;diams; PROTEIN, ANIMAL, HYDROLYZED&lt;br /&gt;&amp;diams; PROTEIN, ANIMAL, WATER SOLUBLE</t>
  </si>
  <si>
    <t xml:space="preserve"> 9015-54-7</t>
  </si>
  <si>
    <t xml:space="preserve"> PROTEIN HYDROLYSATE, UNSPECIFIED</t>
  </si>
  <si>
    <t xml:space="preserve"> &amp;diams; HYDROLYZED PROTEIN&lt;br /&gt;&amp;diams; PROTEIN HYDROLYZATES&lt;br /&gt;&amp;diams; PROTEIN, WATER SOLUBLE&lt;br /&gt;&amp;diams; PROTEIN HYDROLYSATE&lt;br /&gt;&amp;diams; PROTEIN, HYDROLYZED</t>
  </si>
  <si>
    <t xml:space="preserve"> FLAVOR ENHANCER,&lt;br /&gt; FLAVORING AGENT OR ADJUVANT,&lt;br /&gt; NUTRIENT SUPPLEMENT,&lt;br /&gt; STABILIZER OR THICKENER,&lt;br /&gt; TEXTURIZER</t>
  </si>
  <si>
    <t xml:space="preserve"> 101.17 ,  101.22 ,  102.22</t>
  </si>
  <si>
    <t xml:space="preserve"> 92797-39-2</t>
  </si>
  <si>
    <t xml:space="preserve"> PROTEIN, MILK, HYDROLYZED</t>
  </si>
  <si>
    <t xml:space="preserve"> &amp;diams; HYDROLYZED MILK PROTEIN&lt;br /&gt;&amp;diams; MILK PROTEIN HYDROLYSATE&lt;br /&gt;&amp;diams; MILK PROTEIN, HYDROLYZED&lt;br /&gt;&amp;diams; PROTEIN HYDROLYZATES, MILK&lt;br /&gt;&amp;diams; PROTEIN HYDROLYSATE, MILK&lt;br /&gt;&amp;diams; PROTEIN, MILK, HYDROLYZED</t>
  </si>
  <si>
    <t xml:space="preserve"> 100209-45-8</t>
  </si>
  <si>
    <t xml:space="preserve"> PROTEIN, VEGETABLE, HYDROLYZED</t>
  </si>
  <si>
    <t xml:space="preserve"> &amp;diams; hydrolyzed vegetable protein&lt;br /&gt;&amp;diams; hydrolyzed plant protein&lt;br /&gt;&amp;diams; plant protein hydrolysate&lt;br /&gt;&amp;diams; protein, plant, hydrolysate&lt;br /&gt;&amp;diams; protein hydrolyzates, vegetable&lt;br /&gt;&amp;diams; protein, vegetable, hydrolyzed&lt;br /&gt;&amp;diams; protein hydrolysate, vegetable&lt;br /&gt;&amp;diams; protein, plant, hydrolyzed&lt;br /&gt;&amp;diams; vegetable protein hydrolysate&lt;br /&gt;&amp;diams; protein hydrolyzates, vegetable&lt;br /&gt;&amp;diams; vegetable protein hydrolyzates&lt;br /&gt;&amp;diams; vegetable protein, hydrolyzed</t>
  </si>
  <si>
    <t xml:space="preserve"> ANTICAKING AGENT OR FREE-FLOW AGENT,&lt;br /&gt; DRYING AGENT,&lt;br /&gt; FLAVOR ENHANCER,&lt;br /&gt; FLAVORING AGENT OR ADJUVANT,&lt;br /&gt; HUMECTANT,&lt;br /&gt; NUTRIENT SUPPLEMENT,&lt;br /&gt; TEXTURIZER</t>
  </si>
  <si>
    <t xml:space="preserve"> 141-10-6</t>
  </si>
  <si>
    <t xml:space="preserve"> PSEUDOIONONE</t>
  </si>
  <si>
    <t xml:space="preserve"> &amp;diams; PSEUDOIONONE&lt;br /&gt;&amp;diams; 3,5,9-undecatrien-2-one, 6,10-dimethyl-&lt;br /&gt;&amp;diams; 6,10-dimethyl-3,5,9-undecatrien-2-one&lt;br /&gt;&amp;diams; phi-ionone&lt;br /&gt;&amp;diams; psi-ionone&lt;br /&gt;&amp;diams; InChI=1S/C13H20O/c1-11(2)7-5-8-12(3)9-6-10-13(4)14/h6-7,9-10H,5,8H2,1-4H3/b10-6+,12-9+&lt;br /&gt;&amp;diams; InChIKey: JXJIQCXXJGRKRJ-KOOBJXAQSA-N</t>
  </si>
  <si>
    <t xml:space="preserve"> 8063-16-9</t>
  </si>
  <si>
    <t xml:space="preserve"> PSYLLIUM SEED HUSK</t>
  </si>
  <si>
    <t xml:space="preserve"> &amp;diams; PSYLLIUM GUM&lt;br /&gt;&amp;diams; PLANTAGLUCIDE&lt;br /&gt;&amp;diams; PSYLLIUM&lt;br /&gt;&amp;diams; PSYLLIUM SEED HUSK&lt;br /&gt;&amp;diams; PSYLLIUM SEED GUM</t>
  </si>
  <si>
    <t xml:space="preserve"> 101.17 ,  101.81</t>
  </si>
  <si>
    <t xml:space="preserve"> 977139-78-8</t>
  </si>
  <si>
    <t xml:space="preserve"> PULP</t>
  </si>
  <si>
    <t xml:space="preserve"> &amp;diams; PULP</t>
  </si>
  <si>
    <t xml:space="preserve"> 290-37-9</t>
  </si>
  <si>
    <t xml:space="preserve"> PYRAZINE</t>
  </si>
  <si>
    <t xml:space="preserve"> &amp;diams; PYRAZINE&lt;br /&gt;&amp;diams; 1,4-DIAZABENZENE&lt;br /&gt;&amp;diams; 1,4-DIAZINE&lt;br /&gt;&amp;diams; PARADIAZINE&lt;br /&gt;&amp;diams; DIAZINE, P-</t>
  </si>
  <si>
    <t xml:space="preserve"> 35250-53-4</t>
  </si>
  <si>
    <t xml:space="preserve"> PYRAZINE ETHANETHIOL</t>
  </si>
  <si>
    <t xml:space="preserve"> &amp;diams; PYRAZINEETHANETHIOL&lt;br /&gt;&amp;diams; PYRAZINYL ETHANETHIOL&lt;br /&gt;&amp;diams; 2-PYRAZINYLETHYL MERCAPTAN</t>
  </si>
  <si>
    <t xml:space="preserve"> 21948-70-9</t>
  </si>
  <si>
    <t xml:space="preserve"> PYRAZINYL METHYL SULFIDE</t>
  </si>
  <si>
    <t xml:space="preserve"> &amp;diams; (METHYLTHIO)PYRAZINE&lt;br /&gt;&amp;diams; METHYL PYRAZINYL SULFIDE&lt;br /&gt;&amp;diams; 2-METHYLMERCAPTOPYRAZINE&lt;br /&gt;&amp;diams; PYRAZINYL METHYL SULFIDE&lt;br /&gt;&amp;diams; 2-METHYLTHIOPYRAZINE&lt;br /&gt;&amp;diams; PYRAZINE, (METHYLTHIO)-</t>
  </si>
  <si>
    <t xml:space="preserve"> 2044-73-7</t>
  </si>
  <si>
    <t xml:space="preserve"> 2-PYRIDINEMETHANETHIOL</t>
  </si>
  <si>
    <t xml:space="preserve"> &amp;diams; 2-PYRIDINEMETHANETHIOL&lt;br /&gt;&amp;diams; PYRIDINE-2-THIOCARBINOL&lt;br /&gt;&amp;diams; 2-PYRIDINYLMETHANETHIOL&lt;br /&gt;&amp;diams; 2-PYRIDINYLMETHYL MERCAPTAN&lt;br /&gt;&amp;diams; 2-MERCAPTOMETHYLPYRIDINE&lt;br /&gt;&amp;diams; 2-PICOLYLTHIOL</t>
  </si>
  <si>
    <t xml:space="preserve"> 65-23-6</t>
  </si>
  <si>
    <t xml:space="preserve"> PYRIDOXINE</t>
  </si>
  <si>
    <t xml:space="preserve"> &amp;diams; PYRIDOXINE&lt;br /&gt;&amp;diams; PYRIDOXOL&lt;br /&gt;&amp;diams; 3,4-PYRIDINEDIMETHANOL, 5-HYDROXY-6-METHYL-&lt;br /&gt;&amp;diams; 5-HYDROXY-6-METHYL-3,4-PYRIDINEDIMETHANOL</t>
  </si>
  <si>
    <t xml:space="preserve"> 58-56-0</t>
  </si>
  <si>
    <t xml:space="preserve"> PYRIDOXINE HYDROCHLORIDE</t>
  </si>
  <si>
    <t xml:space="preserve"> &amp;diams; PYRIDOXINE HYDROCHLORIDE&lt;br /&gt;&amp;diams; PYRIDOXOL, HYDROCHLORIDE&lt;br /&gt;&amp;diams; VITAMIN B6 HYDROCHLORIDE&lt;br /&gt;&amp;diams; 3-HYDROXY-4,5-DIHYDROXYMETHYL-2-METHYLPYRIDINE HYDROCHLORIDE&lt;br /&gt;&amp;diams; 3,4-PYRIDINEMETHANOL, 5-HYDROXY-6-METHYL-, HYDROCHLORIDE&lt;br /&gt;&amp;diams; 5-HYDROXY-6-METHYL-3,4-PYRIDINEMETHANOL HYDROCHLORIDE&lt;br /&gt;&amp;diams; 4,5-BIS(HYDROXYMETHYL)-2-METHYLPYRIDIN-3-OL HYDROCHLORIDE</t>
  </si>
  <si>
    <t xml:space="preserve"> 8030-97-5</t>
  </si>
  <si>
    <t xml:space="preserve"> PYROLIGNEOUS ACID</t>
  </si>
  <si>
    <t xml:space="preserve"> &amp;diams; PYROLIGNEOUS ACID&lt;br /&gt;&amp;diams; PYROLIGNEOUS VINEGAR&lt;br /&gt;&amp;diams; WOOD VINEGAR&lt;br /&gt;&amp;diams; PYROLIGNEOUS ACIDS</t>
  </si>
  <si>
    <t xml:space="preserve"> 8028-47-5</t>
  </si>
  <si>
    <t xml:space="preserve"> PYROLIGNEOUS ACID, EXTRACT</t>
  </si>
  <si>
    <t xml:space="preserve"> &amp;diams; PYROLIGNEOUS ACID EXTRACT&lt;br /&gt;&amp;diams; PYROLIGNEOUS ACIDS, EXTS.</t>
  </si>
  <si>
    <t xml:space="preserve"> 109-97-7</t>
  </si>
  <si>
    <t xml:space="preserve"> PYRROLE</t>
  </si>
  <si>
    <t xml:space="preserve"> &amp;diams; PYRROLE&lt;br /&gt;&amp;diams; DIVINYLENEIMINE&lt;br /&gt;&amp;diams; IMIDOLE&lt;br /&gt;&amp;diams; 1H-PYRROLE&lt;br /&gt;&amp;diams; 1-AZA-2,4-CYCLOPENTADIENE&lt;br /&gt;&amp;diams; AZOLE</t>
  </si>
  <si>
    <t xml:space="preserve"> 123-75-1</t>
  </si>
  <si>
    <t xml:space="preserve"> PYRROLIDINE</t>
  </si>
  <si>
    <t xml:space="preserve"> &amp;diams; PYRROLIDINE&lt;br /&gt;&amp;diams; TETRAHYDROPYRROLE&lt;br /&gt;&amp;diams; TETRAMETHYLENIMINE&lt;br /&gt;&amp;diams; AZACYCLOPENTANE&lt;br /&gt;&amp;diams; PROLAMINE&lt;br /&gt;&amp;diams; BUTYLENIMINE&lt;br /&gt;&amp;diams; AZOLIDINE&lt;br /&gt;&amp;diams; PERHYDROPYRROLE</t>
  </si>
  <si>
    <t xml:space="preserve"> 116505-60-3</t>
  </si>
  <si>
    <t xml:space="preserve"> PYRROLIDINO-[1,2E]-4H-2,4-DIMETHYL-1,3,5-DITHIAZINE</t>
  </si>
  <si>
    <t xml:space="preserve"> 5724-81-2</t>
  </si>
  <si>
    <t xml:space="preserve"> 1-PYRROLINE</t>
  </si>
  <si>
    <t xml:space="preserve"> &amp;diams; 1-PYRROLINE&lt;br /&gt;&amp;diams; 2H-PYRROLE, 3,4-DIHYDRO-&lt;br /&gt;&amp;diams; 3,4-DIHYDRO-2H-PYRROLE&lt;br /&gt;&amp;diams; DELTA1-PYRROLINE&lt;br /&gt;&amp;diams; ISOPYRROLINE</t>
  </si>
  <si>
    <t xml:space="preserve"> 78-98-8</t>
  </si>
  <si>
    <t xml:space="preserve"> PYRUVALDEHYDE</t>
  </si>
  <si>
    <t xml:space="preserve"> &amp;diams; PYRUVALDEHYDE&lt;br /&gt;&amp;diams; 2-OXOPROPANAL&lt;br /&gt;&amp;diams; METHYLGLYOXAL&lt;br /&gt;&amp;diams; 2-KETOPROPIONALDEHYDE&lt;br /&gt;&amp;diams; PYRUVIC ALDEHYDE&lt;br /&gt;&amp;diams; ACETYLFORMALDEHYDE&lt;br /&gt;&amp;diams; ALPHA-KETOPROPIONIC ALDEHYDE&lt;br /&gt;&amp;diams; ACETYLFORMYL&lt;br /&gt;&amp;diams; ALPHA-KETOPROPIONALDEHYDE&lt;br /&gt;&amp;diams; 2-OXOPROPIONALDEHYDE&lt;br /&gt;&amp;diams; PROPANAL, 2-OXO-&lt;br /&gt;&amp;diams; PYRORACEMIC ALDEHYDE</t>
  </si>
  <si>
    <t xml:space="preserve"> 127-17-3</t>
  </si>
  <si>
    <t xml:space="preserve"> PYRUVIC ACID</t>
  </si>
  <si>
    <t xml:space="preserve"> &amp;diams; PYRUVIC ACID&lt;br /&gt;&amp;diams; ACETYLFORMIC ACID&lt;br /&gt;&amp;diams; ALPHA-KETOPROPIONIC ACID&lt;br /&gt;&amp;diams; PYRORACEMIC ACID&lt;br /&gt;&amp;diams; 2-KETOPROPIONIC ACID&lt;br /&gt;&amp;diams; 2-OXOPROPANOIC ACID&lt;br /&gt;&amp;diams; 2-OXOPROPIONIC ACID&lt;br /&gt;&amp;diams; PROPANOIC ACID, 2-OXO-</t>
  </si>
  <si>
    <t xml:space="preserve"> 68915-32-2</t>
  </si>
  <si>
    <t xml:space="preserve"> QUASSIA, EXTRACT (PICRASMA EXCELSA (SW.) PLANCH OR QUASSIA AMARA L.)</t>
  </si>
  <si>
    <t xml:space="preserve"> &amp;diams; QUASSIA EXTRACT&lt;br /&gt;&amp;diams; BITTER ASH EXTRACT&lt;br /&gt;&amp;diams; BITTER WOOD EXTRACT&lt;br /&gt;&amp;diams; QUASSIA, EXT.&lt;br /&gt;&amp;diams; PICRASMA EXCELSA EXTRACT&lt;br /&gt;&amp;diams; QUASSIA AMARA EXTRACT</t>
  </si>
  <si>
    <t xml:space="preserve"> 977127-82-4</t>
  </si>
  <si>
    <t xml:space="preserve"> QUATERNARY AMMONIUM CHLORIDE COMBINATION</t>
  </si>
  <si>
    <t xml:space="preserve"> &amp;diams; QUATERNARY AMMONIUM CHLORIDE COMBINATION</t>
  </si>
  <si>
    <t xml:space="preserve"> 977092-71-9</t>
  </si>
  <si>
    <t xml:space="preserve"> QUEBRACHO BARK EXTRACT</t>
  </si>
  <si>
    <t xml:space="preserve"> &amp;diams; ASPIDOSPERMA EXTRACT&lt;br /&gt;&amp;diams; QUEBRACHO BARK EXTRACT</t>
  </si>
  <si>
    <t xml:space="preserve"> 68990-67-0</t>
  </si>
  <si>
    <t xml:space="preserve"> QUILLAIA EXTRACT (QUILLAJA SAPONARIA MOLINA)</t>
  </si>
  <si>
    <t xml:space="preserve"> &amp;diams; QUILLAJA EXTRACT&lt;br /&gt;&amp;diams; QUILLAIA EXTRACT&lt;br /&gt;&amp;diams; SOAPBARK EXTRACT&lt;br /&gt;&amp;diams; CHINA BARK EXTRACT&lt;br /&gt;&amp;diams; PANAMA WOOD EXTRACT&lt;br /&gt;&amp;diams; QUILLAJA SAPONARIA, EXT.&lt;br /&gt;&amp;diams; QUILLAJA SAPONARIA EXTRACT</t>
  </si>
  <si>
    <t xml:space="preserve"> 977002-27-9</t>
  </si>
  <si>
    <t xml:space="preserve"> QUILLAIA (QUILLAJA SAPONARIA MOLINA)</t>
  </si>
  <si>
    <t xml:space="preserve"> &amp;diams; QUILLAJA&lt;br /&gt;&amp;diams; QUILLAIA&lt;br /&gt;&amp;diams; QUILLAY BARK&lt;br /&gt;&amp;diams; SOAPBARK&lt;br /&gt;&amp;diams; SOAP BUSH&lt;br /&gt;&amp;diams; QUILLAY&lt;br /&gt;&amp;diams; SOAP BARK TREE&lt;br /&gt;&amp;diams; QUILLAJA SAPONARIA&lt;br /&gt;&amp;diams; SOAP TREE</t>
  </si>
  <si>
    <t xml:space="preserve"> EMULSIFIER OR EMULSIFIER SALT,&lt;br /&gt; FLAVOR ENHANCER,&lt;br /&gt; FLAVORING AGENT OR ADJUVANT,&lt;br /&gt; PROCESSING AID,&lt;br /&gt; PROPELLANT,&lt;br /&gt; SURFACE-FINISHING AGENT</t>
  </si>
  <si>
    <t xml:space="preserve"> 977018-25-9</t>
  </si>
  <si>
    <t xml:space="preserve"> QUINCE SEED, EXTRACT (CYDONIA SPP.)</t>
  </si>
  <si>
    <t xml:space="preserve"> &amp;diams; QUINCE SEED EXTRACT&lt;br /&gt;&amp;diams; CYDONIA OBLONGA SEED EXTRACT</t>
  </si>
  <si>
    <t xml:space="preserve"> 549-56-4</t>
  </si>
  <si>
    <t xml:space="preserve"> QUININE BISULFATE</t>
  </si>
  <si>
    <t xml:space="preserve"> &amp;diams; QUININE BISULFATE&lt;br /&gt;&amp;diams; CINCHONAN-9-OL, 6'-METHOXY-, (8ALPHA,9R)-, SULFATE (1:1) (SALT)&lt;br /&gt;&amp;diams; 6'-METHOXYCINCHONAN-9-OL SULFATE, (8ALPHA,9R)-, (1:1)&lt;br /&gt;&amp;diams; QUININE, SULFATE (1:1) (SALT)&lt;br /&gt;&amp;diams; QUININE HYDROGEN SULFATE</t>
  </si>
  <si>
    <t xml:space="preserve"> 130-89-2</t>
  </si>
  <si>
    <t xml:space="preserve"> QUININE HYDROCHLORIDE</t>
  </si>
  <si>
    <t xml:space="preserve"> &amp;diams; QUININE HYDROCHLORIDE&lt;br /&gt;&amp;diams; CINCHONAN-9-OL, 6'-METHOXY-, MONOHYDROCHLORIDE, (8ALPHA,9R)-&lt;br /&gt;&amp;diams; QUININE MONOHYDROCHLORIDE&lt;br /&gt;&amp;diams; QUININE CHLORIDE&lt;br /&gt;&amp;diams; QUININE MURIATE&lt;br /&gt;&amp;diams; 6'-METHOXYCINCHONAN-9-OL MONOHYDROCHLORIDE, (8ALPHA,9R)-</t>
  </si>
  <si>
    <t xml:space="preserve"> 6119-70-6</t>
  </si>
  <si>
    <t xml:space="preserve"> QUININE SULFATE</t>
  </si>
  <si>
    <t xml:space="preserve"> &amp;diams; QUININE SULFATE DIHYDRATE&lt;br /&gt;&amp;diams; CINCHONAN-9-OL, 6'-METHOXY-, (8ALPHA,9R)-, SULFATE (2:1) (SALT), DIHYDRATE&lt;br /&gt;&amp;diams; QUININE, SULFATE (2:1), DIHYDRATE&lt;br /&gt;&amp;diams; 6'-METHOXYCINCHONAN-9-OL SULFATE DIHYDRATE, (8ALPHA,9R)-, (2:1) (SALT)</t>
  </si>
  <si>
    <t xml:space="preserve"> 91-22-5</t>
  </si>
  <si>
    <t xml:space="preserve"> QUINOLINE--NLFG</t>
  </si>
  <si>
    <t xml:space="preserve"> &amp;diams; QUINOLINE&lt;br /&gt;&amp;diams; CHINOLEINE&lt;br /&gt;&amp;diams; BENZO(B)PYRIDINE&lt;br /&gt;&amp;diams; 1-BENZAZINE&lt;br /&gt;&amp;diams; 2,3-BENZOPYRIDINE&lt;br /&gt;&amp;diams; 1-AZANAPHTHALENE&lt;br /&gt;&amp;diams; LEUCOLINE</t>
  </si>
  <si>
    <t xml:space="preserve"> NLFG-3470</t>
  </si>
  <si>
    <t xml:space="preserve"> 84681-71-0</t>
  </si>
  <si>
    <t xml:space="preserve"> RAPESEED OIL, HYDROGENATED</t>
  </si>
  <si>
    <t xml:space="preserve"> &amp;diams; HYDROGENATED RAPESEED OIL&lt;br /&gt;&amp;diams; COLZA OIL, HYDROGENATED&lt;br /&gt;&amp;diams; HYDROGENATED COLZA OIL&lt;br /&gt;&amp;diams; OIL, CANOLA (RAPESEED), HYDROGENATED&lt;br /&gt;&amp;diams; RAPESEED OIL, HYDROGENATED&lt;br /&gt;&amp;diams; RAPE OIL, HYDROGENATED</t>
  </si>
  <si>
    <t xml:space="preserve"> 977011-92-9</t>
  </si>
  <si>
    <t xml:space="preserve"> RAPESEED OIL, HYDROGENATED, SUPERGLYCERINATED</t>
  </si>
  <si>
    <t xml:space="preserve"> &amp;diams; RAPESEED OIL, HYDROGENATED, SUPERGLYCERINATED&lt;br /&gt;&amp;diams; HYDROGENATED RAPESEED OIL, SUPERGLYCERINATED&lt;br /&gt;&amp;diams; SUPERGLYCERINATED HYDROGENATED RAPESEED OIL&lt;br /&gt;&amp;diams; SUPERGLYCERINATED FULLY HYDROGENATED RAPESEED OIL</t>
  </si>
  <si>
    <t xml:space="preserve"> 120962-03-0</t>
  </si>
  <si>
    <t xml:space="preserve"> RAPESEED OIL, LOW ERUCIC ACID</t>
  </si>
  <si>
    <t xml:space="preserve"> &amp;diams; CANOLA OIL&lt;br /&gt;&amp;diams; LEAR OIL&lt;br /&gt;&amp;diams; LOW ERUCIC ACID RAPESEED OIL&lt;br /&gt;&amp;diams; RAPESEED OIL, LOW ERUCIC ACID&lt;br /&gt;&amp;diams; OILS, GLYCERIDIC, CANOLA&lt;br /&gt;&amp;diams; RAPE OIL, CANOLA&lt;br /&gt;&amp;diams; CANBRA OIL&lt;br /&gt;&amp;diams; BRASSICA NAPUS OIL, LOW ERUCIC ACID&lt;br /&gt;&amp;diams; TOWER RAPESEED OIL&lt;br /&gt;&amp;diams; ZEPHYR RAPESEED OIL&lt;br /&gt;&amp;diams; ORO RAPESEED OIL&lt;br /&gt;&amp;diams; SPAN RAPESEED OIL&lt;br /&gt;&amp;diams; CANOLA OIL GLYCERIDIC&lt;br /&gt;&amp;diams; ERGLU RAPESEED OIL&lt;br /&gt;&amp;diams; LESIRA RAPESEED OIL&lt;br /&gt;&amp;diams; PRIMOR RAPESEED OIL</t>
  </si>
  <si>
    <t xml:space="preserve"> 977106-35-6</t>
  </si>
  <si>
    <t xml:space="preserve"> RAPESEED OIL, LOW ERUCIC ACID, PARTIALLY HYDROGENATED</t>
  </si>
  <si>
    <t xml:space="preserve"> &amp;diams; CANOLA OIL, PARTIALLY HYDROGENATED&lt;br /&gt;&amp;diams; ERGLU RAPESEED OIL, PARTIALLY HYDROGENATED&lt;br /&gt;&amp;diams; CANBRA OIL, PARTIALLY HYDROGENATED&lt;br /&gt;&amp;diams; LESIRA RAPESEED OIL, PARTIALLY HYDROGENATED&lt;br /&gt;&amp;diams; OIL, CANOLA (RAPESEED), PARTIALLY HYDROGENATED&lt;br /&gt;&amp;diams; RAPESEED OIL, LOW ERUCIC ACID, PARTIALLY HYDROGENATED</t>
  </si>
  <si>
    <t xml:space="preserve"> 63550-99-2</t>
  </si>
  <si>
    <t xml:space="preserve"> REBAUDIOSIDE C</t>
  </si>
  <si>
    <t xml:space="preserve"> &amp;diams; REBAUDIOSIDE C&lt;br /&gt;&amp;diams; DULCOSIDE B&lt;br /&gt;&amp;diams; KAUR-16-EN-18-OIC ACID, 13-((O-6-DEOXY-ALPHA-L-MANNOPYRANOSYL-(1FWDARW2)-O-(BETA-D-GLUCOPYRANOSYL-(1FWDARW3))-BETA-D-GLUCOPYRANOSYL)OXY)-, BETA-D-GLUCOPYRANOSYL ESTER, (4ALPHA)-&lt;br /&gt;&amp;diams; KAUR-16-EN-18-OIC ACID, 13-((O-6-DEOXY-ALPHA-L-MANNOPYRANOSYL-(1-&gt;2)-O-(BETA-D-GLUCOPYRANOSYL-(1-&gt;3))-BETA-D-GLUCOPYRANOSYL)OXY)-, BETA-D-GLUCOPYRANOSYL ESTER, (4ALPHA)-</t>
  </si>
  <si>
    <t xml:space="preserve"> 58543-16-1</t>
  </si>
  <si>
    <t xml:space="preserve"> REBAUDIOSIDE A</t>
  </si>
  <si>
    <t xml:space="preserve"> &amp;diams; REBAUDIOSIDE A&lt;br /&gt;&amp;diams; STEVIOSIDE A3&lt;br /&gt;&amp;diams; KAUR-16-EN-18-OIC ACID, 13-((O-BETA-D-GLUCOPYRANOSYL-(1FWDARW2)-O-(BETA-D-GLUCOPYRANOSYL-(1FWDARW3))-BETA-D-GLUCOPYRANOSYL)OXY)-, BETA-D-GLUCOPYRANOSYL ESTER, (4ALPHA)-&lt;br /&gt;&amp;diams; KAUR-16-EN-18-OIC ACID, 13-((O-BETA-D-GLUCOPYRANOSYL-(1-&gt;2)-O-(BETA-D-GLUCOPYRANOSYL-(1-&gt;3))-BETA-D-GLUCOPYRANOSYL)OXY)-, BETA-D-GLUCOPYRANOSYL ESTER, (4ALPHA)-&lt;br /&gt;&amp;diams; LUVUDIOSIDE A&lt;br /&gt;&amp;diams; LEVUDIOSIDE A&lt;br /&gt;&amp;diams; beta-D-glucopyranosyl 13-((O-beta-D-glucopyranosyl-(1-&gt;2)-O-(beta-D-glucopyranosyl-(1-&gt;3))-beta-D-glucopyranosyl)oxy)kaur-16-en-18-oate, (4alpha)-</t>
  </si>
  <si>
    <t xml:space="preserve"> 9042-08-4</t>
  </si>
  <si>
    <t xml:space="preserve"> RENNET</t>
  </si>
  <si>
    <t xml:space="preserve"> &amp;diams; RENNET&lt;br /&gt;&amp;diams; RENNET, CALF&lt;br /&gt;&amp;diams; RENNETS</t>
  </si>
  <si>
    <t xml:space="preserve"> ENZYME,&lt;br /&gt; FLAVOR ENHANCER,&lt;br /&gt; FLAVORING AGENT OR ADJUVANT,&lt;br /&gt; LUBRICANT OR RELEASE AGENT,&lt;br /&gt; MALTING OR FERMENTING AID,&lt;br /&gt; PROCESSING AID,&lt;br /&gt; STABILIZER OR THICKENER,&lt;br /&gt; TEXTURIZER</t>
  </si>
  <si>
    <t xml:space="preserve"> 131.160 ,  131.162 ,  133.102 ,  133.106 ,  133.108 ,  133.111 ,  133.113 ,  133.118 ,  133.127 ,  133.129 ,  133.133 ,  133.136 ,  133.138 ,  133.141 ,  133.144 ,  133.147 ,  133.149 ,  133.150 ,  133.152 ,  133.153 ,  133.155 ,  133.156 ,  133.162 ,  133.164, 133.165, 133.181, 133.182, 133.183, 133.184, 133.185, 133.187, 133.188, 133.189, 133.190, 133.195</t>
  </si>
  <si>
    <t xml:space="preserve"> 9006-70-6</t>
  </si>
  <si>
    <t xml:space="preserve"> RESIN, FROM FORMALDEHYDE, ACETONE, AND TETRAETHYLENEPENTAMINE</t>
  </si>
  <si>
    <t xml:space="preserve"> &amp;diams; POLY(ACETONE-CO-FORMALDEHYDE-CO-TETRAETHYLENEPENTAMINE)&lt;br /&gt;&amp;diams; ACETONE-FORMALDEHYDE-TETRAETHYLENEPENTAMINE COPOLYMER&lt;br /&gt;&amp;diams; FORMALDEHYDE-ACETONE-TETRAETHYLENEPENTAMINE REACTION RESIN&lt;br /&gt;&amp;diams; FORMALDEHYDE, POLYMER WITH N-(2-AMINOETHYL)-N'-(2-((2-AMINOETHYL)AMINO)ETHYL)-1,2-ETHANEDIAMINE AND 2-PROPANONE&lt;br /&gt;&amp;diams; POLY(FORMALDEHYDE-CO-N-(2-AMINOETHYL)-N'-(2-((2-AMINOETHYL)AMINO)ETHYL)-1,2-ETHANEDIAMINE-CO-2-PROPANONE)</t>
  </si>
  <si>
    <t xml:space="preserve"> 108-46-3</t>
  </si>
  <si>
    <t xml:space="preserve"> RESORCINOL</t>
  </si>
  <si>
    <t xml:space="preserve"> &amp;diams; RESORCINOL&lt;br /&gt;&amp;diams; RESORCIN&lt;br /&gt;&amp;diams; DIHYDROXYBENZENE, M-&lt;br /&gt;&amp;diams; 1,3-BENZENEDIOL&lt;br /&gt;&amp;diams; C.I. 76505&lt;br /&gt;&amp;diams; BENZENEDIOL, M-&lt;br /&gt;&amp;diams; 1,3-DIHYDROXYBENZENE&lt;br /&gt;&amp;diams; HYDROQUINONE, M-&lt;br /&gt;&amp;diams; HYDROXYPHENOL, M-&lt;br /&gt;&amp;diams; 3-HYDROXYPHENOL</t>
  </si>
  <si>
    <t xml:space="preserve"> 3615-41-6</t>
  </si>
  <si>
    <t xml:space="preserve"> L-RHAMNOSE</t>
  </si>
  <si>
    <t xml:space="preserve"> &amp;diams; RHAMNOSE, L-&lt;br /&gt;&amp;diams; RHAMNOSE&lt;br /&gt;&amp;diams; ISODULCIT&lt;br /&gt;&amp;diams; MANNOMETHYLOSE, L-&lt;br /&gt;&amp;diams; 6-DEOXY-L-MANNOSE&lt;br /&gt;&amp;diams; L-MANNOSE, 6-DEOXY-&lt;br /&gt;&amp;diams; ISODULCITOL</t>
  </si>
  <si>
    <t xml:space="preserve"> 84775-95-1</t>
  </si>
  <si>
    <t xml:space="preserve"> RHATANY, EXTRACT (KRAMERIA SPP.)</t>
  </si>
  <si>
    <t xml:space="preserve"> &amp;diams; KRAMERIA EXTRACT&lt;br /&gt;&amp;diams; RHATANY EXTRACT&lt;br /&gt;&amp;diams; RHATANY, KRAMERIA TRIANDRA, EXT.</t>
  </si>
  <si>
    <t xml:space="preserve"> 141-25-3</t>
  </si>
  <si>
    <t xml:space="preserve"> RHODINOL</t>
  </si>
  <si>
    <t xml:space="preserve"> &amp;diams; RHODINOL&lt;br /&gt;&amp;diams; 7-OCTEN-1-OL, 3,7-DIMETHYL-&lt;br /&gt;&amp;diams; 3,7-DIMETHYL-7-OCTEN-1-OL</t>
  </si>
  <si>
    <t xml:space="preserve"> 141-11-7</t>
  </si>
  <si>
    <t xml:space="preserve"> RHODINYL ACETATE</t>
  </si>
  <si>
    <t xml:space="preserve"> &amp;diams; RHODINYL ACETATE&lt;br /&gt;&amp;diams; ALPHA-CITRONELLYL ACETATE&lt;br /&gt;&amp;diams; 3,7-DIMETHYL-7-OCTENYL ACETATE&lt;br /&gt;&amp;diams; RHODINYL ETHANOATE&lt;br /&gt;&amp;diams; 3,7-DIMETHYL-7-OCTEN-1-YL ETHANOATE&lt;br /&gt;&amp;diams; 7-OCTEN-1-OL, 3,7-DIMETHYL-, ACETATE&lt;br /&gt;&amp;diams; CITRONELLYL ACETATE, ALPHA-</t>
  </si>
  <si>
    <t xml:space="preserve"> 141-15-1</t>
  </si>
  <si>
    <t xml:space="preserve"> RHODINYL BUTYRATE</t>
  </si>
  <si>
    <t xml:space="preserve"> &amp;diams; RHODINYL BUTYRATE&lt;br /&gt;&amp;diams; 3,7-DIMETHYL-7-OCTENYL BUTANOATE&lt;br /&gt;&amp;diams; 3,7-DIMETHYL-7-OCTENYL BUTYRATE&lt;br /&gt;&amp;diams; BUTANOIC ACID, 3,7-DIMETHYL-7-OCTENYL ESTER&lt;br /&gt;&amp;diams; BUTYRIC ACID, 3,7-DIMETHYL-7-OCTENYL ESTER</t>
  </si>
  <si>
    <t xml:space="preserve"> 141-09-3</t>
  </si>
  <si>
    <t xml:space="preserve"> RHODINYL FORMATE</t>
  </si>
  <si>
    <t xml:space="preserve"> &amp;diams; RHODINYL FORMATE&lt;br /&gt;&amp;diams; 3,7-DIMETHYL-7-OCTENYL FORMATE&lt;br /&gt;&amp;diams; RHODINYL METHANOATE&lt;br /&gt;&amp;diams; 3,7-DIMETHYL-7-OCTEN-1-YL METHANOATE&lt;br /&gt;&amp;diams; 7-OCTEN-1-OL, 3,7-DIMETHYL-, FORMATE</t>
  </si>
  <si>
    <t xml:space="preserve"> 138-23-8</t>
  </si>
  <si>
    <t xml:space="preserve"> RHODINYL ISOBUTYRATE</t>
  </si>
  <si>
    <t xml:space="preserve"> &amp;diams; RHODINYL ISOBUTYRATE&lt;br /&gt;&amp;diams; 3,7-DIMETHYL-7-OCTENYL ISOBUTYRATE&lt;br /&gt;&amp;diams; 3,7-DIMETHYL-7-OCTEN-1-YL 2-METHYLPROPIONATE&lt;br /&gt;&amp;diams; RHODINYL 2-METHYLPROPANOATE&lt;br /&gt;&amp;diams; PROPANOIC ACID, 2-METHYL-, 3,7-DIMETHYL-7-OCTENYL ESTER&lt;br /&gt;&amp;diams; 3,7-DIMETHYL-7-OCTENYL 2-METHYLPROPANOATE&lt;br /&gt;&amp;diams; ISOBUTYRIC ACID, 3,7-DIMETHYL-7-OCTENYL ESTER</t>
  </si>
  <si>
    <t xml:space="preserve"> 7778-96-3</t>
  </si>
  <si>
    <t xml:space="preserve"> RHODINYL ISOVALERATE</t>
  </si>
  <si>
    <t xml:space="preserve"> &amp;diams; RHODINYL ISOVALERATE&lt;br /&gt;&amp;diams; RHODINYL ISOPENTANOATE&lt;br /&gt;&amp;diams; RHODINYL ISOVALERIANATE&lt;br /&gt;&amp;diams; RHODINYL 3-METHYLBUTANOATE&lt;br /&gt;&amp;diams; 3,7-DIMETHYL-7-OCTENYL ISOVALERATE, (-)-&lt;br /&gt;&amp;diams; 3,7-DIMETHYL-7-OCTEN-1-YL ISOPENTANOATE&lt;br /&gt;&amp;diams; BUTANOIC ACID, 3-METHYL-, 3,7-DIMETHYL-7-OCTENYL ESTER, (S)-&lt;br /&gt;&amp;diams; 3,7,-DIMETHYL-7-OCTENYL 3-METHYLBUTANOATE, (S)-&lt;br /&gt;&amp;diams; ISOVALERIC ACID, 3,7-DIMETHYL-7-OCTENYL ESTER, (-)-</t>
  </si>
  <si>
    <t xml:space="preserve"> 10486-14-3</t>
  </si>
  <si>
    <t xml:space="preserve"> RHODINYL PHENYLACETATE</t>
  </si>
  <si>
    <t xml:space="preserve"> &amp;diams; RHODINYL PHENYLACETATE&lt;br /&gt;&amp;diams; BENZENEACETIC ACID, 3,7-DIMETHYL-7-OCTENYL ESTER, (S)-&lt;br /&gt;&amp;diams; ACETIC ACID, PHENYL-, 3,7-DIMETHYL-7-OCTENYL ESTER&lt;br /&gt;&amp;diams; RHODINYL ALPHA-TOLUATE&lt;br /&gt;&amp;diams; 3,7-DIMETHYL-7-OCTENYL BENZENEACETATE, (S)-&lt;br /&gt;&amp;diams; 3,7-DIMETHYL-7-OCTENYL PHENYLACETATE</t>
  </si>
  <si>
    <t xml:space="preserve"> 105-89-5</t>
  </si>
  <si>
    <t xml:space="preserve"> RHODINYL PROPIONATE</t>
  </si>
  <si>
    <t xml:space="preserve"> &amp;diams; RHODINYL PROPIONATE&lt;br /&gt;&amp;diams; RHODINYL PROPANOATE&lt;br /&gt;&amp;diams; 3,7-DIMETHYL-7-OCTENYL PROPANOATE&lt;br /&gt;&amp;diams; 3,7-DIMETHYL-7-OCTENYL PROPIONATE&lt;br /&gt;&amp;diams; 7-OCTEN-1-OL, 3,7-DIMETHYL-, PROPANOATE&lt;br /&gt;&amp;diams; 7-OCTEN-1-OL, 3,7-DIMETHYL-, PROPIONATE</t>
  </si>
  <si>
    <t xml:space="preserve"> 977035-94-1</t>
  </si>
  <si>
    <t xml:space="preserve"> RHUBARB, GARDEN ROOT (RHEUM RHAPONTICUM L.)</t>
  </si>
  <si>
    <t xml:space="preserve"> &amp;diams; RHUBARB, GARDEN ROOT&lt;br /&gt;&amp;diams; RHUBARB, ENGLISH&lt;br /&gt;&amp;diams; Rheum rhaponticum root</t>
  </si>
  <si>
    <t xml:space="preserve"> 977039-94-3</t>
  </si>
  <si>
    <t xml:space="preserve"> RHUBARB ROOT (RHEUM SPP.)</t>
  </si>
  <si>
    <t xml:space="preserve"> &amp;diams; RHUBARB&lt;br /&gt;&amp;diams; RHUBARB ROOT&lt;br /&gt;&amp;diams; RHEUM RHABARBARUM&lt;br /&gt;&amp;diams; RHUBARBE (RHEUM RHABARBARIM)</t>
  </si>
  <si>
    <t xml:space="preserve"> 83-88-5</t>
  </si>
  <si>
    <t xml:space="preserve"> RIBOFLAVIN</t>
  </si>
  <si>
    <t xml:space="preserve"> &amp;diams; RIBOFLAVIN&lt;br /&gt;&amp;diams; VITAMIN B2&lt;br /&gt;&amp;diams; LACTOFLAVIN&lt;br /&gt;&amp;diams; 7,8-DIMETHYL-10-(D-RIBO-2,3,4,5-TETRAHYDRODYPENTYL)ISOALLOXAZINE&lt;br /&gt;&amp;diams; RIBOFLAVINE</t>
  </si>
  <si>
    <t xml:space="preserve"> COLOR OR COLORING ADJUNCT,&lt;br /&gt; FLAVOR ENHANCER,&lt;br /&gt; FLAVORING AGENT OR ADJUVANT,&lt;br /&gt; NUTRIENT SUPPLEMENT</t>
  </si>
  <si>
    <t xml:space="preserve"> 101.9 ,  107.100 ,  136.115 ,  137.165 ,  137.185 ,  137.260 ,  137.305 ,  137.350 ,  139.115 ,  139.117 ,  139.122 ,  139.155</t>
  </si>
  <si>
    <t xml:space="preserve"> 146-17-8</t>
  </si>
  <si>
    <t xml:space="preserve"> RIBOFLAVIN 5'-PHOSPHATE</t>
  </si>
  <si>
    <t xml:space="preserve"> &amp;diams; RIBOFLAVIN 5'-PHOSPHATE&lt;br /&gt;&amp;diams; FLAVIN MONONUCLEOTIDE&lt;br /&gt;&amp;diams; RIBOFLAVIN 5'-(DIHYDROGEN PHOSPHATE)&lt;br /&gt;&amp;diams; RIBOFLAVINE 5'-(DIHYDROGEN PHOSPHATE)&lt;br /&gt;&amp;diams; RIBOFLAVIN 5-PHOSPHATE</t>
  </si>
  <si>
    <t xml:space="preserve"> 130-40-5</t>
  </si>
  <si>
    <t xml:space="preserve"> RIBOFLAVIN 5'-PHOSPHATE, SODIUM</t>
  </si>
  <si>
    <t xml:space="preserve"> &amp;diams; SODIUM RIBOFLAVIN 5'-PHOSPHATE&lt;br /&gt;&amp;diams; MONOSODIUM RIBOFLAVIN 5'-(DIHYDROGEN PHOSPHATE)&lt;br /&gt;&amp;diams; MONOSODIUM RIBOFLAVINE 5'-(DIHYDROGEN PHOSPHATE)&lt;br /&gt;&amp;diams; RIBOFLAVIN 5'-(DIHYDROGEN PHOSPHATE), MONOSODIUM SALT&lt;br /&gt;&amp;diams; RIBOFLAVINE 5'-(DIHYDROGEN PHOSPHATE), MONOSODIUM SALT&lt;br /&gt;&amp;diams; SODIUM RIBOFLAVINE 5'-PHOSPHATE&lt;br /&gt;&amp;diams; RIBOFLAVIN 5'-PHOSPHATE SODIUM&lt;br /&gt;&amp;diams; VITAMIN B2 PHOSPHATE, SODIUM SALT</t>
  </si>
  <si>
    <t xml:space="preserve"> 50-69-1</t>
  </si>
  <si>
    <t xml:space="preserve"> D-RIBOSE</t>
  </si>
  <si>
    <t xml:space="preserve"> &amp;diams; RIBOSE, D-&lt;br /&gt;&amp;diams; D-RIBOSE&lt;br /&gt;&amp;diams; RIBO-2,3,4,5-TETRAHYDROXYVALERALDEHYDE, D-</t>
  </si>
  <si>
    <t xml:space="preserve"> 8016-60-2</t>
  </si>
  <si>
    <t xml:space="preserve"> RICE BRAN WAX</t>
  </si>
  <si>
    <t xml:space="preserve"> &amp;diams; RICE BRAN WAX&lt;br /&gt;&amp;diams; WAXES AND WAXY SUBSTANCES, RICE BRAN</t>
  </si>
  <si>
    <t xml:space="preserve"> LUBRICANT OR RELEASE AGENT,&lt;br /&gt; MASTICATORY SUBSTANCE</t>
  </si>
  <si>
    <t xml:space="preserve"> 977083-18-3</t>
  </si>
  <si>
    <t xml:space="preserve"> RICE, MILLED</t>
  </si>
  <si>
    <t xml:space="preserve"> &amp;diams; RICE, MILLED</t>
  </si>
  <si>
    <t xml:space="preserve"> 977000-08-0</t>
  </si>
  <si>
    <t xml:space="preserve"> RICE STARCH</t>
  </si>
  <si>
    <t xml:space="preserve"> &amp;diams; STARCH, RICE&lt;br /&gt;&amp;diams; ORYZA SATIVA STARCH</t>
  </si>
  <si>
    <t xml:space="preserve"> 3687-48-7</t>
  </si>
  <si>
    <t xml:space="preserve"> (R)-(-)-1-OCTEN-3-OL</t>
  </si>
  <si>
    <t xml:space="preserve"> &amp;diams; 1-OCTEN-3-OL, (R)-&lt;br /&gt;&amp;diams; 1-octen-3-ol, (3R)-&lt;br /&gt;&amp;diams; 1-octen-3-ol, (-)-&lt;br /&gt;&amp;diams; InChI=1S/C8H16O/c1-3-5-6-7-8(9)4-2/h4,8-9H,2-3,5-7H2,1H3/t8-/m1/s1&lt;br /&gt;&amp;diams; InChIKey: VSMOENVRRABVKN-MRVPVSSYSA-N</t>
  </si>
  <si>
    <t xml:space="preserve"> 977091-93-2</t>
  </si>
  <si>
    <t xml:space="preserve"> ROSE, ABSOLUTE (ROSA SPP.)</t>
  </si>
  <si>
    <t xml:space="preserve"> &amp;diams; ROSE ABSOLUTE</t>
  </si>
  <si>
    <t xml:space="preserve"> 977029-67-6</t>
  </si>
  <si>
    <t xml:space="preserve"> ROSE, BUD (ROSA SPP.)</t>
  </si>
  <si>
    <t xml:space="preserve"> &amp;diams; ROSE BUD&lt;br /&gt;&amp;diams; ROSEBUDS</t>
  </si>
  <si>
    <t xml:space="preserve"> 977029-69-8</t>
  </si>
  <si>
    <t xml:space="preserve"> ROSE FLOWERS (ROSA SPP.)</t>
  </si>
  <si>
    <t xml:space="preserve"> &amp;diams; ROSE FLOWER</t>
  </si>
  <si>
    <t xml:space="preserve"> 977021-37-6</t>
  </si>
  <si>
    <t xml:space="preserve"> ROSE HIPS, EXTRACT (ROSA SPP.)</t>
  </si>
  <si>
    <t xml:space="preserve"> &amp;diams; ROSE HIP EXTRACT&lt;br /&gt;&amp;diams; DOG ROSE DRIED FRUIT EXTRACT&lt;br /&gt;&amp;diams; HIP BERRY EXTRACT&lt;br /&gt;&amp;diams; ROSE FRUIT EXTRACT&lt;br /&gt;&amp;diams; ROSA CANINA FRUIT EXTRACT</t>
  </si>
  <si>
    <t xml:space="preserve"> 977029-70-1</t>
  </si>
  <si>
    <t xml:space="preserve"> ROSE LEAVES (ROSA SPP.)</t>
  </si>
  <si>
    <t xml:space="preserve"> &amp;diams; ROSE LEAF</t>
  </si>
  <si>
    <t xml:space="preserve"> 977017-88-1</t>
  </si>
  <si>
    <t xml:space="preserve"> ROSELLE (HIBISCUS SABDARIFFA L.)</t>
  </si>
  <si>
    <t xml:space="preserve"> &amp;diams; ROSELLE&lt;br /&gt;&amp;diams; HIBISCUS SABDARIFFA&lt;br /&gt;&amp;diams; RED SORREL (HIBISCUS)&lt;br /&gt;&amp;diams; OSEILLE DE GUINEE (HIBISCUS SABDARIFFA)&lt;br /&gt;&amp;diams; INDIAN SORREL</t>
  </si>
  <si>
    <t xml:space="preserve"> 84604-14-8</t>
  </si>
  <si>
    <t xml:space="preserve"> ROSEMARY, EXTRACT (ROSMARINUS OFFICINALIS L.)</t>
  </si>
  <si>
    <t xml:space="preserve"> &amp;diams; ROSEMARY EXTRACT&lt;br /&gt;&amp;diams; ROSEMARY, EXT.</t>
  </si>
  <si>
    <t xml:space="preserve"> 8000-25-7</t>
  </si>
  <si>
    <t xml:space="preserve"> ROSEMARY, OIL (ROSEMARINUS OFFICINALIS L.)</t>
  </si>
  <si>
    <t xml:space="preserve"> &amp;diams; ROSEMARY OIL&lt;br /&gt;&amp;diams; GARDEN ROSEMARY OIL&lt;br /&gt;&amp;diams; OILS, ROSEMARY&lt;br /&gt;&amp;diams; ROSMARINUS OFFICINALIS OIL</t>
  </si>
  <si>
    <t xml:space="preserve"> 977029-68-7</t>
  </si>
  <si>
    <t xml:space="preserve"> ROSEMARY, OLEORESIN</t>
  </si>
  <si>
    <t xml:space="preserve"> &amp;diams; ROSEMARY OLEORESIN</t>
  </si>
  <si>
    <t xml:space="preserve"> 977002-36-0</t>
  </si>
  <si>
    <t xml:space="preserve"> ROSEMARY (ROSEMARINUS OFFICINALIS L.)</t>
  </si>
  <si>
    <t xml:space="preserve"> &amp;diams; ROSEMARY&lt;br /&gt;&amp;diams; ROSMARINUS OFFICINALIS&lt;br /&gt;&amp;diams; ROMARIN (ROSMARINUS OFFICINALIS)</t>
  </si>
  <si>
    <t xml:space="preserve"> 8007-01-0</t>
  </si>
  <si>
    <t xml:space="preserve"> ROSE, OIL (ROSA SPP.)</t>
  </si>
  <si>
    <t xml:space="preserve"> &amp;diams; ROSE OIL&lt;br /&gt;&amp;diams; ROSE OIL, BULGARIAN, TRUE OTTO&lt;br /&gt;&amp;diams; ATTAR OF ROSE&lt;br /&gt;&amp;diams; ROSE OTTO&lt;br /&gt;&amp;diams; ROSE DE MAI ABSOLUTE&lt;br /&gt;&amp;diams; OILS, ROSE&lt;br /&gt;&amp;diams; ROSE, BULGARIAN, TRUE OTTO OIL</t>
  </si>
  <si>
    <t xml:space="preserve"> 8030-26-0</t>
  </si>
  <si>
    <t xml:space="preserve"> ROSE WATER, STRONGER (ROSA CENTIFOLIA L.)</t>
  </si>
  <si>
    <t xml:space="preserve"> &amp;diams; ROSE WATER, STRONGER&lt;br /&gt;&amp;diams; STRONGER ROSE WATER&lt;br /&gt;&amp;diams; ROSE WATER STRONGER</t>
  </si>
  <si>
    <t xml:space="preserve"> 977011-51-0</t>
  </si>
  <si>
    <t xml:space="preserve"> ROSIDINHA (MICROPHOLIS (ALSO KNOWN AS SIDEROXYLON) SPP.)</t>
  </si>
  <si>
    <t xml:space="preserve"> &amp;diams; ROSIDINHA&lt;br /&gt;&amp;diams; ROSADINHA</t>
  </si>
  <si>
    <t xml:space="preserve"> 65997-11-7</t>
  </si>
  <si>
    <t xml:space="preserve"> ROSIN, ADDUCT WITH FUMARIC ACID, PENTAERYTHRITOL ESTER</t>
  </si>
  <si>
    <t xml:space="preserve"> &amp;diams; POLY(FUMARIC ACID-CO-PENTAERYTHRITOL-CO-ROSIN)&lt;br /&gt;&amp;diams; FUMARIC ACID-ROSIN PENTAERYTHRITOL ESTER&lt;br /&gt;&amp;diams; FUMARIC ACID-PENTAERYTHRITOL-ROSIN COPOLYMER&lt;br /&gt;&amp;diams; ROSIN, FUMARATED-PENTAERYTHRITOL COPOLYMER&lt;br /&gt;&amp;diams; ROSIN, FUMARATED, PENTAERYTHRITOL ESTER&lt;br /&gt;&amp;diams; ROSIN, FUMARATED, POLYMER WITH PENTAERYTHRITOL</t>
  </si>
  <si>
    <t xml:space="preserve"> 8050-31-5</t>
  </si>
  <si>
    <t xml:space="preserve"> ROSIN, GLYCEROL ESTER</t>
  </si>
  <si>
    <t xml:space="preserve"> &amp;diams; ROSIN, GLYCEROL ESTER&lt;br /&gt;&amp;diams; GLYCEROL ESTER OF ROSIN&lt;br /&gt;&amp;diams; RESIN ACIDS AND ROSIN ACIDS, ESTERS WITH GLYCEROL</t>
  </si>
  <si>
    <t xml:space="preserve"> 977035-48-5</t>
  </si>
  <si>
    <t xml:space="preserve"> ROSIN, GUM, GLYCEROL ESTER</t>
  </si>
  <si>
    <t xml:space="preserve"> &amp;diams; GUM ROSIN, GLYCEROL ESTER&lt;br /&gt;&amp;diams; GLYCEROL ESTER OF GUM ROSIN&lt;br /&gt;&amp;diams; ROSIN, GUM, GLYCEROL ESTER</t>
  </si>
  <si>
    <t xml:space="preserve"> MASTICATORY SUBSTANCE,&lt;br /&gt; SURFACE-FINISHING AGENT</t>
  </si>
  <si>
    <t xml:space="preserve"> 977074-36-4</t>
  </si>
  <si>
    <t xml:space="preserve"> ROSIN, GUM OR WOOD, PARTIALLY HYDROGENATED, GLYCEROL ESTER</t>
  </si>
  <si>
    <t xml:space="preserve"> &amp;diams; ROSIN, GUM OR WOOD, PARTIALLY HYDROGENATED, GLYCEROL ESTER&lt;br /&gt;&amp;diams; GLYCEROL ESTER OF PARTIALLY HYDROGENATED GUM OR WOOD ROSIN</t>
  </si>
  <si>
    <t xml:space="preserve"> 977045-82-1</t>
  </si>
  <si>
    <t xml:space="preserve"> ROSIN, GUM OR WOOD, PARTIALLY HYDROGENATED, PENTAERYTHRITOL ESTER</t>
  </si>
  <si>
    <t xml:space="preserve"> &amp;diams; ROSIN, GUM OR WOOD, PARTIALLY HYDROGENATED, PENTAERYTHRITOL ESTER&lt;br /&gt;&amp;diams; PENTAERYTHRITOL ESTER OF PARTIALLY HYDROGENATED GUM OR WOOD ROSIN</t>
  </si>
  <si>
    <t xml:space="preserve"> 977045-81-0</t>
  </si>
  <si>
    <t xml:space="preserve"> ROSIN, GUM OR WOOD, PENTAERYTHRITOL ESTER</t>
  </si>
  <si>
    <t xml:space="preserve"> &amp;diams; ROSIN, GUM OR WOOD, PENTAERYTHRITOL ESTER&lt;br /&gt;&amp;diams; PENTAERYTHRITOL ESTER OF GUM OR WOOD ROSIN</t>
  </si>
  <si>
    <t xml:space="preserve"> 9007-13-0</t>
  </si>
  <si>
    <t xml:space="preserve"> ROSIN, LIMED</t>
  </si>
  <si>
    <t xml:space="preserve"> &amp;diams; ROSIN, CALCIUM SALT&lt;br /&gt;&amp;diams; CALCIUM RESINATE&lt;br /&gt;&amp;diams; ROSIN, LIMED&lt;br /&gt;&amp;diams; RESIN ACIDS AND ROSIN ACIDS, CALCIUM SALTS</t>
  </si>
  <si>
    <t xml:space="preserve"> 977035-88-3</t>
  </si>
  <si>
    <t xml:space="preserve"> ROSIN, METHYL ESTER, PARTIALLY HYDROGENATED</t>
  </si>
  <si>
    <t xml:space="preserve"> &amp;diams; ROSIN, PARTIALLY HYDROGENATED, METHYL ESTER&lt;br /&gt;&amp;diams; METHYL ESTER OF ROSIN, PARTIALLY HYDROGENATED&lt;br /&gt;&amp;diams; ROSIN, METHYL ESTER, PARTIALLY HYDROGENATED</t>
  </si>
  <si>
    <t xml:space="preserve"> FLAVOR ENHANCER,&lt;br /&gt; FLAVORING AGENT OR ADJUVANT,&lt;br /&gt; MASTICATORY SUBSTANCE,&lt;br /&gt; PROCESSING AID,&lt;br /&gt; SURFACE-FINISHING AGENT</t>
  </si>
  <si>
    <t xml:space="preserve"> 977051-86-7</t>
  </si>
  <si>
    <t xml:space="preserve"> ROSIN, PARTIALLY DIMERIZED, CALCIUM SALT</t>
  </si>
  <si>
    <t xml:space="preserve"> &amp;diams; ROSIN, PARTIALLY DIMERIZED, CALCIUM SALT&lt;br /&gt;&amp;diams; CALCIUM SALT OF PARTIALLY DIMERIZED ROSIN</t>
  </si>
  <si>
    <t xml:space="preserve"> 977013-72-1</t>
  </si>
  <si>
    <t xml:space="preserve"> ROSIN, PARTIALLY DIMERIZED, GLYCEROL ESTER</t>
  </si>
  <si>
    <t xml:space="preserve"> &amp;diams; ROSIN, PARTIALLY DIMERIZED, GLYCEROL ESTER&lt;br /&gt;&amp;diams; GLYCEROL ESTER OF PARTIALLY DIMERIZED ROSIN</t>
  </si>
  <si>
    <t xml:space="preserve"> 977051-87-8</t>
  </si>
  <si>
    <t xml:space="preserve"> ROSIN, PARTIALLY HYDROGENATED</t>
  </si>
  <si>
    <t xml:space="preserve"> &amp;diams; ROSIN, PARTIALLY HYDROGENATED</t>
  </si>
  <si>
    <t xml:space="preserve"> 8050-09-7</t>
  </si>
  <si>
    <t xml:space="preserve"> ROSIN (PINUS SPP.) AND ROSIN DERIVATIVES</t>
  </si>
  <si>
    <t xml:space="preserve"> &amp;diams; ROSIN&lt;br /&gt;&amp;diams; PINE RESIN&lt;br /&gt;&amp;diams; COLOPHONY</t>
  </si>
  <si>
    <t xml:space="preserve"> 68475-37-6</t>
  </si>
  <si>
    <t xml:space="preserve"> ROSIN, POLYMERIZED, GLYCEROL ESTER</t>
  </si>
  <si>
    <t xml:space="preserve"> &amp;diams; ROSIN, POLYMERIZED, GLYCEROL ESTER&lt;br /&gt;&amp;diams; GLYCEROL ESTER OF POLYMERIZED ROSIN&lt;br /&gt;&amp;diams; RESIN ACIDS AND ROSIN ACIDS, POLYMD., ESTERS WITH GLYCEROL</t>
  </si>
  <si>
    <t xml:space="preserve"> 977019-97-8</t>
  </si>
  <si>
    <t xml:space="preserve"> ROSIN, TALL OIL, GLYCEROL ESTER</t>
  </si>
  <si>
    <t xml:space="preserve"> &amp;diams; TALL OIL ROSIN, GLYCEROL ESTER&lt;br /&gt;&amp;diams; GLYCEROL ESTER OF TALL OIL ROSIN&lt;br /&gt;&amp;diams; ROSIN, TALL OIL, GLYCEROL ESTER</t>
  </si>
  <si>
    <t xml:space="preserve"> 9014-63-5</t>
  </si>
  <si>
    <t xml:space="preserve"> ROSIN, WOOD</t>
  </si>
  <si>
    <t xml:space="preserve"> &amp;diams; WOOD ROSIN&lt;br /&gt;&amp;diams; XYLAN&lt;br /&gt;&amp;diams; ROSIN, WOOD</t>
  </si>
  <si>
    <t xml:space="preserve"> 8050-30-4</t>
  </si>
  <si>
    <t xml:space="preserve"> ROSIN, WOOD, GLYCEROL ESTER</t>
  </si>
  <si>
    <t xml:space="preserve"> &amp;diams; WOOD ROSIN, GLYCEROL ESTER&lt;br /&gt;&amp;diams; GLYCEROL ESTER OF WOOD ROSIN&lt;br /&gt;&amp;diams; ROSIN, WOOD, GLYCEROL ESTER&lt;br /&gt;&amp;diams; WOOD ROSIN, ESTER WITH 1,2,3-PROPANETRIOL</t>
  </si>
  <si>
    <t xml:space="preserve"> 977045-97-8</t>
  </si>
  <si>
    <t xml:space="preserve"> ROSIN, WOOD, MALEIC ANHYD. MOD., PENTAERYTHRITOL ESTER, ACID #134-145</t>
  </si>
  <si>
    <t xml:space="preserve"> &amp;diams; WOOD ROSIN, MALEATED, PENTAERYTHRITOL ESTER (ACID #134-145)&lt;br /&gt;&amp;diams; ROSIN, WOOD, MALEIC ANHYDRIDE-MODIFIED, PENTAERYTHRITOL ESTER (ACID #134-145)&lt;br /&gt;&amp;diams; WOOD ROSIN, MALEIC ANHYDRIDE-MODIFIED, PENTAERYTHRITOL ESTER (ACID #134-145)</t>
  </si>
  <si>
    <t xml:space="preserve"> 977045-98-9</t>
  </si>
  <si>
    <t xml:space="preserve"> ROSIN, WOOD, MALEIC ANHYD. MOD., PENTAERYTHRITOL ESTER, ACID #176-186</t>
  </si>
  <si>
    <t xml:space="preserve"> &amp;diams; WOOD ROSIN, MALEATED, PENTAERYTHRITOL ESTER (ACID #176-186)&lt;br /&gt;&amp;diams; ROSIN, WOOD, MALEIC ANHYDRIDE-MODIFIED, PENTAERYTHRITOL ESTER (ACID #176-186)&lt;br /&gt;&amp;diams; WOOD ROSIN, MALEIC ANHYDRIDE-MODIFIED, PENTAERYTHRITOL ESTER (ACID #176-186)</t>
  </si>
  <si>
    <t xml:space="preserve"> 68489-09-8</t>
  </si>
  <si>
    <t xml:space="preserve"> (1R,2S,5R)-N-(4-METHOXYPHENYL)-5-METHYL-2-(1-METHYLETHYL)CYCLOHEXANECARBOXAMIDE</t>
  </si>
  <si>
    <t xml:space="preserve"> &amp;diams; 2-ISOPROPYL-N-(4-METYOXYPHENYL)-5-METHYLCYCLOHEXANECARBOXAMIDE, (1R,2S,5R)-&lt;br /&gt;&amp;diams; N-(4-methoxyphenyl)-5-methyl-2-(1-methylethyl)cyclohexanecarboxamide, (1R,2S,5R)-&lt;br /&gt;&amp;diams; cyclohexanecarboxamide, N-(4-methoxyphenyl)-5-methyl-2-(1-methylethyl)-, (1R,2S,5R)-&lt;br /&gt;&amp;diams; N-(4-methoxyphenyl)-5-methyl-2-(1-methylethyl)cyclohexanecarboxamide, (1R-(1alpha,2beta,5alpha)-</t>
  </si>
  <si>
    <t xml:space="preserve"> 9006-04-6</t>
  </si>
  <si>
    <t xml:space="preserve"> RUBBER, NATURAL-SMOKED SHEET AND LATEX SOLIDS (HEVEA BRASILIENSIS)</t>
  </si>
  <si>
    <t xml:space="preserve"> &amp;diams; RUBBER&lt;br /&gt;&amp;diams; LATEX&lt;br /&gt;&amp;diams; LATEX GUM</t>
  </si>
  <si>
    <t xml:space="preserve"> 8014-29-7</t>
  </si>
  <si>
    <t xml:space="preserve"> RUE, OIL (RUTA GRAVEOLENS L.)</t>
  </si>
  <si>
    <t xml:space="preserve"> &amp;diams; RUE OIL&lt;br /&gt;&amp;diams; OILS, RUE</t>
  </si>
  <si>
    <t xml:space="preserve"> 977051-88-9</t>
  </si>
  <si>
    <t xml:space="preserve"> RUE (RUTA GRAVEOLENS L.)</t>
  </si>
  <si>
    <t xml:space="preserve"> &amp;diams; RUE&lt;br /&gt;&amp;diams; RUTA SPP.</t>
  </si>
  <si>
    <t xml:space="preserve"> 977089-45-4</t>
  </si>
  <si>
    <t xml:space="preserve"> RUM</t>
  </si>
  <si>
    <t xml:space="preserve"> &amp;diams; RUM</t>
  </si>
  <si>
    <t xml:space="preserve"> 8030-89-5</t>
  </si>
  <si>
    <t xml:space="preserve"> RUM ETHER</t>
  </si>
  <si>
    <t xml:space="preserve"> &amp;diams; RUM ETHER&lt;br /&gt;&amp;diams; ETHYL OXYHYDRATE&lt;br /&gt;&amp;diams; PYROLIGNEOUS ACIDS, REACTION PRODUCTS WITH ET ALC., DISTILLATES</t>
  </si>
  <si>
    <t xml:space="preserve"> 153-18-4</t>
  </si>
  <si>
    <t xml:space="preserve"> RUTIN</t>
  </si>
  <si>
    <t xml:space="preserve"> &amp;diams; RUTIN&lt;br /&gt;&amp;diams; VIOLAQUERCITRIN&lt;br /&gt;&amp;diams; RUTOSIDE&lt;br /&gt;&amp;diams; ELDRIN&lt;br /&gt;&amp;diams; 4H-1-BENZOPYRAN-4-ONE, 3-((6-O-(6-DEOXY-ALPHA-L-MANNOPYRANOSYL)-BETA-D-GLUCOPYRANOSYL)OXY)-2-(3,4-DIHYDROXYPHENYL)-5,7-DIHYDROXY-&lt;br /&gt;&amp;diams; 3-((6-O-(6-DEOXY-ALPHA-L-MANNOPYRANOSYL)-BETA-D-GLUCOPYRANOSYL)OXY)-2-(3,4-DIHYDROXYPHENYL)-5,7-DIHYDROXY-4H-1-BENZOPYRAN-4-ONE&lt;br /&gt;&amp;diams; C.I. 75730&lt;br /&gt;&amp;diams; 3,3',4',5,5',7-HEXAHYDROXYFLAVONE (6-O-ALPHA-L-RHAMNOSYL-BETA-D-GLUCOSIDE)&lt;br /&gt;&amp;diams; ILIXANTHIN</t>
  </si>
  <si>
    <t xml:space="preserve"> 6381-61-9</t>
  </si>
  <si>
    <t xml:space="preserve"> SACCHARIN, AMMONIUM SALT</t>
  </si>
  <si>
    <t xml:space="preserve"> &amp;diams; AMMONIUM SACCHARIN&lt;br /&gt;&amp;diams; SACCHARIN AMMONIUM&lt;br /&gt;&amp;diams; 1,2-BENZISOTHIAZOL-3(2H)-ONE, 1,1-DIOXIDE, AMMONIUM SALT&lt;br /&gt;&amp;diams; 1,2-BENZISOTHIAZOLIN-3-ONE, 1,1-DIOXIDE, AMMONIUM SALT&lt;br /&gt;&amp;diams; AMMONIUM 1,2-BENZISOTHIAZOLIN-3-ONE 1,1-DIOXIDE&lt;br /&gt;&amp;diams; AMMONIUM 1,2-BENZISOTHIAZOLIN-3(2H)-ONE 1,1-DIOXIDE&lt;br /&gt;&amp;diams; AMMONIUM O-BENZOSULFIMIDE</t>
  </si>
  <si>
    <t xml:space="preserve"> 977051-90-3</t>
  </si>
  <si>
    <t xml:space="preserve"> SAFFRON (CROCUS SATIVUS L.)</t>
  </si>
  <si>
    <t xml:space="preserve"> &amp;diams; SAFFRON&lt;br /&gt;&amp;diams; CROCUS SATIVUS&lt;br /&gt;&amp;diams; SAFRAN (CROCUS SATIVUS)&lt;br /&gt;&amp;diams; SPANISH SAFFRON&lt;br /&gt;&amp;diams; TRUE SAFFRON</t>
  </si>
  <si>
    <t xml:space="preserve"> 101.22 ,  169.140 ,  169.150</t>
  </si>
  <si>
    <t xml:space="preserve"> 84604-17-1</t>
  </si>
  <si>
    <t xml:space="preserve"> SAFFRON, EXTRACT (CROCUS SATIVUS L.)</t>
  </si>
  <si>
    <t xml:space="preserve"> &amp;diams; SAFFRON EXTRACT&lt;br /&gt;&amp;diams; CROCUS EXTRACT&lt;br /&gt;&amp;diams; SAFFRON, EXT.&lt;br /&gt;&amp;diams; CROCUS SATIVUS EXTRACT</t>
  </si>
  <si>
    <t xml:space="preserve"> 977051-97-0</t>
  </si>
  <si>
    <t xml:space="preserve"> SAFROLE-FREE EXTRACT OF SASSAFRAS</t>
  </si>
  <si>
    <t xml:space="preserve"> &amp;diams; SASSAFRAS EXTRACT&lt;br /&gt;&amp;diams; SAFROLE-FREE EXTRACT OF SASSAFRAS</t>
  </si>
  <si>
    <t xml:space="preserve"> 94-59-7</t>
  </si>
  <si>
    <t xml:space="preserve"> SAFROLE--PROHIBITED</t>
  </si>
  <si>
    <t xml:space="preserve"> &amp;diams; SAFROLE&lt;br /&gt;&amp;diams; 4-ALLYL-1,2-METHYLENEDIOXYBENZENE&lt;br /&gt;&amp;diams; 1,3-BENZODIOXOLE, 5-(2-PROPENYL)-&lt;br /&gt;&amp;diams; 5-(2-PROPENYL)-1,3-BENZODIOXOLE&lt;br /&gt;&amp;diams; BENZENE, 4-ALLYL-1,2-(METHYLENEDIOXY)-&lt;br /&gt;&amp;diams; 4-ALLYL-1,2-(METHYLENEDIOXY)BENZENE</t>
  </si>
  <si>
    <t xml:space="preserve"> 977051-95-8</t>
  </si>
  <si>
    <t xml:space="preserve"> SAGE, GREEK (SALVIA TRILOBA L.)</t>
  </si>
  <si>
    <t xml:space="preserve"> &amp;diams; SAGE, GREEK&lt;br /&gt;&amp;diams; SALVIA TRILOBA</t>
  </si>
  <si>
    <t xml:space="preserve"> 8022-56-8</t>
  </si>
  <si>
    <t xml:space="preserve"> SAGE, OIL (SALVIA OFFICINALIS L.)</t>
  </si>
  <si>
    <t xml:space="preserve"> &amp;diams; SAGE OIL&lt;br /&gt;&amp;diams; SAGE OIL, DALMATIAN&lt;br /&gt;&amp;diams; SALVIA OFFICINALIS OIL&lt;br /&gt;&amp;diams; OILS, SAGE</t>
  </si>
  <si>
    <t xml:space="preserve"> 977029-66-5</t>
  </si>
  <si>
    <t xml:space="preserve"> SAGE, OLEORESIN (SALVIA OFFICINALIS L.)</t>
  </si>
  <si>
    <t xml:space="preserve"> &amp;diams; SAGE OLEORESIN&lt;br /&gt;&amp;diams; SALVIA OFFICINALIS OLEORESIN</t>
  </si>
  <si>
    <t xml:space="preserve"> 977002-44-0</t>
  </si>
  <si>
    <t xml:space="preserve"> SAGE (SALVIA OFFICINALIS L.)</t>
  </si>
  <si>
    <t xml:space="preserve"> &amp;diams; SAGE&lt;br /&gt;&amp;diams; SALVIA&lt;br /&gt;&amp;diams; SAUGE (SALVA OFFICINALIS)&lt;br /&gt;&amp;diams; DALMATIAN SAGE&lt;br /&gt;&amp;diams; SALVIA OFFICINALIS&lt;br /&gt;&amp;diams; COMMON SAGE&lt;br /&gt;&amp;diams; GARDEN SAGE&lt;br /&gt;&amp;diams; SAGE, GARDEN&lt;br /&gt;&amp;diams; SAGE, COMMON&lt;br /&gt;&amp;diams; SAGE, DALMATIAN</t>
  </si>
  <si>
    <t xml:space="preserve"> 977125-77-1</t>
  </si>
  <si>
    <t xml:space="preserve"> SAGE, SPANISH, OIL (SALVIA LAVANDULAEFOLIA VAHL.)</t>
  </si>
  <si>
    <t xml:space="preserve"> &amp;diams; SAGE OIL, SPANISH&lt;br /&gt;&amp;diams; SALVIA LAVANDULAEFOLIA OIL&lt;br /&gt;&amp;diams; SPANISH SAGE OIL</t>
  </si>
  <si>
    <t xml:space="preserve"> 90-02-8</t>
  </si>
  <si>
    <t xml:space="preserve"> SALICYLALDEHYDE</t>
  </si>
  <si>
    <t xml:space="preserve"> &amp;diams; SALICYLALDEHYDE&lt;br /&gt;&amp;diams; SALICYLIC ALDEHYDE&lt;br /&gt;&amp;diams; HYDROXYBENZALDEHYDE, O-&lt;br /&gt;&amp;diams; 2-HYDROXYBENZALDEHYDE&lt;br /&gt;&amp;diams; BENZALDEHYDE, 2-HYDROXY-&lt;br /&gt;&amp;diams; SALICYLAL&lt;br /&gt;&amp;diams; 2-FORMYLPHENOL&lt;br /&gt;&amp;diams; FORMYLPHENOL, O-</t>
  </si>
  <si>
    <t xml:space="preserve"> 69-72-7</t>
  </si>
  <si>
    <t xml:space="preserve"> SALICYLIC ACID</t>
  </si>
  <si>
    <t xml:space="preserve"> &amp;diams; SALICYLIC ACID&lt;br /&gt;&amp;diams; 2-HYDROXYBENZOIC ACID&lt;br /&gt;&amp;diams; HYDROXYBENZOIC ACID, O-&lt;br /&gt;&amp;diams; BENZOIC ACID, 2-HYDROXY-&lt;br /&gt;&amp;diams; 2-HYDROXYBENZENECARBOXYLIC ACID&lt;br /&gt;&amp;diams; 2-CARBOXYPHENOL</t>
  </si>
  <si>
    <t xml:space="preserve"> 8046-71-7</t>
  </si>
  <si>
    <t xml:space="preserve"> SALTS OF FATTY ACIDS</t>
  </si>
  <si>
    <t xml:space="preserve"> &amp;diams; FATTY ACIDS, SALTS&lt;br /&gt;&amp;diams; SALT, FATTY ACID&lt;br /&gt;&amp;diams; SALTS OF FATTY ACIDS&lt;br /&gt;&amp;diams; SOAPS&lt;br /&gt;&amp;diams; FATTY ACIDS, SOAPS</t>
  </si>
  <si>
    <t xml:space="preserve"> 98225-55-9</t>
  </si>
  <si>
    <t xml:space="preserve"> SANDALWOOD, RED (PTEROCARPUS SANTALINUS L.F.)</t>
  </si>
  <si>
    <t xml:space="preserve"> &amp;diams; SANDALWOOD, RED&lt;br /&gt;&amp;diams; RUBY WOOD&lt;br /&gt;&amp;diams; RED SAUNDERS&lt;br /&gt;&amp;diams; RED SANDALWOOD&lt;br /&gt;&amp;diams; RED SANDERSWOOD&lt;br /&gt;&amp;diams; PTEROCARPUS SANTALINUS&lt;br /&gt;&amp;diams; SAUNDERSWOOD&lt;br /&gt;&amp;diams; C.I. NATURAL RED 22&lt;br /&gt;&amp;diams; RED SAUNDERSWOOD&lt;br /&gt;&amp;diams; SAUNDERS, RED</t>
  </si>
  <si>
    <t xml:space="preserve"> 977020-85-1</t>
  </si>
  <si>
    <t xml:space="preserve"> SANDALWOOD, WHITE (SANTALUM ALBUM L.)</t>
  </si>
  <si>
    <t xml:space="preserve"> &amp;diams; WHITE SANDALWOOD&lt;br /&gt;&amp;diams; SANTALUM ALBUM&lt;br /&gt;&amp;diams; SANDALWOOD, WHITE&lt;br /&gt;&amp;diams; EAST INDIAN SANDALWOOD&lt;br /&gt;&amp;diams; WHITE SAUNDERS&lt;br /&gt;&amp;diams; YELLOW SANDALWOOD&lt;br /&gt;&amp;diams; YELLOW SAUNDERS&lt;br /&gt;&amp;diams; INDIAN SANDALWOOD&lt;br /&gt;&amp;diams; SANDALWOOD, YELLOW&lt;br /&gt;&amp;diams; SAUNDERS, YELLOW&lt;br /&gt;&amp;diams; SAUNDERS, WHITE</t>
  </si>
  <si>
    <t xml:space="preserve"> 8006-87-9</t>
  </si>
  <si>
    <t xml:space="preserve"> SANDALWOOD, YELLOW, OIL (SANTALUM ALBUM L.)</t>
  </si>
  <si>
    <t xml:space="preserve"> &amp;diams; WHITE SANDALWOOD OIL&lt;br /&gt;&amp;diams; SANDALWOOD OIL&lt;br /&gt;&amp;diams; SANTAL OIL&lt;br /&gt;&amp;diams; ARHEOL&lt;br /&gt;&amp;diams; OILS, SANDALWOOD&lt;br /&gt;&amp;diams; SANDALWOOD OIL, YELLOW&lt;br /&gt;&amp;diams; SANTALUM ALBUM OIL&lt;br /&gt;&amp;diams; SANDALWOOD OIL, WHITE</t>
  </si>
  <si>
    <t xml:space="preserve"> 9000-57-1</t>
  </si>
  <si>
    <t xml:space="preserve"> SANDARAC (TETRACLINIS ARTICULATA (VAHL.) MAST.)</t>
  </si>
  <si>
    <t xml:space="preserve"> &amp;diams; SANDARAC&lt;br /&gt;&amp;diams; SANDARAC RESIN&lt;br /&gt;&amp;diams; TETRACLINIS ARTICULATA RESIN&lt;br /&gt;&amp;diams; CALLITRIS QUADRIVALVIS RESIN&lt;br /&gt;&amp;diams; SANDARAC MUCILAGE</t>
  </si>
  <si>
    <t xml:space="preserve"> 77-42-9</t>
  </si>
  <si>
    <t xml:space="preserve"> SANTALOL, BETA</t>
  </si>
  <si>
    <t xml:space="preserve"> &amp;diams; SANTALOL, BETA-&lt;br /&gt;&amp;diams; 2-PENTEN-1-OL, 2-METHYL-5-(2-METHYL-3-METHYLENEBICYCLO(2.2.1)HEPT-2-YL)-, (1S-(1ALPHA,2ALPHA(Z),4ALPHA))-&lt;br /&gt;&amp;diams; 2-METHYL-5-(2-METHYL-3-METHYLENEBICYCLO(2.2.1)HEPT-2-YL)-2-PENTEN-1-OL, (1S-(1ALPHA,2ALPHA(Z(,4ALPHA))-&lt;br /&gt;&amp;diams; 2-PENTEN-1-OL, 2-METHYL-5-(2-METHYL-3-METHYLENE-2-NORBORNYL)-&lt;br /&gt;&amp;diams; 2-METHYL-5-(2-METHYL-3-METHYLENE-2-NORBORNYL)-2-PENTEN-1-OL&lt;br /&gt;&amp;diams; BETA-SANTALOL</t>
  </si>
  <si>
    <t xml:space="preserve"> 115-71-9</t>
  </si>
  <si>
    <t xml:space="preserve"> SANTALOL, ALPHA</t>
  </si>
  <si>
    <t xml:space="preserve"> &amp;diams; SANTALOL, ALPHA-&lt;br /&gt;&amp;diams; 2-PENTEN-1-OL, 5-(2,3-DIMETHYLTRICYCLO(2.2.1.02,6)HEPT-3-YL)-2-METHYL-, STEREOISOMER&lt;br /&gt;&amp;diams; 5-(2,3-DIMETHYLTRICYCLO(2.2.1.02,6)HEPT-3-YL)-2-METHYL-2-PENTEN-1-OL STEREOISOMER&lt;br /&gt;&amp;diams; 2-PENTEN-1-OL, 5-(2,3-DIMETHYLTRICYCLO(2.2.1.02,6)HEPT-3-YL)-2-METHYL-, (R(Z))-&lt;br /&gt;&amp;diams; 5-(2,3-DIMETHYLTRICYCLO(2.2.1.02,6)HEPT-3-YL)-2-METHYL-2-PENTEN-1-OL, (R(Z))-&lt;br /&gt;&amp;diams; ALPHA-SANTALOL</t>
  </si>
  <si>
    <t xml:space="preserve"> 11031-45-1</t>
  </si>
  <si>
    <t xml:space="preserve"> SANTALOL (ALPHA AND BETA)</t>
  </si>
  <si>
    <t xml:space="preserve"> &amp;diams; SANTALOL&lt;br /&gt;&amp;diams; SANTALOL, ALPHA- AND BETA-</t>
  </si>
  <si>
    <t xml:space="preserve"> 1323-00-8</t>
  </si>
  <si>
    <t xml:space="preserve"> SANTALYL ACETATE</t>
  </si>
  <si>
    <t xml:space="preserve"> &amp;diams; SANTALYL ACETATE&lt;br /&gt;&amp;diams; SANTALOL, ACETATE</t>
  </si>
  <si>
    <t xml:space="preserve"> 1323-75-7</t>
  </si>
  <si>
    <t xml:space="preserve"> SANTALYL PHENYLACETATE</t>
  </si>
  <si>
    <t xml:space="preserve"> &amp;diams; SANTALYL PHENYLACETATE&lt;br /&gt;&amp;diams; ACETIC ACID, PHENYL-, SANTALYL ESTER&lt;br /&gt;&amp;diams; SANTALYL ALPHA-TOLUATE&lt;br /&gt;&amp;diams; SANTALOL, PHENYLACETATE&lt;br /&gt;&amp;diams; SANTALOL PHENYLACETATE</t>
  </si>
  <si>
    <t xml:space="preserve"> 977185-29-7</t>
  </si>
  <si>
    <t xml:space="preserve"> SARCODACTYLIS OIL</t>
  </si>
  <si>
    <t xml:space="preserve"> &amp;diams; SARCODACTYLIS OIL&lt;br /&gt;&amp;diams; CITRUS MEDICA VAR. SARCODACTYLIS OIL</t>
  </si>
  <si>
    <t xml:space="preserve"> 977022-67-5</t>
  </si>
  <si>
    <t xml:space="preserve"> SARSAPARILLA, EXTRACT (SMILAX SPP.)</t>
  </si>
  <si>
    <t xml:space="preserve"> &amp;diams; SARSAPARILLA EXTRACT</t>
  </si>
  <si>
    <t xml:space="preserve"> 977075-23-2</t>
  </si>
  <si>
    <t xml:space="preserve"> SASSAFRAS BARK, EXTRACT (SAFROLE-FREE) (SASSAFRAS ALBIDUM (NUTT.) NEES)</t>
  </si>
  <si>
    <t xml:space="preserve"> &amp;diams; SASSAFRAS EXTRACT, SAFROLE-FREE&lt;br /&gt;&amp;diams; SASSAFRAS BARK EXTRACT, SAFROLE-FREE&lt;br /&gt;&amp;diams; SASSAFRAS ALBIDUM BARK EXTRACT, SAFROLE-FREE</t>
  </si>
  <si>
    <t xml:space="preserve"> 977088-38-2</t>
  </si>
  <si>
    <t xml:space="preserve"> SASSAFRAS LEAVES (SAFROLE-FREE) (SASSAFRAS ALBIDUM (NUTT.) NEES)</t>
  </si>
  <si>
    <t xml:space="preserve"> &amp;diams; SASSAFRAS LEAF, SAFROLE-FREE</t>
  </si>
  <si>
    <t xml:space="preserve"> 977187-34-0</t>
  </si>
  <si>
    <t xml:space="preserve"> SAUSAGE CASING (HCL AND CELLULOSE FIBERS)</t>
  </si>
  <si>
    <t xml:space="preserve"> FORMULATION AID,&lt;br /&gt; TEXTURIZER</t>
  </si>
  <si>
    <t xml:space="preserve"> 8016-68-0</t>
  </si>
  <si>
    <t xml:space="preserve"> SAVORY, SUMMER, OIL (SATUREJA HORTENSIS L.)</t>
  </si>
  <si>
    <t xml:space="preserve"> &amp;diams; SAVORY OIL, SUMMER&lt;br /&gt;&amp;diams; OILS, SAVORY, SUMMER&lt;br /&gt;&amp;diams; SATUREJA HORTENSIS OIL</t>
  </si>
  <si>
    <t xml:space="preserve"> 977029-75-6</t>
  </si>
  <si>
    <t xml:space="preserve"> SAVORY, SUMMER, OLEORESIN (SATUREJA HORTENSIS L.)</t>
  </si>
  <si>
    <t xml:space="preserve"> &amp;diams; SAVORY OLEORESIN, SUMMER&lt;br /&gt;&amp;diams; SATUREJA HORTENSIS OLEORESIN</t>
  </si>
  <si>
    <t xml:space="preserve"> 977051-98-1</t>
  </si>
  <si>
    <t xml:space="preserve"> SAVORY, SUMMER (SATUREJA HORTENSIS L.)</t>
  </si>
  <si>
    <t xml:space="preserve"> &amp;diams; SAVORY, SUMMER&lt;br /&gt;&amp;diams; SUMMER SAVORY&lt;br /&gt;&amp;diams; SATUREJA HORTENSIS&lt;br /&gt;&amp;diams; SARRIETTE DES JARDINS (SATUREIA HORTENSIS)</t>
  </si>
  <si>
    <t xml:space="preserve"> 977029-74-5</t>
  </si>
  <si>
    <t xml:space="preserve"> SAVORY, WINTER, OIL (SATUREJA MONTANA L.)</t>
  </si>
  <si>
    <t xml:space="preserve"> &amp;diams; SAVORY OIL, WINTER&lt;br /&gt;&amp;diams; SATUREJA MONTANA OIL</t>
  </si>
  <si>
    <t xml:space="preserve"> 977029-76-7</t>
  </si>
  <si>
    <t xml:space="preserve"> SAVORY, WINTER, OLEORESIN (SATUREJA MONTANA L.)</t>
  </si>
  <si>
    <t xml:space="preserve"> &amp;diams; SAVORY OLEORESIN, WINTER&lt;br /&gt;&amp;diams; SATUREJA MONTANA OLEORESIN</t>
  </si>
  <si>
    <t xml:space="preserve"> 977051-99-2</t>
  </si>
  <si>
    <t xml:space="preserve"> SAVORY, WINTER (SATUREJA MONTANA L.)</t>
  </si>
  <si>
    <t xml:space="preserve"> &amp;diams; SAVORY, WINTER&lt;br /&gt;&amp;diams; SAVORY&lt;br /&gt;&amp;diams; WINTER SAVORY&lt;br /&gt;&amp;diams; SATUREJA MONTANA&lt;br /&gt;&amp;diams; SARRIETTE DES MONTAGNES (SATUREJA MONTANA)</t>
  </si>
  <si>
    <t xml:space="preserve"> 68917-52-2</t>
  </si>
  <si>
    <t xml:space="preserve"> SCHINUS MOLLE, OIL (SCHINUS MOLLE L.)</t>
  </si>
  <si>
    <t xml:space="preserve"> &amp;diams; SCHINUS MOLLE OIL&lt;br /&gt;&amp;diams; AMERICAN PEPPER OIL&lt;br /&gt;&amp;diams; CALIFORNIA PEPPER TREE OIL&lt;br /&gt;&amp;diams; PEPPER TREE OIL&lt;br /&gt;&amp;diams; PERUVIAN MASTIC&lt;br /&gt;&amp;diams; PERUVIAN PEPPER TREE OIL&lt;br /&gt;&amp;diams; OILS, SCHINUS MOLLE</t>
  </si>
  <si>
    <t xml:space="preserve"> 515-03-7</t>
  </si>
  <si>
    <t xml:space="preserve"> (-)-SCLAREOL</t>
  </si>
  <si>
    <t xml:space="preserve"> &amp;diams; SCLAREOL&lt;br /&gt;&amp;diams; 1-NAPHTHALENEPROPANOL, ALPHA-ETHENYLDECAHYDRO-2-HYDROXY-ALPHA,2,5,5,8A-PENTAMETHYL-, (1R-(1ALPHA(R*), 2BETA, 4ABETA, 8AALPHA))-&lt;br /&gt;&amp;diams; ALPHA-ETHENYLDECAHYDRO-2-HYDROXY-ALPHA,2,5,5,8A-PENTAMETHYL-1-NAPHTHALENEPROPANOL, (1R-(1ALPHA(R*), 2BETA, 4ABETA, 8AALPHA))-&lt;br /&gt;&amp;diams; LABD-14-ENE-8,13-DIOL, (13R)-&lt;br /&gt;&amp;diams; SCLAREOL, (-)-</t>
  </si>
  <si>
    <t xml:space="preserve"> 564-20-5</t>
  </si>
  <si>
    <t xml:space="preserve"> SCLAREOLIDE</t>
  </si>
  <si>
    <t xml:space="preserve"> &amp;diams; NORAMBREINOLIDE&lt;br /&gt;&amp;diams; SCLAREOLIDE&lt;br /&gt;&amp;diams; NORAMBREINOLIDE, (+)-&lt;br /&gt;&amp;diams; SCLAREOLIDE, (+)-&lt;br /&gt;&amp;diams; DECAHYDROTETRAMETHYLNAPHTHOFURANONE&lt;br /&gt;&amp;diams; NAPHTHO(2,1-B)FURAN-2(1H)-ONE, DECAHYDRO-3A,6,6,9A-TETRAMETHYL-, (3AR-(3AALPHA,5ABETA,9AALPHA,9BBETA))-&lt;br /&gt;&amp;diams; DECAHYDRO-3A,6,6,9A-TETRAMETHYLNAPHTHO(2,1-B)FURAN-2(1H)-ONE, (3AR-(3AALPHA,5ABETA,9AALPHA,9BBETA))-&lt;br /&gt;&amp;diams; NAPHTHO(2,1-B)FURAN-2(1H)-ONE, 3A,4,5,5AALPHA,6,7,8,9,9A,9BALPHA-DECAHYDRO-3ABETA,6,6,9ABETA-TETRAMETHYL-&lt;br /&gt;&amp;diams; 3A,4,5,5AALPHA,6,7,8,9,9A,9BALPHA-DECAHYDRO-3ABETA,6,6,9ABETA-TETRAMETHYLNAPHTHO(2,1-B)FURAN-2(1H)-ONE&lt;br /&gt;&amp;diams; 12-NORAMBREINOLIDE</t>
  </si>
  <si>
    <t xml:space="preserve"> 91770-24-0</t>
  </si>
  <si>
    <t xml:space="preserve"> SCOTCH SPEARMINT OIL, MENTHA CARDIACA L.</t>
  </si>
  <si>
    <t xml:space="preserve"> 14765-30-1</t>
  </si>
  <si>
    <t xml:space="preserve"> 2-SEC-BUTYLCYCLOHEXANONE</t>
  </si>
  <si>
    <t xml:space="preserve"> &amp;diams; 2-SEC-BUTYLCYCLOHEXANONE&lt;br /&gt;&amp;diams; BUTYLCYCLOHEXANONE, O-SEC-&lt;br /&gt;&amp;diams; CYCLOHEXANONE, 2-(1-METHYLPROPYL)-&lt;br /&gt;&amp;diams; CYCLOHEXANONE, 2-SEC-BUTYL-&lt;br /&gt;&amp;diams; 2-(1-METHYLPROPYL)CYCLOHEXANONE</t>
  </si>
  <si>
    <t xml:space="preserve"> 2679-87-0</t>
  </si>
  <si>
    <t xml:space="preserve"> SEC-BUTYL ETHYL ETHER</t>
  </si>
  <si>
    <t xml:space="preserve"> &amp;diams; 2-ETHOXYBUTANE&lt;br /&gt;&amp;diams; ETHYL SEC-BUTYL ETHER&lt;br /&gt;&amp;diams; BUTYL ETHYL ETHER, SEC-&lt;br /&gt;&amp;diams; BUTANE, 2-ETHOXY-&lt;br /&gt;&amp;diams; ETHER, SEC-BUTYL ETHYL&lt;br /&gt;&amp;diams; SEC-BUTYL ETHYL ETHER</t>
  </si>
  <si>
    <t xml:space="preserve"> 977083-19-4</t>
  </si>
  <si>
    <t xml:space="preserve"> SENNA, ALEXANDRIA (CASSIA ACUTIFOLIA DELILE)</t>
  </si>
  <si>
    <t xml:space="preserve"> &amp;diams; ALEXANDRIAN SENNA&lt;br /&gt;&amp;diams; CASSIA SENNA&lt;br /&gt;&amp;diams; CASSIA ACUTIFOLIA&lt;br /&gt;&amp;diams; SENNA, ALEXANDRIA&lt;br /&gt;&amp;diams; SENNA ALEXANDRINA</t>
  </si>
  <si>
    <t xml:space="preserve"> 56-45-1</t>
  </si>
  <si>
    <t xml:space="preserve"> L-SERINE</t>
  </si>
  <si>
    <t xml:space="preserve"> &amp;diams; SERINE, L-&lt;br /&gt;&amp;diams; L-SERINE&lt;br /&gt;&amp;diams; BETA-HYDROXYALANINE&lt;br /&gt;&amp;diams; 2-AMINO-3-HYDROXYPROPANOIC ACID, (S)-</t>
  </si>
  <si>
    <t xml:space="preserve"> 977002-55-3</t>
  </si>
  <si>
    <t xml:space="preserve"> SERPENTARIA (ARISTOLOCHIA SERPENTARIA L.)</t>
  </si>
  <si>
    <t xml:space="preserve"> &amp;diams; SERPENTARIA&lt;br /&gt;&amp;diams; SNAKEROOT, VIRGINIA&lt;br /&gt;&amp;diams; VIRGINIA SNAKEROOT&lt;br /&gt;&amp;diams; ARISTOLOCHIA SERPENTARIA</t>
  </si>
  <si>
    <t xml:space="preserve"> 977052-01-9</t>
  </si>
  <si>
    <t xml:space="preserve"> SESAME (SESAMUM INDICUM L.)</t>
  </si>
  <si>
    <t xml:space="preserve"> &amp;diams; SESAME SEED&lt;br /&gt;&amp;diams; SESAMUM INDICUM SEED&lt;br /&gt;&amp;diams; SEED, SESAME</t>
  </si>
  <si>
    <t xml:space="preserve"> 977159-94-6</t>
  </si>
  <si>
    <t xml:space="preserve"> SHEANUT OIL</t>
  </si>
  <si>
    <t xml:space="preserve"> &amp;diams; SHEANUT OIL&lt;br /&gt;&amp;diams; BUTYROSPERMUM PARKII OIL</t>
  </si>
  <si>
    <t xml:space="preserve"> 9000-59-3</t>
  </si>
  <si>
    <t xml:space="preserve"> SHELLAC, PURIFIED</t>
  </si>
  <si>
    <t xml:space="preserve"> &amp;diams; SHELLAC&lt;br /&gt;&amp;diams; LACCA&lt;br /&gt;&amp;diams; CANDY GLAZE&lt;br /&gt;&amp;diams; CONFECTIONER'S GLAZE&lt;br /&gt;&amp;diams; SHELLAC, PURIFIED&lt;br /&gt;&amp;diams; GUM LAC&lt;br /&gt;&amp;diams; LAC RESIN&lt;br /&gt;&amp;diams; RESINS, LAC OR SHELLAC</t>
  </si>
  <si>
    <t xml:space="preserve"> ANTICAKING AGENT OR FREE-FLOW AGENT,&lt;br /&gt; DRYING AGENT,&lt;br /&gt; HUMECTANT,&lt;br /&gt; PROCESSING AID,&lt;br /&gt; SURFACE-FINISHING AGENT</t>
  </si>
  <si>
    <t xml:space="preserve"> 97766-50-2</t>
  </si>
  <si>
    <t xml:space="preserve"> SHELLAC WAX</t>
  </si>
  <si>
    <t xml:space="preserve"> &amp;diams; SHELLAC WAX&lt;br /&gt;&amp;diams; WAX, SHELLAC&lt;br /&gt;&amp;diams; WAXES AND WAXY SUBSTANCES, SHELLAC&lt;br /&gt;&amp;diams; LAC WAX</t>
  </si>
  <si>
    <t xml:space="preserve"> 977052-02-0</t>
  </si>
  <si>
    <t xml:space="preserve"> SILICA AEROGEL</t>
  </si>
  <si>
    <t xml:space="preserve"> &amp;diams; SILICA AEROGEL</t>
  </si>
  <si>
    <t xml:space="preserve"> 7631-86-9</t>
  </si>
  <si>
    <t xml:space="preserve"> SILICON DIOXIDE</t>
  </si>
  <si>
    <t xml:space="preserve"> &amp;diams; SILICA&lt;br /&gt;&amp;diams; SILICON DIOXIDE</t>
  </si>
  <si>
    <t xml:space="preserve"> ANTICAKING AGENT OR FREE-FLOW AGENT,&lt;br /&gt; ANTIOXIDANT,&lt;br /&gt; COLOR OR COLORING ADJUNCT,&lt;br /&gt; DRYING AGENT,&lt;br /&gt; EMULSIFIER OR EMULSIFIER SALT,&lt;br /&gt; FLAVORING AGENT OR ADJUVANT,&lt;br /&gt; FORMULATION AID,&lt;br /&gt; HUMECTANT,&lt;br /&gt; LUBRICANT OR RELEASE AGENT,</t>
  </si>
  <si>
    <t xml:space="preserve"> 160.105 ,  160.185</t>
  </si>
  <si>
    <t xml:space="preserve"> 8021-27-0</t>
  </si>
  <si>
    <t xml:space="preserve"> SILVER FIR, NEEDLES AND TWIGS, OIL (ABIES ALBA MILL.)</t>
  </si>
  <si>
    <t xml:space="preserve"> &amp;diams; FIR NEEDLE OIL, SILVER&lt;br /&gt;&amp;diams; OILS, SILVER FIR</t>
  </si>
  <si>
    <t xml:space="preserve"> 7761-88-8</t>
  </si>
  <si>
    <t xml:space="preserve"> SILVER NITRATE</t>
  </si>
  <si>
    <t xml:space="preserve"> &amp;diams; nitric acid silver(1+) salt&lt;br /&gt;&amp;diams; silver(1+) salt&lt;br /&gt;&amp;diams; nitric acid silver(1+) salt (1:1)&lt;br /&gt;&amp;diams; silver (I) nitrate</t>
  </si>
  <si>
    <t xml:space="preserve"> 977187-35-1</t>
  </si>
  <si>
    <t xml:space="preserve"> SILVER-SILVER DRAGEES</t>
  </si>
  <si>
    <t xml:space="preserve"> 977029-60-9</t>
  </si>
  <si>
    <t xml:space="preserve"> SIMARUBA BARK (SIMARUBA AMARA AUBL.)</t>
  </si>
  <si>
    <t xml:space="preserve"> &amp;diams; SIMARUBA BARK&lt;br /&gt;&amp;diams; BITTER DAMSON&lt;br /&gt;&amp;diams; ORINOCO SIMARUBA BARK&lt;br /&gt;&amp;diams; SIMARUBA AMARA BARK</t>
  </si>
  <si>
    <t xml:space="preserve"> 83-34-1</t>
  </si>
  <si>
    <t xml:space="preserve"> SKATOLE</t>
  </si>
  <si>
    <t xml:space="preserve"> &amp;diams; SKATOLE&lt;br /&gt;&amp;diams; 3-METHYLINDOLE&lt;br /&gt;&amp;diams; 1H-INDOLE, 3-METHYL-&lt;br /&gt;&amp;diams; 3-METHYL-1H-INDOLE&lt;br /&gt;&amp;diams; INDOLE, 3-METHYL-&lt;br /&gt;&amp;diams; BETA-METHYLINDOLE&lt;br /&gt;&amp;diams; 3-METHYL-4,5-BENZOPYRROLE</t>
  </si>
  <si>
    <t xml:space="preserve"> 90105-94-5</t>
  </si>
  <si>
    <t xml:space="preserve"> SLOE BERRIES, EXTRACT (PRUNUS SPINOSA L.)</t>
  </si>
  <si>
    <t xml:space="preserve"> &amp;diams; SLOE BERRY EXTRACT&lt;br /&gt;&amp;diams; BLACKTHORN BERRY EXTRACT&lt;br /&gt;&amp;diams; PRUNUS SPINOSA BERRY EXTRACT&lt;br /&gt;&amp;diams; PRUNUS SPINOSA, EXT.</t>
  </si>
  <si>
    <t xml:space="preserve"> 977029-61-0</t>
  </si>
  <si>
    <t xml:space="preserve"> SLOE BERRIES, EXTRACT SOLID (PRUNUS SPINOSA L.)</t>
  </si>
  <si>
    <t xml:space="preserve"> &amp;diams; SLOE BERRY EXTRACT, SOLID&lt;br /&gt;&amp;diams; BLACKTHORN BERRY EXTRACT, SOLID&lt;br /&gt;&amp;diams; PRUNUS SPINOSA BERRY EXTRACT, SOLID</t>
  </si>
  <si>
    <t xml:space="preserve"> 977052-03-1</t>
  </si>
  <si>
    <t xml:space="preserve"> SLOE BERRIES (PRUNUS SPINOSA L.)</t>
  </si>
  <si>
    <t xml:space="preserve"> &amp;diams; SLOE BERRY&lt;br /&gt;&amp;diams; BLACKTHORN BERRY&lt;br /&gt;&amp;diams; PRUNUS SPINOSA&lt;br /&gt;&amp;diams; SLOE</t>
  </si>
  <si>
    <t xml:space="preserve"> 8016-69-1</t>
  </si>
  <si>
    <t xml:space="preserve"> SNAKEROOT, CANADIAN, OIL (ASARUM CANADENSE L.)</t>
  </si>
  <si>
    <t xml:space="preserve"> &amp;diams; CANADA SNAKEROOT OIL&lt;br /&gt;&amp;diams; SNAKEROOT OIL, CANADIAN&lt;br /&gt;&amp;diams; OILS, ASARUM&lt;br /&gt;&amp;diams; ASARUM CANADENSE OIL&lt;br /&gt;&amp;diams; CANADIAN WILD GINGER OIL&lt;br /&gt;&amp;diams; AMERICAN WILD GINGER OIL&lt;br /&gt;&amp;diams; ASARUM OIL&lt;br /&gt;&amp;diams; SNAKEROOT, CANADIAN, OIL</t>
  </si>
  <si>
    <t xml:space="preserve"> 7758-16-9</t>
  </si>
  <si>
    <t xml:space="preserve"> SODIUM ACID PYROPHOSPHATE</t>
  </si>
  <si>
    <t xml:space="preserve"> &amp;diams; SODIUM ACID PYROPHOSPHATE&lt;br /&gt;&amp;diams; DISODIUM PYROPHOSPHATE&lt;br /&gt;&amp;diams; DISODIUM DIPHOSPHATE&lt;br /&gt;&amp;diams; DISODIUM DIHYDROGEN DIPHOSPHATE&lt;br /&gt;&amp;diams; DISODIUM DIHYDROGEN PYROPHOSPHATE&lt;br /&gt;&amp;diams; DIPHOSPHORIC ACID, DISODIUM SALT&lt;br /&gt;&amp;diams; PYROPHOSPHORIC ACID, DISODIUM SALT</t>
  </si>
  <si>
    <t xml:space="preserve"> COLOR OR COLORING ADJUNCT,&lt;br /&gt; DOUGH STRENGTHENER,&lt;br /&gt; EMULSIFIER OR EMULSIFIER SALT,&lt;br /&gt; FLAVORING AGENT OR ADJUVANT,&lt;br /&gt; FLOUR TREATING AGENT,&lt;br /&gt; FORMULATION AID,&lt;br /&gt; LEAVENING AGENT,&lt;br /&gt; OXIDIZING OR REDUCING AGENT,&lt;br /&gt; SEQUESTRANT</t>
  </si>
  <si>
    <t xml:space="preserve"> 133.169 ,  133.173 ,  133.179 ,  137.180 ,  161.190</t>
  </si>
  <si>
    <t xml:space="preserve"> 8046-53-5</t>
  </si>
  <si>
    <t xml:space="preserve"> SODIUM N-ALKYLBENZENESULFONATE</t>
  </si>
  <si>
    <t xml:space="preserve"> &amp;diams; SODIUM ALKYLBENZENESULFONATE&lt;br /&gt;&amp;diams; BENZENESULFONIC ACID, ALKYL DERIVS., SODIUM SALTS&lt;br /&gt;&amp;diams; SODIUM N-ALKYLBENZENESULFONATE</t>
  </si>
  <si>
    <t xml:space="preserve"> 1302-42-7</t>
  </si>
  <si>
    <t xml:space="preserve"> SODIUM ALUMINATE</t>
  </si>
  <si>
    <t xml:space="preserve"> &amp;diams; SODIUM ALUMINATE&lt;br /&gt;&amp;diams; ALUMINUM SODIUM OXIDE&lt;br /&gt;&amp;diams; ALUMINATE (ALO21-), SODIUM</t>
  </si>
  <si>
    <t xml:space="preserve"> 7785-88-8</t>
  </si>
  <si>
    <t xml:space="preserve"> SODIUM ALUMINUM PHOSPHATE, ACIDIC OR BASIC</t>
  </si>
  <si>
    <t xml:space="preserve"> &amp;diams; ALUMINUM SODIUM PHOSPHATE&lt;br /&gt;&amp;diams; PHOSPHORIC ACID, ALUMINUM SODIUM SALT&lt;br /&gt;&amp;diams; SODIUM ALUMINUM PHOSPHATE</t>
  </si>
  <si>
    <t xml:space="preserve"> ANTICAKING AGENT OR FREE-FLOW AGENT,&lt;br /&gt; DRYING AGENT,&lt;br /&gt; EMULSIFIER OR EMULSIFIER SALT,&lt;br /&gt; HUMECTANT,&lt;br /&gt; LEAVENING AGENT,&lt;br /&gt; TEXTURIZER</t>
  </si>
  <si>
    <t xml:space="preserve"> 133.169 ,  133.173 ,  133.179 ,  137.105 ,  137.180 ,  137.270</t>
  </si>
  <si>
    <t xml:space="preserve"> 1344-00-9</t>
  </si>
  <si>
    <t xml:space="preserve"> SODIUM ALUMINUM SILICATE</t>
  </si>
  <si>
    <t xml:space="preserve"> &amp;diams; SODIUM ALUMINOSILICATE&lt;br /&gt;&amp;diams; ALUMINUM SODIUM SILICATE&lt;br /&gt;&amp;diams; ALUMINOSILICIC ACID, SODIUM SALT&lt;br /&gt;&amp;diams; SODIUM ALUMINUM SILICATE&lt;br /&gt;&amp;diams; SILICIC ACID, ALUMINUM SODIUM SALT&lt;br /&gt;&amp;diams; SILICATE, SODIUM ALUMINO-</t>
  </si>
  <si>
    <t xml:space="preserve"> 134-03-2</t>
  </si>
  <si>
    <t xml:space="preserve"> SODIUM ASCORBATE</t>
  </si>
  <si>
    <t xml:space="preserve"> &amp;diams; SODIUM ASCORBATE&lt;br /&gt;&amp;diams; SODIUM L-ASCORBATE&lt;br /&gt;&amp;diams; VITAMIN C SODIUM&lt;br /&gt;&amp;diams; L-ASCORBIC ACID, MONOSODIUM SALT&lt;br /&gt;&amp;diams; MONOSODIUM L-ASCORBATE</t>
  </si>
  <si>
    <t xml:space="preserve"> ANTIOXIDANT,&lt;br /&gt; COLOR OR COLORING ADJUNCT,&lt;br /&gt; DOUGH STRENGTHENER,&lt;br /&gt; FLOUR TREATING AGENT,&lt;br /&gt; LEAVENING AGENT,&lt;br /&gt; NUTRIENT SUPPLEMENT,&lt;br /&gt; OXIDIZING OR REDUCING AGENT,&lt;br /&gt; PROCESSING AID,&lt;br /&gt; SURFACE-FINISHING AGENT</t>
  </si>
  <si>
    <t xml:space="preserve"> 144-55-8</t>
  </si>
  <si>
    <t xml:space="preserve"> SODIUM BICARBONATE</t>
  </si>
  <si>
    <t xml:space="preserve"> &amp;diams; SODIUM BICARBONATE&lt;br /&gt;&amp;diams; BICARBONATE OF SODA&lt;br /&gt;&amp;diams; MONOSODIUM CARBONATE&lt;br /&gt;&amp;diams; SODIUM ACID CARBONATE&lt;br /&gt;&amp;diams; CARBONIC ACID MONOSODIUM SALT&lt;br /&gt;&amp;diams; SODIUM HYDROGEN CARBONATE&lt;br /&gt;&amp;diams; BICARBONATE DE SODIUM&lt;br /&gt;&amp;diams; BAKING SODA (SODIUM BICARBONATE)</t>
  </si>
  <si>
    <t xml:space="preserve"> EMULSIFIER OR EMULSIFIER SALT,&lt;br /&gt; FLAVOR ENHANCER,&lt;br /&gt; FLAVORING AGENT OR ADJUVANT,&lt;br /&gt; LEAVENING AGENT,&lt;br /&gt; NUTRIENT SUPPLEMENT,&lt;br /&gt; PH CONTROL AGENT,&lt;br /&gt; PROCESSING AID,&lt;br /&gt; SOLVENT OR VEHICLE</t>
  </si>
  <si>
    <t xml:space="preserve"> 137.180 ,  137.270 ,  155.191 ,  163.110 ,  163.111 ,  163.112</t>
  </si>
  <si>
    <t xml:space="preserve"> 7631-90-5</t>
  </si>
  <si>
    <t xml:space="preserve"> SODIUM BISULFITE</t>
  </si>
  <si>
    <t xml:space="preserve"> &amp;diams; SODIUM BISULFITE&lt;br /&gt;&amp;diams; SODIUM ACID SULFITE&lt;br /&gt;&amp;diams; SODIUM HYDROGEN SULFITE&lt;br /&gt;&amp;diams; SULFUROUS ACID, MONOSODIUM SALT&lt;br /&gt;&amp;diams; MONOSODIUM SULFITE</t>
  </si>
  <si>
    <t xml:space="preserve"> ANTIMICROBIAL AGENT,&lt;br /&gt; ANTIOXIDANT,&lt;br /&gt; COLOR OR COLORING ADJUNCT,&lt;br /&gt; DOUGH STRENGTHENER,&lt;br /&gt; FLAVORING AGENT OR ADJUVANT,&lt;br /&gt; FLOUR TREATING AGENT,&lt;br /&gt; FORMULATION AID,&lt;br /&gt; PROCESSING AID,&lt;br /&gt; SURFACE-FINISHING AGENT,&lt;br /&gt; TEXTURIZER</t>
  </si>
  <si>
    <t xml:space="preserve"> 16940-66-2</t>
  </si>
  <si>
    <t xml:space="preserve"> SODIUM BOROHYDRIDE</t>
  </si>
  <si>
    <t xml:space="preserve"> &amp;diams; SODIUM BOROHYDRIDE&lt;br /&gt;&amp;diams; BORATE(1-), TETRAHYDRO-, SODIUM&lt;br /&gt;&amp;diams; SODIUM TETRAHYDROBORATE&lt;br /&gt;&amp;diams; SODIUM BOROHYDRIDE (NA(BH4))</t>
  </si>
  <si>
    <t xml:space="preserve"> 1344-01-0</t>
  </si>
  <si>
    <t xml:space="preserve"> SODIUM CALCIUM ALUMINOSILICATE, HYDRATED</t>
  </si>
  <si>
    <t xml:space="preserve"> &amp;diams; SODIUM CALCIUM ALUMINOSILICATE&lt;br /&gt;&amp;diams; ALUMINUM CALCIUM SODIUM SILICATE&lt;br /&gt;&amp;diams; CALCIUM SODIUM ALUMINOSILICATE&lt;br /&gt;&amp;diams; SODIUM CALCIUM SILICOALUMINATE&lt;br /&gt;&amp;diams; SODIUM CALCIUM ALUMINOSILICATE, HYDRATED&lt;br /&gt;&amp;diams; SODIUM CALCIUM ALUMINUM SILICATE&lt;br /&gt;&amp;diams; SILICIC ACID, ALUMINUM CALCIUM SODIUM SALT</t>
  </si>
  <si>
    <t xml:space="preserve"> 1002-62-6</t>
  </si>
  <si>
    <t xml:space="preserve"> SODIUM CAPRATE</t>
  </si>
  <si>
    <t xml:space="preserve"> &amp;diams; SODIUM DECANOATE&lt;br /&gt;&amp;diams; SODIUM CAPRATE&lt;br /&gt;&amp;diams; SODIUM CAPRINATE&lt;br /&gt;&amp;diams; DECANOIC ACID, SODIUM SALT</t>
  </si>
  <si>
    <t xml:space="preserve"> 1984-06-1</t>
  </si>
  <si>
    <t xml:space="preserve"> SODIUM CAPRYLATE</t>
  </si>
  <si>
    <t xml:space="preserve"> &amp;diams; SODIUM OCTANOATE&lt;br /&gt;&amp;diams; OCTANOIC ACID, SODIUM SALT</t>
  </si>
  <si>
    <t xml:space="preserve"> 497-19-8</t>
  </si>
  <si>
    <t xml:space="preserve"> SODIUM CARBONATE</t>
  </si>
  <si>
    <t xml:space="preserve"> &amp;diams; SODIUM CARBONATE&lt;br /&gt;&amp;diams; SODIUM CARBONATE, ANHYDROUS&lt;br /&gt;&amp;diams; SODA&lt;br /&gt;&amp;diams; SODA ASH&lt;br /&gt;&amp;diams; CARBONIC ACID DISODIUM SALT&lt;br /&gt;&amp;diams; DISODIUM CARBONATE</t>
  </si>
  <si>
    <t xml:space="preserve"> ANTIOXIDANT,&lt;br /&gt; CURING OR PICKLING AGENT,&lt;br /&gt; FLAVORING AGENT OR ADJUVANT,&lt;br /&gt; PH CONTROL AGENT,&lt;br /&gt; PROCESSING AID</t>
  </si>
  <si>
    <t xml:space="preserve"> 9005-46-3</t>
  </si>
  <si>
    <t xml:space="preserve"> SODIUM CASEINATE</t>
  </si>
  <si>
    <t xml:space="preserve"> &amp;diams; SODIUM CASEINATE&lt;br /&gt;&amp;diams; CASEINS, SODIUM COMPLEXES&lt;br /&gt;&amp;diams; CASEINATE, NA&lt;br /&gt;&amp;diams; CASEINATE, SODIUM SALT</t>
  </si>
  <si>
    <t xml:space="preserve"> ANTICAKING AGENT OR FREE-FLOW AGENT,&lt;br /&gt; DRYING AGENT,&lt;br /&gt; EMULSIFIER OR EMULSIFIER SALT,&lt;br /&gt; FLAVORING AGENT OR ADJUVANT,&lt;br /&gt; FORMULATION AID,&lt;br /&gt; NUTRIENT SUPPLEMENT,&lt;br /&gt; PH CONTROL AGENT,&lt;br /&gt; SOLVENT OR VEHICLE,&lt;br /&gt; STABILIZER OR THICKENER,&lt;br /&gt; TEXTURIZER</t>
  </si>
  <si>
    <t xml:space="preserve"> 7758-19-2</t>
  </si>
  <si>
    <t xml:space="preserve"> SODIUM CHLORITE</t>
  </si>
  <si>
    <t xml:space="preserve"> &amp;diams; SODIUM CHLORITE&lt;br /&gt;&amp;diams; CHLOROUS ACID, SODIUM SALT</t>
  </si>
  <si>
    <t xml:space="preserve"> 28302-36-5</t>
  </si>
  <si>
    <t xml:space="preserve"> SODIUM COPPER CHLOROPHYLLIN</t>
  </si>
  <si>
    <t xml:space="preserve"> &amp;diams; SODIUM COPPER CHLOROPHYLLIN&lt;br /&gt;&amp;diams; CUPRATE(3-), (18-CARBOXY-20-(CARBOXYMETHYL)-8-ETHENYL-13-ETHYL-12-FORMYL-2,3-DIHYDRO-3,7,17-TRIMETHYL-21H,23H-PORPHINE-2-PROPANOATO(5-)-N21,N22,N23,N24)-,...28302-36-5&lt;br /&gt;&amp;diams; COPPER, (DIHYDROGEN 21-CARBOXY-14-ETHYL-13-FORMYL-4,8,18-TRIMETHYL-20-OXO-9-VINYL-3-PHORBINEPROPIONATO(2-))-, TRISODIUM SALT&lt;br /&gt;&amp;diams; CHLOROPHYLLIN-COPPER COMPLEX, SODIUM SALT&lt;br /&gt;&amp;diams; TRISODIUM (18-CARBOXY-20-(CARBOXYMETHYL)-8-ETHENYL-13-ETHYL-12-FORMYL-2,3-DIHYDRO-3,7,17-TRIMETHYL-21H,23H-PORPHINE-2-PROPANOATO(5-)-N21,N22,N23,N24)-...28302-36-5&lt;br /&gt;&amp;diams; TRISODIUM (DIHYDROGEN 21-CARBOXY-14-ETHYL-13-FORMYL-4,8,18-TRIMETHYL-20-OXO-9-VINYL-3-PHORBINEPROPIONATO(2-))COPPER</t>
  </si>
  <si>
    <t xml:space="preserve"> 139-05-9</t>
  </si>
  <si>
    <t xml:space="preserve"> SODIUM CYCLAMATE--PROHIBITED</t>
  </si>
  <si>
    <t xml:space="preserve"> &amp;diams; SODIUM CYCLAMATE&lt;br /&gt;&amp;diams; SODIUM CYCLOHEXYLSULFAMATE&lt;br /&gt;&amp;diams; SODIUM N-CYCLOHEXYLSULFAMATE&lt;br /&gt;&amp;diams; SULFAMIC ACID, CYLCLOHEXYL-, MONOSODIUM SALT&lt;br /&gt;&amp;diams; CYCLOHEXANESULFAMIC ACID, MONOSODIUM SALT&lt;br /&gt;&amp;diams; MONOSODIUM CYCLOHEXYLSULFAMATE&lt;br /&gt;&amp;diams; CYCLAMATE SODIUM&lt;br /&gt;&amp;diams; SODIUM CYCLOHEXANE SULFAMATE&lt;br /&gt;&amp;diams; CYCLAMIC ACID, SODIUM SALT&lt;br /&gt;&amp;diams; CYCLOHEXYLSULFAMIC ACID, SODIUM SALT</t>
  </si>
  <si>
    <t xml:space="preserve"> 1322-98-1</t>
  </si>
  <si>
    <t xml:space="preserve"> SODIUM DECYLBENZENESULFONATE</t>
  </si>
  <si>
    <t xml:space="preserve"> &amp;diams; SODIUM DECYLBENZENESULFONATE&lt;br /&gt;&amp;diams; BENZENESULFONIC ACID, DECYL-, SODIUM SALT</t>
  </si>
  <si>
    <t xml:space="preserve"> 4418-26-2</t>
  </si>
  <si>
    <t xml:space="preserve"> SODIUM DEHYDROACETATE</t>
  </si>
  <si>
    <t xml:space="preserve"> &amp;diams; SODIUM DEHYDROACETATE&lt;br /&gt;&amp;diams; SDHA&lt;br /&gt;&amp;diams; SODIUM 3-ACETYL-6-METHYL-2,4-PYRANDIONE&lt;br /&gt;&amp;diams; SODIUM 3-ACETYL-6-METHYL-2H-PYRAN-2,4(3H)-DIONE&lt;br /&gt;&amp;diams; 2H-PYRAN-2,4(3H)-DIONE, 3-ACETYL-6-METHYL-, ION(1-), SODIUM SALT</t>
  </si>
  <si>
    <t xml:space="preserve"> 126-96-5</t>
  </si>
  <si>
    <t xml:space="preserve"> SODIUM DIACETATE</t>
  </si>
  <si>
    <t xml:space="preserve"> &amp;diams; SODIUM DIACETATE&lt;br /&gt;&amp;diams; SODIUM HYDROGEN DIACETATE&lt;br /&gt;&amp;diams; SODIUM ACID ACETATE&lt;br /&gt;&amp;diams; ACETIC ACID, SODIUM SALT (2:1)&lt;br /&gt;&amp;diams; ACETIC ACID, SODIUM SALT, COMPD. WITH ACETIC ACID (1:1)&lt;br /&gt;&amp;diams; SODIUM ACETATE (1:2)&lt;br /&gt;&amp;diams; SODIUM ACETATE, COMPD. WITH ACETIC ACID (1:1)&lt;br /&gt;&amp;diams; SODIUM HYDROGEN ACETATE&lt;br /&gt;&amp;diams; SODIUM ETHANOATE</t>
  </si>
  <si>
    <t xml:space="preserve"> 128-04-1</t>
  </si>
  <si>
    <t xml:space="preserve"> SODIUM DIMETHYLDITHIOCARBAMATE</t>
  </si>
  <si>
    <t xml:space="preserve"> &amp;diams; SODIUM DIMETHYLDITHIOCARBAMATE&lt;br /&gt;&amp;diams; BROGDEX 555&lt;br /&gt;&amp;diams; DIBAM&lt;br /&gt;&amp;diams; CARBAMODITHIOIC ACID, DIMETHYL-, SODIUM SALT&lt;br /&gt;&amp;diams; CARBAMIC ACID, DIMETHYLDITHIO-, SODIUM SALT&lt;br /&gt;&amp;diams; SDMDTC&lt;br /&gt;&amp;diams; SODIUM DIMETHYLCARBAMODITHIOATE</t>
  </si>
  <si>
    <t xml:space="preserve"> 25155-30-0</t>
  </si>
  <si>
    <t xml:space="preserve"> SODIUM DODECYLBENZENESULFONATE</t>
  </si>
  <si>
    <t xml:space="preserve"> &amp;diams; SODIUM LAURYLBENZENESULFONATE&lt;br /&gt;&amp;diams; BENZENESULFONIC ACID, DODECYL-, SODIUM SALT&lt;br /&gt;&amp;diams; DODECYLBENZENE SODIUM SULFONATE</t>
  </si>
  <si>
    <t xml:space="preserve"> 6381-77-7</t>
  </si>
  <si>
    <t xml:space="preserve"> SODIUM ERYTHORBATE</t>
  </si>
  <si>
    <t xml:space="preserve"> &amp;diams; SODIUM ERYTHORBATE&lt;br /&gt;&amp;diams; SODIUM ISOASCORBATE&lt;br /&gt;&amp;diams; D-ERYTHRO-HEX-2-ENONIC ACID, GAMMA-LACTONE, MONOSODIUM SALT&lt;br /&gt;&amp;diams; MONOSODIUM D-ERYTHRO-HEX-2-ENONIC ACID GAMMA-LACTONE&lt;br /&gt;&amp;diams; ARABOASCORBIC ACID, MONOSODIUM SALT, D-&lt;br /&gt;&amp;diams; HEX-2-ENONIC ACID GAMMA-LACTONE, D-ERYTHRO-, MONOSODIUM SALT&lt;br /&gt;&amp;diams; ERYTHORBATE, SODIUM&lt;br /&gt;&amp;diams; ERYTHORBIC ACID, SODIUM SALT</t>
  </si>
  <si>
    <t xml:space="preserve"> ANTIMICROBIAL AGENT,&lt;br /&gt; ANTIOXIDANT,&lt;br /&gt; COLOR OR COLORING ADJUNCT,&lt;br /&gt; DOUGH STRENGTHENER,&lt;br /&gt; FLOUR TREATING AGENT,&lt;br /&gt; OXIDIZING OR REDUCING AGENT,&lt;br /&gt; PROCESSING AID,&lt;br /&gt; SURFACE-FINISHING AGENT</t>
  </si>
  <si>
    <t xml:space="preserve"> 1332-96-3</t>
  </si>
  <si>
    <t xml:space="preserve"> SODIUM FERRICITROPYROPHOSPHATE</t>
  </si>
  <si>
    <t xml:space="preserve"> &amp;diams; IRON(III) PYROPHOSPHATE, SOLUBLE&lt;br /&gt;&amp;diams; FERRIC PYROPHOSPHATE, SOLUBLE&lt;br /&gt;&amp;diams; PYROPHOSPHORIC ACID, IRON SALT, SOLUBLE&lt;br /&gt;&amp;diams; SODIUM FERRICITROPYROPHOSPHATE&lt;br /&gt;&amp;diams; 1,2,3-PROPANETRICARBOXYLIC ACID, 2-HYDROXY-, IRON(3+) SODIUM SALT (1:1:1), MIXT. WITH IRON(3+) DIPHOSPHATE</t>
  </si>
  <si>
    <t xml:space="preserve"> 977127-94-8</t>
  </si>
  <si>
    <t xml:space="preserve"> SODIUM FERRITRIPOLYPHOSPHATE</t>
  </si>
  <si>
    <t xml:space="preserve"> &amp;diams; SODIUM FERRITRIPOLYPHOSPHATE</t>
  </si>
  <si>
    <t xml:space="preserve"> 7681-49-4</t>
  </si>
  <si>
    <t xml:space="preserve"> SODIUM FLUORIDE</t>
  </si>
  <si>
    <t xml:space="preserve"> &amp;diams; SODIUM FLUORIDE&lt;br /&gt;&amp;diams; SODIUM FLUORIDE (NAF)</t>
  </si>
  <si>
    <t xml:space="preserve"> 141-53-7</t>
  </si>
  <si>
    <t xml:space="preserve"> SODIUM FORMATE</t>
  </si>
  <si>
    <t xml:space="preserve"> &amp;diams; SODIUM FORMATE&lt;br /&gt;&amp;diams; FORMIC ACID, SODIUM SALT</t>
  </si>
  <si>
    <t xml:space="preserve"> 7704-73-6</t>
  </si>
  <si>
    <t xml:space="preserve"> SODIUM FUMARATE</t>
  </si>
  <si>
    <t xml:space="preserve"> &amp;diams; SODIUM FUMARATE&lt;br /&gt;&amp;diams; 2-BUTENEDIOIC ACID (E)-, SODIUM SALT&lt;br /&gt;&amp;diams; SODIUM 2-BUTENEDIOATE, (E)-&lt;br /&gt;&amp;diams; FUMARIC ACID, SODIUM SALT</t>
  </si>
  <si>
    <t xml:space="preserve"> 31138-65-5</t>
  </si>
  <si>
    <t xml:space="preserve"> SODIUM GLUCOHEPTONATE</t>
  </si>
  <si>
    <t xml:space="preserve"> &amp;diams; SODIUM GLUCOHEPTONATE&lt;br /&gt;&amp;diams; D-GLUCO-HEPTONIC ACID, MONOSODIUM SALT, (2XI)-&lt;br /&gt;&amp;diams; MONOSODIUM D-GLUCOHEPTONATE</t>
  </si>
  <si>
    <t xml:space="preserve"> 527-07-1</t>
  </si>
  <si>
    <t xml:space="preserve"> SODIUM GLUCONATE</t>
  </si>
  <si>
    <t xml:space="preserve"> &amp;diams; SODIUM D-GLUCONATE&lt;br /&gt;&amp;diams; SODIUM GLUCONATE&lt;br /&gt;&amp;diams; D-GLUCONIC ACID, MONOSODIUM SALT&lt;br /&gt;&amp;diams; MONOSODIUM D-GLUCONATE&lt;br /&gt;&amp;diams; GLUCONIC ACID, MONOSODIUM SALT, D-</t>
  </si>
  <si>
    <t xml:space="preserve"> FLAVOR ENHANCER,&lt;br /&gt; FLAVORING AGENT OR ADJUVANT,&lt;br /&gt; NUTRIENT SUPPLEMENT,&lt;br /&gt; SEQUESTRANT</t>
  </si>
  <si>
    <t xml:space="preserve"> 10124-56-8</t>
  </si>
  <si>
    <t xml:space="preserve"> SODIUM HEXAMETAPHOSPHATE</t>
  </si>
  <si>
    <t xml:space="preserve"> &amp;diams; SODIUM HEXAMETAPHOSPHATE&lt;br /&gt;&amp;diams; HEXASODIUM METAPHOSPHATE&lt;br /&gt;&amp;diams; METAPHOSPHORIC ACID (H6P6O18), HEXASODIUM SALT</t>
  </si>
  <si>
    <t xml:space="preserve"> 68131-04-4</t>
  </si>
  <si>
    <t xml:space="preserve"> SODIUM HUMATE</t>
  </si>
  <si>
    <t xml:space="preserve"> &amp;diams; SODIUM HUMATE&lt;br /&gt;&amp;diams; HUMIC ACIDS, SODIUM SALTS&lt;br /&gt;&amp;diams; HUMATES, SODIUM</t>
  </si>
  <si>
    <t xml:space="preserve"> 7775-14-6</t>
  </si>
  <si>
    <t xml:space="preserve"> SODIUM HYDROSULFITE</t>
  </si>
  <si>
    <t xml:space="preserve"> &amp;diams; SODIUM HYDROSULFITE&lt;br /&gt;&amp;diams; SODIUM DITHIONITE&lt;br /&gt;&amp;diams; DISODIUM DITHIONITE&lt;br /&gt;&amp;diams; DITHIONOUS ACID, DISODIUM SALT</t>
  </si>
  <si>
    <t xml:space="preserve"> 1310-73-2</t>
  </si>
  <si>
    <t xml:space="preserve"> SODIUM HYDROXIDE</t>
  </si>
  <si>
    <t xml:space="preserve"> &amp;diams; SODIUM HYDROXIDE&lt;br /&gt;&amp;diams; CAUSTIC SODA&lt;br /&gt;&amp;diams; CAUSTIC SODA, LIQUID&lt;br /&gt;&amp;diams; SODIUM HYDRATE&lt;br /&gt;&amp;diams; SODA LYE&lt;br /&gt;&amp;diams; WHITE CAUSTIC&lt;br /&gt;&amp;diams; SODIUM HYDROXIDE (NA(OH))&lt;br /&gt;&amp;diams; LYE</t>
  </si>
  <si>
    <t xml:space="preserve"> COLOR OR COLORING ADJUNCT,&lt;br /&gt; DOUGH STRENGTHENER,&lt;br /&gt; FLAVOR ENHANCER,&lt;br /&gt; FLAVORING AGENT OR ADJUVANT,&lt;br /&gt; FLOUR TREATING AGENT,&lt;br /&gt; FUMIGANT,&lt;br /&gt; OXIDIZING OR REDUCING AGENT,&lt;br /&gt; PH CONTROL AGENT,&lt;br /&gt; PROCESSING AID,&lt;br /&gt; WASHING OR SURFACE REMOVAL AGENT</t>
  </si>
  <si>
    <t xml:space="preserve"> 155.191,  155.194,  163.110,  163.111,  163.112</t>
  </si>
  <si>
    <t xml:space="preserve"> 7681-52-9</t>
  </si>
  <si>
    <t xml:space="preserve"> SODIUM HYPOCHLORITE</t>
  </si>
  <si>
    <t xml:space="preserve"> &amp;diams; SODIUM HYPOCHLORITE&lt;br /&gt;&amp;diams; HYPOCHLOROUS ACID, SODIUM SALT</t>
  </si>
  <si>
    <t xml:space="preserve"> DOUGH STRENGTHENER,&lt;br /&gt; FLOUR TREATING AGENT,&lt;br /&gt; FUMIGANT,&lt;br /&gt; OXIDIZING OR REDUCING AGENT</t>
  </si>
  <si>
    <t xml:space="preserve"> 7681-53-0</t>
  </si>
  <si>
    <t xml:space="preserve"> SODIUM HYPOPHOSPHITE</t>
  </si>
  <si>
    <t xml:space="preserve"> &amp;diams; SODIUM HYPOPHOSPHITE&lt;br /&gt;&amp;diams; SODIUM PHOSPHINATE&lt;br /&gt;&amp;diams; PHOSPHINIC ACID, SODIUM SALT&lt;br /&gt;&amp;diams; SODIUM HYPOPHOSPHITE (NAH2PO2)</t>
  </si>
  <si>
    <t xml:space="preserve"> 72-17-3</t>
  </si>
  <si>
    <t xml:space="preserve"> SODIUM LACTATE</t>
  </si>
  <si>
    <t xml:space="preserve"> &amp;diams; SODIUM LACTATE&lt;br /&gt;&amp;diams; PROPANOIC ACID, 2-HYDROXY-, MONOSODIUM SALT&lt;br /&gt;&amp;diams; MONOSODIUM 2-HYDROXYPROPANOATE&lt;br /&gt;&amp;diams; LACTIC ACID, MONOSODIUM SALT&lt;br /&gt;&amp;diams; MONOSODIUM LACTATE</t>
  </si>
  <si>
    <t xml:space="preserve"> ANTIMICROBIAL AGENT,&lt;br /&gt; EMULSIFIER OR EMULSIFIER SALT,&lt;br /&gt; FLAVOR ENHANCER,&lt;br /&gt; FLAVORING AGENT OR ADJUVANT,&lt;br /&gt; PH CONTROL AGENT,&lt;br /&gt; WASHING OR SURFACE REMOVAL AGENT</t>
  </si>
  <si>
    <t xml:space="preserve"> 629-25-4</t>
  </si>
  <si>
    <t xml:space="preserve"> SODIUM LAURATE</t>
  </si>
  <si>
    <t xml:space="preserve"> &amp;diams; SODIUM LAURATE&lt;br /&gt;&amp;diams; DODECANOIC ACID, SODIUM SALT&lt;br /&gt;&amp;diams; SODIUM DODECANOATE&lt;br /&gt;&amp;diams; LAURIC ACID, SODIUM SALT</t>
  </si>
  <si>
    <t xml:space="preserve"> 151-21-3</t>
  </si>
  <si>
    <t xml:space="preserve"> SODIUM LAURYL SULFATE</t>
  </si>
  <si>
    <t xml:space="preserve"> &amp;diams; SODIUM LAURYL SULFATE&lt;br /&gt;&amp;diams; SODIUM LAURYL SULFATE 30%&lt;br /&gt;&amp;diams; SODIUM LAURYL SULFATE, DENTAL GRADE&lt;br /&gt;&amp;diams; SODIUM DODECYL SULFATE&lt;br /&gt;&amp;diams; SULFURIC ACID MONODODECYL ESTER SODIUM SALT&lt;br /&gt;&amp;diams; SODIUM MONODODECYL SULFATE&lt;br /&gt;&amp;diams; InChI=1S/C12H26O4S.Na/c1-2-3-4-5-6-7-8-9-10-11-12-16-17(13,14)15&lt;br /&gt;&amp;diams; /h2-12H2,1H3,(H,13,14,15)&lt;br /&gt;&amp;diams; /q&lt;br /&gt;&amp;diams; +1/p-1&lt;br /&gt;&amp;diams; InChIKey: DBMJMQXJHONAFJ-UHFFFAOYSA-M</t>
  </si>
  <si>
    <t xml:space="preserve"> EMULSIFIER OR EMULSIFIER SALT,&lt;br /&gt; SURFACE-ACTIVE AGENT</t>
  </si>
  <si>
    <t xml:space="preserve"> 10255-67-1</t>
  </si>
  <si>
    <t xml:space="preserve"> SODIUM 3-MERCAPTOOXOPROPIONATE</t>
  </si>
  <si>
    <t xml:space="preserve"> &amp;diams; SODIUM MERCAPTOPYRUVATE&lt;br /&gt;&amp;diams; MONOSODIUM 3-MERCAPTO-2-OXOPROPANOATE&lt;br /&gt;&amp;diams; PROPANOIC ACID, 3-MERCAPTO-2-OXO-, MONOSODIUM SALT&lt;br /&gt;&amp;diams; PYRUVIC ACID, MERCAPTO-, SODIUM SALT&lt;br /&gt;&amp;diams; SODIUM BETA-MERCAPTOPYRUVATE&lt;br /&gt;&amp;diams; SODIUM 3-MERCAPTOPYRRUVATE&lt;br /&gt;&amp;diams; SODIUM 3-MERCAPTOOXOPROPIONATE</t>
  </si>
  <si>
    <t xml:space="preserve"> 7681-57-4</t>
  </si>
  <si>
    <t xml:space="preserve"> SODIUM METABISULFITE</t>
  </si>
  <si>
    <t xml:space="preserve"> &amp;diams; SODIUM METABISULFITE&lt;br /&gt;&amp;diams; DISODIUM PYROSULFITE&lt;br /&gt;&amp;diams; DISODIUM DISULFITE&lt;br /&gt;&amp;diams; SODIUM PYROSULFITE&lt;br /&gt;&amp;diams; SODIUM DISULFITE&lt;br /&gt;&amp;diams; PYROSULFUROUS ACID, DISODIUM SALT&lt;br /&gt;&amp;diams; DISULFUROUS ACID, DISODIUM SALT</t>
  </si>
  <si>
    <t xml:space="preserve"> ANTIMICROBIAL AGENT,&lt;br /&gt; ANTIOXIDANT,&lt;br /&gt; COLOR OR COLORING ADJUNCT,&lt;br /&gt; DOUGH STRENGTHENER,&lt;br /&gt; FLOUR TREATING AGENT,&lt;br /&gt; FREEZING OR COOLING AGENT,&lt;br /&gt; DIRECT CONTACT,&lt;br /&gt; OXIDIZING OR REDUCING AGENT</t>
  </si>
  <si>
    <t xml:space="preserve"> 6834-92-0</t>
  </si>
  <si>
    <t xml:space="preserve"> SODIUM METASILICATE</t>
  </si>
  <si>
    <t xml:space="preserve"> &amp;diams; SODIUM METASILICATE&lt;br /&gt;&amp;diams; SILICIC ACID (H2SIO3), DISODIUM SALT&lt;br /&gt;&amp;diams; DISODIUM METASILICATE</t>
  </si>
  <si>
    <t xml:space="preserve"> 17114-82-8</t>
  </si>
  <si>
    <t xml:space="preserve"> SODIUM (4-METHOXYBENZOYLOXY)ACETATE</t>
  </si>
  <si>
    <t xml:space="preserve"> &amp;diams; SODIUM (4-METHOXYBENZOYLOXY)ACETATE&lt;br /&gt;&amp;diams; P-ANISIC ACID, ESTER WITH GLYCOLIC ACID, SODIUM SALT&lt;br /&gt;&amp;diams; sodium 4-methoxybenzoyloxyacetate&lt;br /&gt;&amp;diams; benzoic acid, 4-methoxy-, carboxymethyl ester, sodium salt</t>
  </si>
  <si>
    <t xml:space="preserve"> 24276-84-4</t>
  </si>
  <si>
    <t xml:space="preserve"> SODIUM 3-METHOXY-4-HYDROXYCINNAMATE</t>
  </si>
  <si>
    <t xml:space="preserve"> &amp;diams; SODIUM FERULATE&lt;br /&gt;&amp;diams; SODIUM 3-METHOXY-4-HYDROXYCINNAMATE&lt;br /&gt;&amp;diams; 2-PROPENOIC ACID, 3-(4-HYDROXY-3-METHOXYPHENYL)-, MONOSODIUM SALT&lt;br /&gt;&amp;diams; MONOSODIUM 3-(4-HYDROXY-3-METHOXYPHENYL)-2-PROPENOATE&lt;br /&gt;&amp;diams; CINNAMIC ACID, 4-HYDROXY-3-METHOXY-, MONOSODIUM SALT&lt;br /&gt;&amp;diams; MONOSODIUM 4-HYDROXY-3-METHOXYCINNAMATE</t>
  </si>
  <si>
    <t xml:space="preserve"> 150436-68-3</t>
  </si>
  <si>
    <t xml:space="preserve"> SODIUM 2-(4-METHOXYPHENOXY)PROPANOATE</t>
  </si>
  <si>
    <t xml:space="preserve"> &amp;diams; SODIUM 2-(4-METHOXYPHENOXY)PROPIONATE&lt;br /&gt;&amp;diams; PROPANOIC ACID, 2-(4-METHOXYPHENOXY)-, SODIUM SALT&lt;br /&gt;&amp;diams; SODIUM 2-(4-METHOXYPHENOXY)PROPANOATE</t>
  </si>
  <si>
    <t xml:space="preserve"> 15, 16, 17</t>
  </si>
  <si>
    <t xml:space="preserve"> 512-42-5</t>
  </si>
  <si>
    <t xml:space="preserve"> SODIUM METHYL SULFATE</t>
  </si>
  <si>
    <t xml:space="preserve"> &amp;diams; METHYL SODIUM SULFATE&lt;br /&gt;&amp;diams; SODIUM METHYL SULFATE&lt;br /&gt;&amp;diams; SULFURIC ACID, MONOMETHYL ESTER, SODIUM SALT&lt;br /&gt;&amp;diams; SODIUM MONOMETHYLSULFATE</t>
  </si>
  <si>
    <t xml:space="preserve"> 977052-10-0</t>
  </si>
  <si>
    <t xml:space="preserve"> SODIUM MONO- AND DIMETHYL NAPHTHALENE SULFONATES</t>
  </si>
  <si>
    <t xml:space="preserve"> &amp;diams; SODIUM METHYL- AND DIMETHYLNAPHTHALENESULFONATE&lt;br /&gt;&amp;diams; SODIUM MONO- AND DIMETHYL NAPHTHALENE SULFONATE</t>
  </si>
  <si>
    <t xml:space="preserve"> 822-12-8</t>
  </si>
  <si>
    <t xml:space="preserve"> SODIUM MYRISTATE</t>
  </si>
  <si>
    <t xml:space="preserve"> &amp;diams; SODIUM MYRISTATE&lt;br /&gt;&amp;diams; TETRADECANOIC ACID, SODIUM SALT&lt;br /&gt;&amp;diams; SODIUM TETRADECANOATE&lt;br /&gt;&amp;diams; MYRISTIC ACID, SODIUM SALT</t>
  </si>
  <si>
    <t xml:space="preserve"> 7631-99-4</t>
  </si>
  <si>
    <t xml:space="preserve"> SODIUM NITRATE</t>
  </si>
  <si>
    <t xml:space="preserve"> &amp;diams; SODIUM NITRATE&lt;br /&gt;&amp;diams; NITRIC ACID SODIUM SALT</t>
  </si>
  <si>
    <t xml:space="preserve"> 7632-00-0</t>
  </si>
  <si>
    <t xml:space="preserve"> SODIUM NITRITE</t>
  </si>
  <si>
    <t xml:space="preserve"> &amp;diams; SODIUM NITRITE&lt;br /&gt;&amp;diams; NITROUS ACID, SODIUM SALT</t>
  </si>
  <si>
    <t xml:space="preserve"> 143-19-1</t>
  </si>
  <si>
    <t xml:space="preserve"> SODIUM OLEATE</t>
  </si>
  <si>
    <t xml:space="preserve"> &amp;diams; SODIUM OLEATE&lt;br /&gt;&amp;diams; 9-OCTADECENOIC ACID (Z)-, SODIUM SALT&lt;br /&gt;&amp;diams; SODIUM 9-OCTADECENOATE, (Z)-&lt;br /&gt;&amp;diams; OLEIC ACID, SODIUM SALT</t>
  </si>
  <si>
    <t xml:space="preserve"> ANTICAKING AGENT OR FREE-FLOW AGENT,&lt;br /&gt; EMULSIFIER OR EMULSIFIER SALT,&lt;br /&gt; FORMULATION AID,&lt;br /&gt; STABILIZER OR THICKENER</t>
  </si>
  <si>
    <t xml:space="preserve"> 408-35-5</t>
  </si>
  <si>
    <t xml:space="preserve"> SODIUM PALMITATE</t>
  </si>
  <si>
    <t xml:space="preserve"> &amp;diams; SODIUM PALMITATE&lt;br /&gt;&amp;diams; HEXADECANOIC ACID, SODIUM SALT&lt;br /&gt;&amp;diams; SODIUM HEXADECANOATE&lt;br /&gt;&amp;diams; PALMITIC ACID, SODIUM SALT</t>
  </si>
  <si>
    <t xml:space="preserve"> ANTICAKING AGENT OR FREE-FLOW AGENT,&lt;br /&gt; FORMULATION AID,&lt;br /&gt; LUBRICANT OR RELEASE AGENT,&lt;br /&gt; STABILIZER OR THICKENER</t>
  </si>
  <si>
    <t xml:space="preserve"> 867-81-2</t>
  </si>
  <si>
    <t xml:space="preserve"> SODIUM PANTOTHENATE</t>
  </si>
  <si>
    <t xml:space="preserve"> &amp;diams; SODIUM PANTOTHENATE&lt;br /&gt;&amp;diams; SODIUM D-PANTOTHENATE&lt;br /&gt;&amp;diams; PANTOTHENIC ACID, MONOSODIUM SALT, D-&lt;br /&gt;&amp;diams; BETA-ALANINE, N-(2,4-DIHYDROXY-3,3-DIMETHYL-1-OXOBUTYL)-, MONOSODIUM SALT, (R)-&lt;br /&gt;&amp;diams; SODIUM N-(2,4-DIHYDROXY-3,3-DIMETHYL-1-OXOBUTYL)-BETA-ALANINE, (R)-</t>
  </si>
  <si>
    <t xml:space="preserve"> 9005-59-8</t>
  </si>
  <si>
    <t xml:space="preserve"> SODIUM PECTINATE</t>
  </si>
  <si>
    <t xml:space="preserve"> &amp;diams; SODIUM PECTINATE&lt;br /&gt;&amp;diams; PECTIN, SODIUM SALT</t>
  </si>
  <si>
    <t xml:space="preserve"> 54193-36-1</t>
  </si>
  <si>
    <t xml:space="preserve"> SODIUM POLYMETHACRYLATE</t>
  </si>
  <si>
    <t xml:space="preserve"> &amp;diams; SODIUM POLYMETHACRYLATE&lt;br /&gt;&amp;diams; POLY(METHACRYLIC ACID), SODIUM SALT&lt;br /&gt;&amp;diams; POLYMETHACRYLIC ACID, SODIUM SALT&lt;br /&gt;&amp;diams; SODIUM METHACRYLATE, POLYMERIZED&lt;br /&gt;&amp;diams; SODIUM POLY(2-METHYL-2-PROPENOATE)&lt;br /&gt;&amp;diams; 2-PROPENOIC ACID, 2-METHYL-, HOMPOLYMER, SODIUM SALT</t>
  </si>
  <si>
    <t xml:space="preserve"> 7722-88-5</t>
  </si>
  <si>
    <t xml:space="preserve"> SODIUM PYROPHOSPHATE</t>
  </si>
  <si>
    <t xml:space="preserve"> &amp;diams; TETRASODIUM PYROPHOSPHATE&lt;br /&gt;&amp;diams; DIPHOSPHORIC ACID, TETRASODIUM SALT&lt;br /&gt;&amp;diams; PYROPHOSPHORIC ACID, TETRASODIUM SALT&lt;br /&gt;&amp;diams; SODIUM PYROPHOSPHATE&lt;br /&gt;&amp;diams; TETRASODIUM DIPHOSPHATE&lt;br /&gt;&amp;diams; TSPP&lt;br /&gt;&amp;diams; SODIUM DIPHOSPHATE, ANHYDROUS&lt;br /&gt;&amp;diams; SODIUM DIPHOSPHATE&lt;br /&gt;&amp;diams; SODIUM PYROPHOSPHATE, TETRABASIC</t>
  </si>
  <si>
    <t xml:space="preserve"> ANTICAKING AGENT OR FREE-FLOW AGENT,&lt;br /&gt; DRYING AGENT,&lt;br /&gt; EMULSIFIER OR EMULSIFIER SALT,&lt;br /&gt; FORMULATION AID,&lt;br /&gt; HUMECTANT,&lt;br /&gt; PH CONTROL AGENT,&lt;br /&gt; SEQUESTRANT,&lt;br /&gt; STABILIZER OR THICKENER</t>
  </si>
  <si>
    <t xml:space="preserve"> 977038-15-5</t>
  </si>
  <si>
    <t xml:space="preserve"> SODIUM SALTS OF FATTY ACIDS</t>
  </si>
  <si>
    <t xml:space="preserve"> &amp;diams; FATTY ACIDS, SODIUM SALTS&lt;br /&gt;&amp;diams; HARD SOAP&lt;br /&gt;&amp;diams; SODIUM SALTS OF FATTY ACIDS&lt;br /&gt;&amp;diams; SODIUM FATTY ACID SOAP&lt;br /&gt;&amp;diams; SOAP, HARD&lt;br /&gt;&amp;diams; SODIUM SOAP&lt;br /&gt;&amp;diams; SODIUM COMPOUNDS OF FATTY ACIDS</t>
  </si>
  <si>
    <t xml:space="preserve"> 533-96-0</t>
  </si>
  <si>
    <t xml:space="preserve"> SODIUM SESQUICARBONATE</t>
  </si>
  <si>
    <t xml:space="preserve"> &amp;diams; SODIUM SESQUICARBONATE&lt;br /&gt;&amp;diams; CARBONIC ACID, SODIUM SALT (2:3)&lt;br /&gt;&amp;diams; SODIUM CARBONATE (3:2)</t>
  </si>
  <si>
    <t xml:space="preserve"> 1344-09-8</t>
  </si>
  <si>
    <t xml:space="preserve"> SODIUM SILICATE</t>
  </si>
  <si>
    <t xml:space="preserve"> &amp;diams; SODIUM SILICATE&lt;br /&gt;&amp;diams; SODIUM SESQUISILICATE&lt;br /&gt;&amp;diams; SODIUM POLYSILICATE&lt;br /&gt;&amp;diams; SILICIC ACID, SODIUM SALT</t>
  </si>
  <si>
    <t xml:space="preserve"> ANTICAKING AGENT OR FREE-FLOW AGENT,&lt;br /&gt; DRYING AGENT,&lt;br /&gt; HUMECTANT,&lt;br /&gt; PROCESSING AID</t>
  </si>
  <si>
    <t xml:space="preserve"> 822-16-2</t>
  </si>
  <si>
    <t xml:space="preserve"> SODIUM STEARATE</t>
  </si>
  <si>
    <t xml:space="preserve"> &amp;diams; SODIUM STEARATE&lt;br /&gt;&amp;diams; OCTADECANOIC ACID, SODIUM SALT&lt;br /&gt;&amp;diams; SODIUM OCTADECANOATE&lt;br /&gt;&amp;diams; STEARIC ACID, SODIUM SALT</t>
  </si>
  <si>
    <t xml:space="preserve"> ANTICAKING AGENT OR FREE-FLOW AGENT,&lt;br /&gt; EMULSIFIER OR EMULSIFIER SALT,&lt;br /&gt; FORMULATION AID,&lt;br /&gt; MASTICATORY SUBSTANCE,&lt;br /&gt; PROPELLANT,&lt;br /&gt; STABILIZER OR THICKENER</t>
  </si>
  <si>
    <t xml:space="preserve"> 25383-99-7</t>
  </si>
  <si>
    <t xml:space="preserve"> SODIUM STEAROYL-2-LACTYLATE</t>
  </si>
  <si>
    <t xml:space="preserve"> &amp;diams; 2-HEPTENYL ISOVALERATE&lt;br /&gt;&amp;diams; butanoic acid, 3-methyl-, 2-heptenyl ester&lt;br /&gt;&amp;diams; 2-heptenyl 3-methylbutanoate&lt;br /&gt;&amp;diams; InChI=1S/C12H22O2/c1-4-5-6-7-8-9-14-12(13)10-11(2)3/h7-8,11H,4-6,9-10H2,1-3H3/b8-7+&lt;br /&gt;&amp;diams; InChiKey=ACRNCNWXWBBKGP-BQYQJAHWSA-N</t>
  </si>
  <si>
    <t xml:space="preserve"> DOUGH STRENGTHENER,&lt;br /&gt; EMULSIFIER OR EMULSIFIER SALT,&lt;br /&gt; FIRMING AGENT,&lt;br /&gt; FLOUR TREATING AGENT,&lt;br /&gt; OXIDIZING OR REDUCING AGENT,&lt;br /&gt; STABILIZER OR THICKENER,&lt;br /&gt; SURFACE-ACTIVE AGENT</t>
  </si>
  <si>
    <t xml:space="preserve"> 4070-80-8</t>
  </si>
  <si>
    <t xml:space="preserve"> SODIUM STEARYL FUMARATE</t>
  </si>
  <si>
    <t xml:space="preserve"> &amp;diams; SODIUM STEARYL FUMARATE&lt;br /&gt;&amp;diams; FUMARIC ACID, MONOOCTADECYL ESTER, SODIUM SALT&lt;br /&gt;&amp;diams; SODIUM MONOSTEARYL FUMARATE&lt;br /&gt;&amp;diams; SODIUM MONOOCTADECYL 2-BUTENEDIOATE, (E)-&lt;br /&gt;&amp;diams; SODIUM MONOOCTADECYL FUMARATE&lt;br /&gt;&amp;diams; SODIUM OCTADECYL FUMARATE&lt;br /&gt;&amp;diams; 2-BUTENEDIOIC ACID (E)-, MONOOCTADECYL ESTER, SODIUM SALT</t>
  </si>
  <si>
    <t xml:space="preserve"> DOUGH STRENGTHENER,&lt;br /&gt; LEAVENING AGENT,&lt;br /&gt; LUBRICANT OR RELEASE AGENT</t>
  </si>
  <si>
    <t xml:space="preserve"> 7727-73-3</t>
  </si>
  <si>
    <t xml:space="preserve"> SODIUM SULFATE</t>
  </si>
  <si>
    <t xml:space="preserve"> &amp;diams; SODIUM SULFATE&lt;br /&gt;&amp;diams; GLAUBER'S SALT&lt;br /&gt;&amp;diams; SODIUM SULFATE DECAHYDRATE&lt;br /&gt;&amp;diams; DISODIUM SULFATE DECAHYDRATE&lt;br /&gt;&amp;diams; SULFURIC ACID DISODIUM SALT, DECAHYDRATE</t>
  </si>
  <si>
    <t xml:space="preserve"> FLAVOR ENHANCER,&lt;br /&gt; FLAVORING AGENT OR ADJUVANT,&lt;br /&gt; PH CONTROL AGENT,&lt;br /&gt; PROCESSING AID</t>
  </si>
  <si>
    <t xml:space="preserve"> 1313-82-2</t>
  </si>
  <si>
    <t xml:space="preserve"> SODIUM SULFIDE</t>
  </si>
  <si>
    <t xml:space="preserve"> &amp;diams; SODIUM SULFIDE&lt;br /&gt;&amp;diams; SODIUM SULFIDE (NA2S)&lt;br /&gt;&amp;diams; DISODIUM SULFIDE&lt;br /&gt;&amp;diams; SODIUM MONOSULFIDE</t>
  </si>
  <si>
    <t xml:space="preserve"> 7757-83-7</t>
  </si>
  <si>
    <t xml:space="preserve"> SODIUM SULFITE</t>
  </si>
  <si>
    <t xml:space="preserve"> &amp;diams; SODIUM SULFITE&lt;br /&gt;&amp;diams; SODIUM SULFITE, ANHYDROUS&lt;br /&gt;&amp;diams; SODIUM SULFITE, EXSICCATED&lt;br /&gt;&amp;diams; SULFUROUS ACID, DISODIUM SALT&lt;br /&gt;&amp;diams; DISODIUM SULFITE (NA2SO3)&lt;br /&gt;&amp;diams; SULFITE, SODIUM</t>
  </si>
  <si>
    <t xml:space="preserve"> ANTIOXIDANT,&lt;br /&gt; COLOR OR COLORING ADJUNCT,&lt;br /&gt; DOUGH STRENGTHENER,&lt;br /&gt; FLOUR TREATING AGENT,&lt;br /&gt; FORMULATION AID,&lt;br /&gt; OXIDIZING OR REDUCING AGENT,&lt;br /&gt; PH CONTROL AGENT</t>
  </si>
  <si>
    <t xml:space="preserve"> 145-42-6</t>
  </si>
  <si>
    <t xml:space="preserve"> SODIUM TAUROCHOLATE</t>
  </si>
  <si>
    <t xml:space="preserve"> &amp;diams; SODIUM TAUROCHOLATE&lt;br /&gt;&amp;diams; ETHANESULFONIC ACID, 2-(((3ALPHA,5BETA,7ALPHA,12ALPHA)-3,7,12-TRIHYDROXY-24-OXOCHOLAN-24-YL)AMINO)-, MONOSODIUM SALT&lt;br /&gt;&amp;diams; MONOSODIUM 2-(((3ALPHA,5BETA,7ALPHA,12ALPHA)-3,7,12-TRIHYDROXY-24-OXOCHOLAN-24-YL)AMINO)ETHANESULFONATE&lt;br /&gt;&amp;diams; TAURINE, N-CHOLOYL-, MONOSODIUM SALT&lt;br /&gt;&amp;diams; MONOSODIUM N-CHOLOYLTAURINATE</t>
  </si>
  <si>
    <t xml:space="preserve"> 10102-17-7</t>
  </si>
  <si>
    <t xml:space="preserve"> SODIUM THIOSULFATE</t>
  </si>
  <si>
    <t xml:space="preserve"> &amp;diams; SODIUM THIOSULFATE PENTAHYDRATE&lt;br /&gt;&amp;diams; ANTICHLOR&lt;br /&gt;&amp;diams; DISODIUM THIOSULFATE PENTAHYDRATE&lt;br /&gt;&amp;diams; THIOSULFURIC ACID (H2S2O3), DISODIUM SALT, PENTAHYDRATE</t>
  </si>
  <si>
    <t xml:space="preserve"> ANTIOXIDANT,&lt;br /&gt; FORMULATION AID,&lt;br /&gt; OXIDIZING OR REDUCING AGENT,&lt;br /&gt; SEQUESTRANT,&lt;br /&gt; STABILIZER OR THICKENER</t>
  </si>
  <si>
    <t xml:space="preserve"> 7758-29-4</t>
  </si>
  <si>
    <t xml:space="preserve"> SODIUM TRIPOLYPHOSPHATE</t>
  </si>
  <si>
    <t xml:space="preserve"> &amp;diams; SODIUM TRIPOLYPHOSPHATE&lt;br /&gt;&amp;diams; SODIUM TRIPHOSPHATE&lt;br /&gt;&amp;diams; SODIUM TRIPOLYPHOSPHATE, ANHYDROUS&lt;br /&gt;&amp;diams; STPP&lt;br /&gt;&amp;diams; TRIPHOSPHORIC ACID, PENTASODIUM SALT&lt;br /&gt;&amp;diams; SODIUM PHOSPHATE (NA5P3O10)</t>
  </si>
  <si>
    <t xml:space="preserve"> ANTICAKING AGENT OR FREE-FLOW AGENT,&lt;br /&gt; ANTIOXIDANT,&lt;br /&gt; DRYING AGENT,&lt;br /&gt; EMULSIFIER OR EMULSIFIER SALT,&lt;br /&gt; HUMECTANT,&lt;br /&gt; PH CONTROL AGENT,&lt;br /&gt; SEQUESTRANT,&lt;br /&gt; STABILIZER OR THICKENER,&lt;br /&gt; TEXTURIZER</t>
  </si>
  <si>
    <t xml:space="preserve"> 90268-03-4</t>
  </si>
  <si>
    <t xml:space="preserve"> SODIUM ZINC METASILICATE</t>
  </si>
  <si>
    <t xml:space="preserve"> &amp;diams; SODIUM ZINC METASILICATE&lt;br /&gt;&amp;diams; SILICIC ACID (H2SIO3), SODIUM ZINC SALT</t>
  </si>
  <si>
    <t xml:space="preserve"> 1338-43-8</t>
  </si>
  <si>
    <t xml:space="preserve"> SORBITAN MONOOLEATE</t>
  </si>
  <si>
    <t xml:space="preserve"> &amp;diams; SORBITAN MONOOLEATE&lt;br /&gt;&amp;diams; SORBITAN OLEATE&lt;br /&gt;&amp;diams; SORBITAN, MONO-9-OCTADECENOATE, (Z)-&lt;br /&gt;&amp;diams; SORBITAN MONO-9-OCTADECENOATE, (Z)-</t>
  </si>
  <si>
    <t xml:space="preserve"> 1338-41-6</t>
  </si>
  <si>
    <t xml:space="preserve"> SORBITAN MONOSTEARATE</t>
  </si>
  <si>
    <t xml:space="preserve"> &amp;diams; SORBITAN MONOSTEARATE&lt;br /&gt;&amp;diams; SORBITAN, MONOOCTADECANOATE&lt;br /&gt;&amp;diams; SORBITAN MONOOCTADECANOATE&lt;br /&gt;&amp;diams; STEARIC ACID, MONOESTER WITH SORBITAN&lt;br /&gt;&amp;diams; SORBITAN, MONOSTEARATE</t>
  </si>
  <si>
    <t xml:space="preserve"> EMULSIFIER OR EMULSIFIER SALT,&lt;br /&gt; FLAVORING AGENT OR ADJUVANT,&lt;br /&gt; PROCESSING AID,&lt;br /&gt; SOLVENT OR VEHICLE,&lt;br /&gt; STABILIZER OR THICKENER,&lt;br /&gt; SURFACE-ACTIVE AGENT,&lt;br /&gt; SURFACE-FINISHING AGENT</t>
  </si>
  <si>
    <t xml:space="preserve"> 50-70-4</t>
  </si>
  <si>
    <t xml:space="preserve"> D-SORBITOL</t>
  </si>
  <si>
    <t xml:space="preserve"> &amp;diams; SORBITOL&lt;br /&gt;&amp;diams; GLUCITOL, D-&lt;br /&gt;&amp;diams; SORBITOL, D-&lt;br /&gt;&amp;diams; SORBIT&lt;br /&gt;&amp;diams; SORBITE, D-&lt;br /&gt;&amp;diams; D-GLUCITOL&lt;br /&gt;&amp;diams; D-SORBITOL</t>
  </si>
  <si>
    <t xml:space="preserve"> COLOR OR COLORING ADJUNCT,&lt;br /&gt; DRYING AGENT,&lt;br /&gt; FLAVORING AGENT OR ADJUVANT,&lt;br /&gt; HUMECTANT,&lt;br /&gt; NUTRIENT SUPPLEMENT,&lt;br /&gt; NUTRITIVE SWEETENER,&lt;br /&gt; PH CONTROL AGENT,&lt;br /&gt; SOLVENT OR VEHICLE,&lt;br /&gt; STABILIZER OR THICKENER,&lt;br /&gt; TEXTURIZER</t>
  </si>
  <si>
    <t xml:space="preserve"> 87-79-6</t>
  </si>
  <si>
    <t xml:space="preserve"> SORBOSE</t>
  </si>
  <si>
    <t xml:space="preserve"> &amp;diams; SORBOSE, L-&lt;br /&gt;&amp;diams; L-SORBOSE&lt;br /&gt;&amp;diams; SORBINOSE, L-</t>
  </si>
  <si>
    <t xml:space="preserve"> 977038-88-2</t>
  </si>
  <si>
    <t xml:space="preserve"> SOYA BEAN OIL FATTY ACIDS, HYDROXYLATED</t>
  </si>
  <si>
    <t xml:space="preserve"> &amp;diams; SOYBEAN OIL FATTY ACIDS, HYDROXYLATED</t>
  </si>
  <si>
    <t xml:space="preserve"> EMULSIFIER OR EMULSIFIER SALT,&lt;br /&gt; SOLVENT OR VEHICLE,&lt;br /&gt; TEXTURIZER</t>
  </si>
  <si>
    <t xml:space="preserve"> 61791-24-0</t>
  </si>
  <si>
    <t xml:space="preserve"> SOYA FATTY ACID AMINE, ETHOXYLATED</t>
  </si>
  <si>
    <t xml:space="preserve"> &amp;diams; PEG SOYBEAN OIL FATTY AMINE&lt;br /&gt;&amp;diams; AMINES, SOYA ALKYL, ETHOXYLATED&lt;br /&gt;&amp;diams; PEG SOYAMINE&lt;br /&gt;&amp;diams; SOYA FATTY ACID AMINE, ETHOXYLATED&lt;br /&gt;&amp;diams; SOYBEAN OIL FATTY AMINE, ETHOXYLATED</t>
  </si>
  <si>
    <t xml:space="preserve"> 8013-07-8</t>
  </si>
  <si>
    <t xml:space="preserve"> SOYBEAN OIL, EPOXIDIZED</t>
  </si>
  <si>
    <t xml:space="preserve"> &amp;diams; SOYBEAN OIL, EPOXIDIZED&lt;br /&gt;&amp;diams; EPOXIDIZED SOYATE&lt;br /&gt;&amp;diams; EPOXIDIZED SOYBEAN OIL</t>
  </si>
  <si>
    <t xml:space="preserve"> FORMULATION AID,&lt;br /&gt; LUBRICANT OR RELEASE AGENT,&lt;br /&gt; STABILIZER OR THICKENER</t>
  </si>
  <si>
    <t xml:space="preserve"> 8016-70-4</t>
  </si>
  <si>
    <t xml:space="preserve"> SOYBEAN OIL, HYDROGENATED</t>
  </si>
  <si>
    <t xml:space="preserve"> &amp;diams; SOYBEAN OIL, HYDROGENATED&lt;br /&gt;&amp;diams; OIL, HYDROGENATED SOYBEAN&lt;br /&gt;&amp;diams; SOYBEAN OIL, HARDENED&lt;br /&gt;&amp;diams; SOYA BEAN OIL FATTY ACIDS, HYDROGENATED</t>
  </si>
  <si>
    <t xml:space="preserve"> COLOR OR COLORING ADJUNCT,&lt;br /&gt; FLAVOR ENHANCER,&lt;br /&gt; FLAVORING AGENT OR ADJUVANT,&lt;br /&gt; FORMULATION AID,&lt;br /&gt; NUTRIENT SUPPLEMENT,&lt;br /&gt; SOLVENT OR VEHICLE,&lt;br /&gt; STABILIZER OR THICKENER,&lt;br /&gt; TEXTURIZER</t>
  </si>
  <si>
    <t xml:space="preserve"> 977187-36-2</t>
  </si>
  <si>
    <t xml:space="preserve"> SOY PROTEIN CONCENTRATE, ENZYME ACTIVATED</t>
  </si>
  <si>
    <t xml:space="preserve"> NUTRIENT SUPPLEMENT,&lt;br /&gt; STABILIZER OR THICKENER,&lt;br /&gt; TEXTURIZER</t>
  </si>
  <si>
    <t xml:space="preserve"> 977076-84-8</t>
  </si>
  <si>
    <t xml:space="preserve"> SOY PROTEIN, ISOLATE</t>
  </si>
  <si>
    <t xml:space="preserve"> &amp;diams; SOY PROTEIN ISOLATE&lt;br /&gt;&amp;diams; SOYBEAN PROTEIN ISOLATE&lt;br /&gt;&amp;diams; SOY PROTEIN, ISOLATED&lt;br /&gt;&amp;diams; ISOLATED SOY PROTEIN&lt;br /&gt;&amp;diams; SOY PROTEIN, ISOLATES&lt;br /&gt;&amp;diams; SOYA PROTEIN ISOLATES&lt;br /&gt;&amp;diams; SOY PROTEIN ISOLATE, ALKALI-TREATED</t>
  </si>
  <si>
    <t xml:space="preserve"> EMULSIFIER OR EMULSIFIER SALT,&lt;br /&gt; FORMULATION AID,&lt;br /&gt; NUTRIENT SUPPLEMENT,&lt;br /&gt; STABILIZER OR THICKENER,&lt;br /&gt; TEXTURIZER</t>
  </si>
  <si>
    <t xml:space="preserve"> 84696-51-5</t>
  </si>
  <si>
    <t xml:space="preserve"> SPEARMINT, EXTRACT (MENTHA SPICATA L.)</t>
  </si>
  <si>
    <t xml:space="preserve"> &amp;diams; SPEARMINT EXTRACT&lt;br /&gt;&amp;diams; MENTHA SPICATA EXTRACT&lt;br /&gt;&amp;diams; SPEARMINT, EXT.&lt;br /&gt;&amp;diams; MENTHA VIRIDIS EXTRACT</t>
  </si>
  <si>
    <t xml:space="preserve"> 977002-61-1</t>
  </si>
  <si>
    <t xml:space="preserve"> SPEARMINT (MENTHA SPICATA L.)</t>
  </si>
  <si>
    <t xml:space="preserve"> &amp;diams; SPEARMINT&lt;br /&gt;&amp;diams; MENTHA SPICATA&lt;br /&gt;&amp;diams; MENTHA VIRIDIS&lt;br /&gt;&amp;diams; MENTHE VERTE (MENTHE SPICATA)</t>
  </si>
  <si>
    <t xml:space="preserve"> 8008-79-5</t>
  </si>
  <si>
    <t xml:space="preserve"> SPEARMINT, OIL (MENTHA SPICATA L.)</t>
  </si>
  <si>
    <t xml:space="preserve"> &amp;diams; SPEARMINT OIL&lt;br /&gt;&amp;diams; OILS, SPEARMINT&lt;br /&gt;&amp;diams; MENTHA VIRIDIS OIL&lt;br /&gt;&amp;diams; MENTHA SPICATA OIL</t>
  </si>
  <si>
    <t xml:space="preserve"> 8002-24-2</t>
  </si>
  <si>
    <t xml:space="preserve"> SPERM OIL</t>
  </si>
  <si>
    <t xml:space="preserve"> &amp;diams; SPERM OIL&lt;br /&gt;&amp;diams; SPERM WHALE OIL&lt;br /&gt;&amp;diams; OILS, GLYCERIDIC, SPERM</t>
  </si>
  <si>
    <t xml:space="preserve"> 8016-73-7</t>
  </si>
  <si>
    <t xml:space="preserve"> SPERM OIL, HYDROGENATED</t>
  </si>
  <si>
    <t xml:space="preserve"> &amp;diams; SPERM OIL, HYDROGENATED&lt;br /&gt;&amp;diams; HYDROGENATED SPERM OIL&lt;br /&gt;&amp;diams; OILS, SPERM, HYDROGENATED</t>
  </si>
  <si>
    <t xml:space="preserve"> 977071-52-5</t>
  </si>
  <si>
    <t xml:space="preserve"> SPIKENARD EXTRACT</t>
  </si>
  <si>
    <t xml:space="preserve"> &amp;diams; ARALIA EXTRACT&lt;br /&gt;&amp;diams; SPIKENARD EXTRACT</t>
  </si>
  <si>
    <t xml:space="preserve"> 38325-25-6</t>
  </si>
  <si>
    <t xml:space="preserve"> SPIRO(2,4-DITHIA-1-METHYL-8-OXABICYCLO(3.3.0)OCTANE-3,3'-(1'-OXA-2'-METHYL)CYCLOPENTANE)</t>
  </si>
  <si>
    <t xml:space="preserve"> &amp;diams; SPIRO(2,4-DITHIA-1-METHYL-8-OXABICYCLO(3.3.0)OCTANE-3,3'-(1'-OXA-2'-METHYL)CYCLOPENTANE)&lt;br /&gt;&amp;diams; HEXAHYDRO-2',3A-DIMETHYLSPIRO(1,3-DITHIOLO(4,5-B)FURAN-2,3'(2'H)-FURAN)&lt;br /&gt;&amp;diams; SPIRO(1,3-DITHIOLO(4,5-B)FURAN-2,3'(2'H)-FURAN), HEXAHYDRO-2',3A-DIMETHYL-</t>
  </si>
  <si>
    <t xml:space="preserve"> 977091-09-0</t>
  </si>
  <si>
    <t xml:space="preserve"> spirulina extract</t>
  </si>
  <si>
    <t xml:space="preserve"> &amp;diams; spirulina extract</t>
  </si>
  <si>
    <t xml:space="preserve"> 977062-73-9</t>
  </si>
  <si>
    <t xml:space="preserve"> SPRUCE NEEDLES AND TWIGS, EXTRACT (PICEA SPP.)</t>
  </si>
  <si>
    <t xml:space="preserve"> &amp;diams; SPRUCE NEEDLE EXTRACT&lt;br /&gt;&amp;diams; SPRUCE NEEDLE AND TWIGS EXTRACT</t>
  </si>
  <si>
    <t xml:space="preserve"> 8008-80-8</t>
  </si>
  <si>
    <t xml:space="preserve"> SPRUCE NEEDLES AND TWIGS, OIL (PICEA SPP.)</t>
  </si>
  <si>
    <t xml:space="preserve"> &amp;diams; SPRUCE OIL&lt;br /&gt;&amp;diams; SPRUCE NEEDLE AND TWIG OIL&lt;br /&gt;&amp;diams; OILS, SPRUCE</t>
  </si>
  <si>
    <t xml:space="preserve"> 1119711-29-3</t>
  </si>
  <si>
    <t xml:space="preserve"> (2S,5R)-N-[4-(2-AMINO-2-OXOETHYL)PHENYL]-5-METHYL-2-(PROPAN-2-YL)CYCLOHEXANECARBOXAMIDE</t>
  </si>
  <si>
    <t xml:space="preserve"> &amp;diams; 4-((((2S,5R)-5-METHYL-2-(1-METHYLETHYL)CYCLOHEXYL)CARBONYL)AMINO)BENZENEACETAMIDE&lt;br /&gt;&amp;diams; benzeneacetamide, 4-((((2S,5R)-5-methyl-2-(1-methylethyl)cyclohexyl)carbonyl)amino-&lt;br /&gt;&amp;diams; N-(4-(2-amino-2-oxoethyl)phenyl)-5-methyl-2-(propan-2-yl)cyclohexanecarboxamide, (2S,5R)-</t>
  </si>
  <si>
    <t xml:space="preserve"> 7646-78-8</t>
  </si>
  <si>
    <t xml:space="preserve"> STANNIC CHLORIDE</t>
  </si>
  <si>
    <t xml:space="preserve"> &amp;diams; TIN(IV) CHLORIDE&lt;br /&gt;&amp;diams; STANNIC CHLORIDE, ANHYDROUS&lt;br /&gt;&amp;diams; TETRACHLOROTIN&lt;br /&gt;&amp;diams; TIN TETRACHLORIDE&lt;br /&gt;&amp;diams; TETRACHLOROSTANNANE&lt;br /&gt;&amp;diams; STANNANE, TETRACHLORO-&lt;br /&gt;&amp;diams; TIN CHLORIDE (SNCL4)</t>
  </si>
  <si>
    <t xml:space="preserve"> 7772-99-8</t>
  </si>
  <si>
    <t xml:space="preserve"> STANNOUS CHLORIDE</t>
  </si>
  <si>
    <t xml:space="preserve"> &amp;diams; TIN(II) CHLORIDE&lt;br /&gt;&amp;diams; STANNOUS CHLORIDE, ANHYDROUS&lt;br /&gt;&amp;diams; TIN DICHLORIDE&lt;br /&gt;&amp;diams; TIN CHLORIDE (SNCL2)</t>
  </si>
  <si>
    <t xml:space="preserve"> 65996-63-6</t>
  </si>
  <si>
    <t xml:space="preserve"> STARCH, ACID MODIFIED</t>
  </si>
  <si>
    <t xml:space="preserve"> &amp;diams; STARCH, ACID-MODIFIED&lt;br /&gt;&amp;diams; ACID-TREATED STARCH&lt;br /&gt;&amp;diams; STARCH, ACID-HYDROLYZED&lt;br /&gt;&amp;diams; STARCH, ACID-TREATED&lt;br /&gt;&amp;diams; STARCH, THIN-BOILING</t>
  </si>
  <si>
    <t xml:space="preserve"> 977162-55-2</t>
  </si>
  <si>
    <t xml:space="preserve"> STARCH, ALPHA-AMYLASE MODIFIED</t>
  </si>
  <si>
    <t xml:space="preserve"> &amp;diams; STARCH, ALPHA-AMYLASE MODIFIED</t>
  </si>
  <si>
    <t xml:space="preserve"> 977075-42-5</t>
  </si>
  <si>
    <t xml:space="preserve"> STARCH, BLEACHED</t>
  </si>
  <si>
    <t xml:space="preserve"> &amp;diams; STARCH, BLEACHED&lt;br /&gt;&amp;diams; BLEACHED STARCH</t>
  </si>
  <si>
    <t xml:space="preserve"> 977052-18-8</t>
  </si>
  <si>
    <t xml:space="preserve"> STARCH, FOOD, MODIFIED</t>
  </si>
  <si>
    <t xml:space="preserve"> &amp;diams; FOOD STARCH, MODIFIED&lt;br /&gt;&amp;diams; STARCH, FOOD, MODIFIED</t>
  </si>
  <si>
    <t xml:space="preserve"> ANTICAKING AGENT OR FREE-FLOW AGENT,&lt;br /&gt; DRYING AGENT,&lt;br /&gt; EMULSIFIER OR EMULSIFIER SALT,&lt;br /&gt; FLAVOR ENHANCER,&lt;br /&gt; FLAVORING AGENT OR ADJUVANT,&lt;br /&gt; HUMECTANT,&lt;br /&gt; NUTRIENT SUPPLEMENT,&lt;br /&gt; SOLVENT OR VEHICLE,&lt;br /&gt; STABILIZER OR THICKENER</t>
  </si>
  <si>
    <t xml:space="preserve"> 155.130 ,  169.150 ,  169.179</t>
  </si>
  <si>
    <t xml:space="preserve"> 63798-35-6</t>
  </si>
  <si>
    <t xml:space="preserve"> STARCH, FOOD, MODIFIED:  ACETYLATED DISTARCH ADIPATE</t>
  </si>
  <si>
    <t xml:space="preserve"> &amp;diams; DISTARCH ADIPATE, ACETYLATED&lt;br /&gt;&amp;diams; ACETYLATED DISTARCH ADIPATE&lt;br /&gt;&amp;diams; STARCH, ACETATE HEXANEDIOATE</t>
  </si>
  <si>
    <t xml:space="preserve"> 53123-84-5</t>
  </si>
  <si>
    <t xml:space="preserve"> STARCH, FOOD, MODIFIED:  ACETYLATED DISTARCH GLYCEROL</t>
  </si>
  <si>
    <t xml:space="preserve"> &amp;diams; DISTARCH GLYCEROL, ACETYLATED&lt;br /&gt;&amp;diams; ACETYLATED DISTARCH GLYCEROL&lt;br /&gt;&amp;diams; STARCH, ACETATE, ETHER WITH 1,2,3-PROPANETRIOL (2:1)</t>
  </si>
  <si>
    <t xml:space="preserve"> 977120-10-7</t>
  </si>
  <si>
    <t xml:space="preserve"> STARCH, FOOD, MODIFIED: ACETYLATED DISTARCH OXYPROPANOL</t>
  </si>
  <si>
    <t xml:space="preserve"> &amp;diams; DISTARCH OXYPROPANOL, ACETYLATED&lt;br /&gt;&amp;diams; ACETYLATED DISTARCH OXYPROPANOL</t>
  </si>
  <si>
    <t xml:space="preserve"> 68130-14-3</t>
  </si>
  <si>
    <t xml:space="preserve"> STARCH, FOOD, MODIFIED:  ACETYLATED DISTARCH PHOSPHATE</t>
  </si>
  <si>
    <t xml:space="preserve"> &amp;diams; DISTARCH PHOSPHATE, ACETYLATED&lt;br /&gt;&amp;diams; ACETYLATED DISTARCH PHOSPHATE&lt;br /&gt;&amp;diams; STARCH, ACETATE HYDROGEN PHOSPHATE</t>
  </si>
  <si>
    <t xml:space="preserve"> 977186-01-8</t>
  </si>
  <si>
    <t xml:space="preserve"> STARCH, FOOD, MODIFIED: BETA-AMYLASE MODIFIED STARCH</t>
  </si>
  <si>
    <t xml:space="preserve"> &amp;diams; STARCH, BETA-AMYLASE MODIFIED</t>
  </si>
  <si>
    <t xml:space="preserve"> 977164-78-5</t>
  </si>
  <si>
    <t xml:space="preserve"> STARCH, FOOD, MODIFIED: BETA-AMYLASE SODIUM STARCH OCTENYLSUCCINATE</t>
  </si>
  <si>
    <t xml:space="preserve"> &amp;diams; SODIUM STARCH OCTENYLSUCCINATE, BETA-AMYLASE TREATED&lt;br /&gt;&amp;diams; STARCH SODIUM OCTENYLSUCCINATE, BETA-AMYLASE TREATED</t>
  </si>
  <si>
    <t xml:space="preserve"> 58944-89-1</t>
  </si>
  <si>
    <t xml:space="preserve"> STARCH, FOOD, MODIFIED:  DISTARCH GLYCEROL</t>
  </si>
  <si>
    <t xml:space="preserve"> &amp;diams; DISTARCH GLYCEROL&lt;br /&gt;&amp;diams; STARCH, POLYMER WITH (CHLOROMETHYL)OXIRANE&lt;br /&gt;&amp;diams; POLY(EPICHLOROHYDRIN-CO-STARCH)&lt;br /&gt;&amp;diams; POLY((CHLOROMETHYL)OXIRANE-CO-STARCH)</t>
  </si>
  <si>
    <t xml:space="preserve"> 977043-57-4</t>
  </si>
  <si>
    <t xml:space="preserve"> STARCH, FOOD, MODIFIED:  DISTARCH OXYPROPANOL</t>
  </si>
  <si>
    <t xml:space="preserve"> &amp;diams; DISTARCH OXYPROPANOL</t>
  </si>
  <si>
    <t xml:space="preserve"> 977088-75-7</t>
  </si>
  <si>
    <t xml:space="preserve"> STARCH, FOOD, MODIFIED:  DISTARCH PHOSPHATE (FROM PHOSPHORUS OXYCHLORIDE)</t>
  </si>
  <si>
    <t xml:space="preserve"> &amp;diams; DISTARCH PHOSPHATE, FROM PHOSPHORUS OXYCHLORIDE&lt;br /&gt;&amp;diams; DISTARCH PHOSPHATE PO</t>
  </si>
  <si>
    <t xml:space="preserve"> 977088-74-6</t>
  </si>
  <si>
    <t xml:space="preserve"> STARCH, FOOD, MODIFIED:  DISTARCH PHOSPHATE (FROM SODIUM TRIMETAPHOSPHATE)</t>
  </si>
  <si>
    <t xml:space="preserve"> &amp;diams; DISTARCH PHOSPHATE, FROM SODIUM TRIMETAPHOSPHATE&lt;br /&gt;&amp;diams; DISTARCH PHOSPHATE ST</t>
  </si>
  <si>
    <t xml:space="preserve"> 977186-02-9</t>
  </si>
  <si>
    <t xml:space="preserve"> STARCH, FOOD, MODIFIED:GLUCOAMYLASE MODIFIED STARCH</t>
  </si>
  <si>
    <t xml:space="preserve"> &amp;diams; STARCH, GLUCOAMYLASE MODIFIED</t>
  </si>
  <si>
    <t xml:space="preserve"> 59419-60-2</t>
  </si>
  <si>
    <t xml:space="preserve"> STARCH, FOOD, MODIFIED:  HYDROXYPROPYL DISTARCH GLYCEROL</t>
  </si>
  <si>
    <t xml:space="preserve"> &amp;diams; HYDROXYPROPYL DISTARCH GLYCEROL&lt;br /&gt;&amp;diams; DISTARCH GLYCEROL, HYDROXYPROPYLATED&lt;br /&gt;&amp;diams; POLY(EPICHLOROHYDRIN-CO-PROPYLENE OXIDE-CO-STARCH)&lt;br /&gt;&amp;diams; POLY((CHLOROMETHYL)OXIRANE-CO-METHYLOXIRANE-CO-STARCH)&lt;br /&gt;&amp;diams; STARCH, POLYMER WITH (CHLOROMETHYL)OXIRANE AND METHYLOXIRANE</t>
  </si>
  <si>
    <t xml:space="preserve"> 53124-00-8</t>
  </si>
  <si>
    <t xml:space="preserve"> STARCH, FOOD, MODIFIED:  HYDROXYPROPYL DISTARCH PHOSPHATE</t>
  </si>
  <si>
    <t xml:space="preserve"> &amp;diams; HYDROXYPROPYL DISTARCH PHOSPHATE&lt;br /&gt;&amp;diams; DISTARCH PHOSPHATE, HYDROXYPROPYLATED&lt;br /&gt;&amp;diams; HYDROXYPROPYL STARCH PHOSPHATE&lt;br /&gt;&amp;diams; STARCH, HYDROGEN PHOSPHATE, 2-HYDROXYPROPYL ETHER&lt;br /&gt;&amp;diams; 2-HYDROXYPROPYL STARCH HYDROGEN PHOSPHATE</t>
  </si>
  <si>
    <t xml:space="preserve"> 9049-76-7</t>
  </si>
  <si>
    <t xml:space="preserve"> STARCH, FOOD, MODIFIED:  HYDROXYPROPYL STARCH</t>
  </si>
  <si>
    <t xml:space="preserve"> &amp;diams; HYDROXYPROPYL STARCH&lt;br /&gt;&amp;diams; STARCH, 2-HYDROXYPROPYL ETHER&lt;br /&gt;&amp;diams; STARCH, HYDROXYPROPYLATED</t>
  </si>
  <si>
    <t xml:space="preserve"> 977186-03-0</t>
  </si>
  <si>
    <t xml:space="preserve"> STARCH, FOOD, MODIFIED: ISOAMYLASE MODIFIED STARCH</t>
  </si>
  <si>
    <t xml:space="preserve"> &amp;diams; STARCH, ISOAMYLASE MODIFIED</t>
  </si>
  <si>
    <t xml:space="preserve"> 68412-86-2</t>
  </si>
  <si>
    <t xml:space="preserve"> STARCH, FOOD, MODIFIED:  OXIDIZED HYDROXYPROPYL STARCH</t>
  </si>
  <si>
    <t xml:space="preserve"> &amp;diams; HYDROXYPROPYL STARCH, OXIDIZED&lt;br /&gt;&amp;diams; STARCH, 2-HYDROXYPROPYL ETHER, OXIDIZED&lt;br /&gt;&amp;diams; STARCH, OXIDIZED HYDROXYPROPYLATED</t>
  </si>
  <si>
    <t xml:space="preserve"> 65996-62-5</t>
  </si>
  <si>
    <t xml:space="preserve"> STARCH, FOOD, MODIFIED:  OXIDIZED STARCHES</t>
  </si>
  <si>
    <t xml:space="preserve"> &amp;diams; STARCH, OXIDIZED&lt;br /&gt;&amp;diams; OXIDIZED STARCH&lt;br /&gt;&amp;diams; STARCH, DEGRADATED BY OXIDATION</t>
  </si>
  <si>
    <t xml:space="preserve"> 977043-58-5</t>
  </si>
  <si>
    <t xml:space="preserve"> STARCH, FOOD, MODIFIED:  PHOSPHATED DISTARCH PHOSPHATE</t>
  </si>
  <si>
    <t xml:space="preserve"> &amp;diams; DISTARCH PHOSPHATE, PHOSPHATED&lt;br /&gt;&amp;diams; PHOSPHATED DISTARCH PHOSPHATE&lt;br /&gt;&amp;diams; PHOSPHATED STARCH PHOSPHATE</t>
  </si>
  <si>
    <t xml:space="preserve"> 977186-04-1</t>
  </si>
  <si>
    <t xml:space="preserve"> STARCH, FOOD, MODIFIED: PULLULANASE MODIFIED STARCH</t>
  </si>
  <si>
    <t xml:space="preserve"> &amp;diams; STARCH, PULLULANASE MODIFIED</t>
  </si>
  <si>
    <t xml:space="preserve"> 9045-28-7</t>
  </si>
  <si>
    <t xml:space="preserve"> STARCH, FOOD, MODIFIED:  STARCH ACETATE</t>
  </si>
  <si>
    <t xml:space="preserve"> &amp;diams; STARCH ACETATE&lt;br /&gt;&amp;diams; STARCH, ACETATE&lt;br /&gt;&amp;diams; STARCH, ACETYLATED&lt;br /&gt;&amp;diams; ACETYLATED STARCH</t>
  </si>
  <si>
    <t xml:space="preserve"> 9087-61-0</t>
  </si>
  <si>
    <t xml:space="preserve"> STARCH, FOOD, MODIFIED:  STARCH ALUMINUM OCTENYL SUCCINATE</t>
  </si>
  <si>
    <t xml:space="preserve"> &amp;diams; ALUMINUM STARCH OCTENYLSUCCINATE&lt;br /&gt;&amp;diams; ALUMINUM HYDROGEN OCTENYLBUTANEDIOATE&lt;br /&gt;&amp;diams; STARCH ALUMINUM OCTENYLSUCCINATE&lt;br /&gt;&amp;diams; STARCH, HYDROGEN OCTENYLBUTANEDIOATE, ALUMINUM SALT</t>
  </si>
  <si>
    <t xml:space="preserve"> 11120-02-8</t>
  </si>
  <si>
    <t xml:space="preserve"> STARCH, FOOD, MODIFIED:  STARCH PHOSPHATE</t>
  </si>
  <si>
    <t xml:space="preserve"> &amp;diams; STARCH PHOSPHATE&lt;br /&gt;&amp;diams; STARCH, PHOSPHATE</t>
  </si>
  <si>
    <t xml:space="preserve"> 66829-29-6</t>
  </si>
  <si>
    <t xml:space="preserve"> STARCH, FOOD, MODIFIED:  STARCH SODIUM OCTENYL SUCCINATE</t>
  </si>
  <si>
    <t xml:space="preserve"> &amp;diams; SODIUM STARCH OCTENYLSUCCINATE&lt;br /&gt;&amp;diams; STARCH SODIUM OCTENYLSUCCINATE&lt;br /&gt;&amp;diams; STARCH, HYDROGEN OCTENYLBUTANEDIOATE, SODIUM SALT&lt;br /&gt;&amp;diams; SODIUM OCTENYLSUCCINATE STARCH&lt;br /&gt;&amp;diams; STARCH OCTENYLSUCCINIC ANHYDRIDE MODIFIED&lt;br /&gt;&amp;diams; SODIUM STARCH HYDROGEN OCTENYLBUTANEDIOATE_x000D_
</t>
  </si>
  <si>
    <t xml:space="preserve"> 37231-92-8</t>
  </si>
  <si>
    <t xml:space="preserve"> STARCH, FOOD, MODIFIED:  STARCH SODIUM SUCCINATE</t>
  </si>
  <si>
    <t xml:space="preserve"> &amp;diams; SODIUM STARCH SUCCINATE&lt;br /&gt;&amp;diams; STARCH SODIUM SUCCINATE&lt;br /&gt;&amp;diams; STARCH, HYDROGEN BUTANEDIOATE, SODIUM SALT&lt;br /&gt;&amp;diams; SODIUM STARCH HYDROGEN BUTANEDIOATE</t>
  </si>
  <si>
    <t xml:space="preserve"> 977043-59-6</t>
  </si>
  <si>
    <t xml:space="preserve"> STARCH, FOOD, MODIFIED:  SUCCINYL DISTARCH GLYCEROL</t>
  </si>
  <si>
    <t xml:space="preserve"> &amp;diams; SUCCINYL DISTARCH GLYCEROL</t>
  </si>
  <si>
    <t xml:space="preserve"> 977050-93-3</t>
  </si>
  <si>
    <t xml:space="preserve"> STARCH, PREGELATINIZED</t>
  </si>
  <si>
    <t xml:space="preserve"> &amp;diams; STARCH, PREGELATINIZED</t>
  </si>
  <si>
    <t xml:space="preserve"> 9005-25-8</t>
  </si>
  <si>
    <t xml:space="preserve"> STARCH, UNMODIFIED</t>
  </si>
  <si>
    <t xml:space="preserve"> &amp;diams; STARCH&lt;br /&gt;&amp;diams; STARCH, UNMODIFIED&lt;br /&gt;&amp;diams; AMIDON&lt;br /&gt;&amp;diams; FOOD STARCH, UNMODIFIED</t>
  </si>
  <si>
    <t xml:space="preserve"> ANTICAKING AGENT OR FREE-FLOW AGENT,&lt;br /&gt; DRYING AGENT,&lt;br /&gt; FORMULATION AID,&lt;br /&gt; HUMECTANT,&lt;br /&gt; LEAVENING AGENT,&lt;br /&gt; LUBRICANT OR RELEASE AGENT,&lt;br /&gt; STABILIZER OR THICKENER,&lt;br /&gt; TEXTURIZER</t>
  </si>
  <si>
    <t xml:space="preserve"> 137.105 ,  155.130 ,  169.150 ,  169.179</t>
  </si>
  <si>
    <t xml:space="preserve"> 57-11-4</t>
  </si>
  <si>
    <t xml:space="preserve"> STEARIC ACID</t>
  </si>
  <si>
    <t xml:space="preserve"> &amp;diams; STEARIC ACID&lt;br /&gt;&amp;diams; STEARIC ACID 37.5%&lt;br /&gt;&amp;diams; STEARIC ACID 42.5%&lt;br /&gt;&amp;diams; STEARIC ACID 95%&lt;br /&gt;&amp;diams; OCTADECANOIC ACID&lt;br /&gt;&amp;diams; C18 FATTY ACID</t>
  </si>
  <si>
    <t xml:space="preserve"> EMULSIFIER OR EMULSIFIER SALT,&lt;br /&gt; FLAVORING AGENT OR ADJUVANT,&lt;br /&gt; FORMULATION AID,&lt;br /&gt; LUBRICANT OR RELEASE AGENT,&lt;br /&gt; MASTICATORY SUBSTANCE,&lt;br /&gt; SURFACE-ACTIVE AGENT</t>
  </si>
  <si>
    <t xml:space="preserve"> 112-92-5</t>
  </si>
  <si>
    <t xml:space="preserve"> STEARYL ALCOHOL</t>
  </si>
  <si>
    <t xml:space="preserve"> &amp;diams; STEARYL ALCOHOL&lt;br /&gt;&amp;diams; 1-OCTADECANOL&lt;br /&gt;&amp;diams; ALCOHOL(C18)&lt;br /&gt;&amp;diams; OCTADECYL ALCOHOL&lt;br /&gt;&amp;diams; C18 ALCOHOL&lt;br /&gt;&amp;diams; FATTY ALCOHOL(C18)&lt;br /&gt;&amp;diams; 1-HYDROXYOCTADECANE&lt;br /&gt;&amp;diams; STEARIC ALCOHOL</t>
  </si>
  <si>
    <t xml:space="preserve"> SURFACE-FINISHING AGENT,&lt;br /&gt; TEXTURIZER</t>
  </si>
  <si>
    <t xml:space="preserve"> 977187-37-3</t>
  </si>
  <si>
    <t xml:space="preserve"> STEARYL ALCOHOL, PLUS BEESWAX</t>
  </si>
  <si>
    <t xml:space="preserve"> 1337-33-3</t>
  </si>
  <si>
    <t xml:space="preserve"> STEARYL CITRATE</t>
  </si>
  <si>
    <t xml:space="preserve"> &amp;diams; STEARYL CITRATE&lt;br /&gt;&amp;diams; 1,2,3-PROPANETRICARBOXYLIC ACID, 2-HYDROXY-, OCTADECYL ESTER&lt;br /&gt;&amp;diams; OCTADECYL 2-HYDROXY-1,2,3-PROPANETRICARBOXYLATE</t>
  </si>
  <si>
    <t xml:space="preserve"> ANTIOXIDANT,&lt;br /&gt; EMULSIFIER OR EMULSIFIER SALT,&lt;br /&gt; SEQUESTRANT,&lt;br /&gt; SURFACE-ACTIVE AGENT</t>
  </si>
  <si>
    <t xml:space="preserve"> 55840-13-6</t>
  </si>
  <si>
    <t xml:space="preserve"> STEARYL MONOGLYCERIDYL CITRATE</t>
  </si>
  <si>
    <t xml:space="preserve"> &amp;diams; STEARYL MONOGLYCERIDYL CITRATE&lt;br /&gt;&amp;diams; MONOSTEARIN CITRATE&lt;br /&gt;&amp;diams; 1,2,3-PROPANETRICARBOXYLIC ACID, 2-HYDROXY-, ESTER WITH 1,2,3-PROPANETRIOL MONOOCTADECANOATE&lt;br /&gt;&amp;diams; 1,2,3-PROPANETRIOL MONOOCTADECANOATE 1,2,3-PROPANETRICARBOXYLATE</t>
  </si>
  <si>
    <t xml:space="preserve"> 252736-39-3</t>
  </si>
  <si>
    <t xml:space="preserve"> S-(TETRAHYDRO-2,5-DIMETHYL-3-FURANYL) ETHANETHIOATE</t>
  </si>
  <si>
    <t xml:space="preserve"> &amp;diams; S-(TETRAHYDRO-2,5-DIMETHYL-3-FURANYL) ETHANETHIOATE&lt;br /&gt;&amp;diams; ETHANETHIOIC ACID, S-(TETRAHYDRO-2,5-DIMETHYL-3-FURANYL) ESTER&lt;br /&gt;&amp;diams; 2,5-DIMETHYLTETRAHYDRO-3-FURYL THIOACETATE</t>
  </si>
  <si>
    <t xml:space="preserve"> 977092-96-8</t>
  </si>
  <si>
    <t xml:space="preserve"> ST. JOHNSWORT LEAVES, FLOWERS AND CAULIS (HYPERICUM PERFORATUML.)</t>
  </si>
  <si>
    <t xml:space="preserve"> &amp;diams; ST. JOHN'S WORT LEAF, FLOWER AND CAULIS</t>
  </si>
  <si>
    <t xml:space="preserve"> 977029-80-3</t>
  </si>
  <si>
    <t xml:space="preserve"> STORAX EXTRACT (LIQUIDAMBAR SPP.)</t>
  </si>
  <si>
    <t xml:space="preserve"> &amp;diams; STORAX EXTRACT&lt;br /&gt;&amp;diams; STYRAX EXTRACT</t>
  </si>
  <si>
    <t xml:space="preserve"> 8046-19-3</t>
  </si>
  <si>
    <t xml:space="preserve"> STORAX (LIQUIDAMBAR SPP.)</t>
  </si>
  <si>
    <t xml:space="preserve"> &amp;diams; STORAX&lt;br /&gt;&amp;diams; STYRAX&lt;br /&gt;&amp;diams; SWEET GUM&lt;br /&gt;&amp;diams; STORAX GUM&lt;br /&gt;&amp;diams; STORAX (BALSAM)</t>
  </si>
  <si>
    <t xml:space="preserve"> 8024-01-9</t>
  </si>
  <si>
    <t xml:space="preserve"> STORAX OIL</t>
  </si>
  <si>
    <t xml:space="preserve"> &amp;diams; STORAX OIL&lt;br /&gt;&amp;diams; STYRAX OIL&lt;br /&gt;&amp;diams; OILS, STYRAX</t>
  </si>
  <si>
    <t xml:space="preserve"> 68442-37-5</t>
  </si>
  <si>
    <t xml:space="preserve"> STYRENE-DIVINYLBENZENE-ACRYLONITRILE, SULFONATED TERPOLYMER</t>
  </si>
  <si>
    <t xml:space="preserve"> &amp;diams; POLY(ACRYLONITRILE-CO-DIVINYLBENZENE-CO-STYRENE), SULFONATED&lt;br /&gt;&amp;diams; POLY(DIETHENYLBENZENE-CO-ETHENYLBENZENE-CO-2-PROPENENITRILE), SULFONATED&lt;br /&gt;&amp;diams; STYRENE-DIVINYLBENZENE-ACRYLONITRILE TERPOLYMER, SULFONATED&lt;br /&gt;&amp;diams; 2-PROPENENITRILE, POLYMER WITH DIETHENYLBENZENE AND ETHENYLBENZENE, SULFONATED</t>
  </si>
  <si>
    <t xml:space="preserve"> 977089-33-0</t>
  </si>
  <si>
    <t xml:space="preserve"> STYRENE-DIVINYLBENZENE COPOLYMER, CHLOROMETHYLATED, AMINATED, OXIDIZED</t>
  </si>
  <si>
    <t xml:space="preserve"> &amp;diams; POLY(DIVINYLBENZENE-CO-STYRENE), CROSS-LINKED, CHLOROMETHYLATED, AMINATED WITH DIMETHYLAMINE, OXIDIZED WITH HYDROGEN PEROXIDE&lt;br /&gt;&amp;diams; STYRENE-DIVINYLBENZENE CROSS-LINKED COPOLYMER, CHLOROMETHYLATED, AMINATED WITH DIMETHYLAMINE, OXIDIZED WITH HYDROGEN PEROXIDE</t>
  </si>
  <si>
    <t xml:space="preserve"> 977089-35-2</t>
  </si>
  <si>
    <t xml:space="preserve"> STYRENE-DIVINYLBENZENE-METHYL ACRYLATE, SULFONATED TERPOLYMER</t>
  </si>
  <si>
    <t xml:space="preserve"> &amp;diams; POLY(DIVINYLBENZENE-CO-METHYL ACRYLATE-CO-STYRENE), SULFONATED&lt;br /&gt;&amp;diams; STYRENE-DIVINYLBENZENE-METHYL ACRYLATE TERPOLYMER, SULFONATED</t>
  </si>
  <si>
    <t xml:space="preserve"> 68037-26-3</t>
  </si>
  <si>
    <t xml:space="preserve"> STYRENE, DIVINYLBENZENE, SULFONATED COPOLYMER</t>
  </si>
  <si>
    <t xml:space="preserve"> &amp;diams; POLY(DIVINYLBENZENE-CO-STYRENE), SULFONATED&lt;br /&gt;&amp;diams; BENZENE, DIETHENYL-, POLYMER WITH ETHENYLBENZENE, SULFONATED&lt;br /&gt;&amp;diams; POLY(DIETHENYLBENZENE-CO-ETHENYLBENZENE), SULFONATED&lt;br /&gt;&amp;diams; STYRENE-DIVINYLBENZENE COPOLYMER, SULFONATED</t>
  </si>
  <si>
    <t xml:space="preserve"> 977086-88-6</t>
  </si>
  <si>
    <t xml:space="preserve"> STYRENE-DVB-ACRYLONITRILE-METHYL ACRYLATE, SULFONATED TETRAPOLYMER</t>
  </si>
  <si>
    <t xml:space="preserve"> &amp;diams; POLY(ACRYLONITRILE-CO-DIVINYLBENZENE-CO-METHYL ACRYLATE-CO-STYRENE), SULFONATED&lt;br /&gt;&amp;diams; STYRENE-DIVINYLBENZENE-ACRYLONITRILE-METHYL ACRYLATE TETRAPOLYMER, SULFONATED</t>
  </si>
  <si>
    <t xml:space="preserve"> 110-15-6</t>
  </si>
  <si>
    <t xml:space="preserve"> SUCCINIC ACID</t>
  </si>
  <si>
    <t xml:space="preserve"> &amp;diams; SUCCINIC ACID&lt;br /&gt;&amp;diams; 1,4-BUTANEDIOIC ACID&lt;br /&gt;&amp;diams; AMBER ACID&lt;br /&gt;&amp;diams; ETHYLENESUCCINIC ACID&lt;br /&gt;&amp;diams; BUTANEDIOIC ACID&lt;br /&gt;&amp;diams; 1,2-ETHANEDICARBOXYLIC ACID&lt;br /&gt;&amp;diams; WORMWOOD ACID&lt;br /&gt;&amp;diams; DIHYDROFUMARIC ACID</t>
  </si>
  <si>
    <t xml:space="preserve"> FLAVOR ENHANCER,&lt;br /&gt; PH CONTROL AGENT</t>
  </si>
  <si>
    <t xml:space="preserve"> 108-30-5</t>
  </si>
  <si>
    <t xml:space="preserve"> SUCCINIC ANHYDRIDE</t>
  </si>
  <si>
    <t xml:space="preserve"> &amp;diams; SUCCINIC ANHYDRIDE&lt;br /&gt;&amp;diams; 2,5-FURANDIONE, DIHYDRO-&lt;br /&gt;&amp;diams; DIHYDRO-2,5-FURANDIONE&lt;br /&gt;&amp;diams; BUTANEDIOIC ANHYDRIDE&lt;br /&gt;&amp;diams; 2,5-DIKETOTETRAHYDROFURAN&lt;br /&gt;&amp;diams; SUCCINYL OXIDE&lt;br /&gt;&amp;diams; TETRAHYDRO-2,5-DIOXOFURAN&lt;br /&gt;&amp;diams; SUCCINYL ANHYDRIDE&lt;br /&gt;&amp;diams; TETRAHYDRO-2,5-FURANDIONE</t>
  </si>
  <si>
    <t xml:space="preserve"> 68915-24-2</t>
  </si>
  <si>
    <t xml:space="preserve"> SUCCINYLATED GELATIN</t>
  </si>
  <si>
    <t xml:space="preserve"> &amp;diams; GELATIN, SUCCINYLATED&lt;br /&gt;&amp;diams; GELATINS, SUCCINATED&lt;br /&gt;&amp;diams; SUCCINYLATED GELATIN</t>
  </si>
  <si>
    <t xml:space="preserve"> 977009-45-2</t>
  </si>
  <si>
    <t xml:space="preserve"> SUCCINYLATED MONOGLYCERIDES</t>
  </si>
  <si>
    <t xml:space="preserve"> &amp;diams; MONOGLYCERIDES, SUCCINYLATED&lt;br /&gt;&amp;diams; MONO- AND DIGLYCERIDES, SUCCINYLATED&lt;br /&gt;&amp;diams; SUCCINYLATED MONOGLYCERIDES</t>
  </si>
  <si>
    <t xml:space="preserve"> 27216-62-2</t>
  </si>
  <si>
    <t xml:space="preserve"> SUCCISTEARIN</t>
  </si>
  <si>
    <t xml:space="preserve"> &amp;diams; SUCCISTEARIN&lt;br /&gt;&amp;diams; STEAROYL PROPYLENE GLYCOL HYDROGEN SUCCINATE&lt;br /&gt;&amp;diams; BUTANEDIOIC ACID, MONOESTER WITH 1,2-PROPANEDIOL MONOOCTADECANOATE&lt;br /&gt;&amp;diams; SUCCINIC ACID, MONOESTER WITH 1,2-PROPANEDIOL STEARATE</t>
  </si>
  <si>
    <t xml:space="preserve"> 56038-13-2</t>
  </si>
  <si>
    <t xml:space="preserve"> SUCRALOSE</t>
  </si>
  <si>
    <t xml:space="preserve"> &amp;diams; SUCRALOSE&lt;br /&gt;&amp;diams; 1,6-DICHLORO-1,6-DIDEOXY-BETA-D-FRUCTOFURANOSYL 4-CHLORO-4-DEOXY-ALPHA-D-GALACTOPYRANOSIDE&lt;br /&gt;&amp;diams; 4,1',6'-TRICHLORO-4,1',6'-TRIDEOXYGALACTOSUCROSE&lt;br /&gt;&amp;diams; 1',4,6'-TRICHLORO-1',4,6'-TRIDEOXYGALACTOSUCROSE&lt;br /&gt;&amp;diams; 4,1',6'-TRICHLOROGALACTOSUCROSE&lt;br /&gt;&amp;diams; TRICHLOROGALACTOSUCROSE&lt;br /&gt;&amp;diams; 1',4,6'-TRICHLOROGALACTOSUCROSE</t>
  </si>
  <si>
    <t xml:space="preserve"> 57-50-1</t>
  </si>
  <si>
    <t xml:space="preserve"> SUCROSE</t>
  </si>
  <si>
    <t xml:space="preserve"> &amp;diams; SUCROSE&lt;br /&gt;&amp;diams; BEET SUGAR&lt;br /&gt;&amp;diams; CANE SUGAR&lt;br /&gt;&amp;diams; SACCHAROSE&lt;br /&gt;&amp;diams; TABLE SUGAR&lt;br /&gt;&amp;diams; FRUCTOFURANOSYL ALPHA-D-GLUCOPYRANOSIDE, BETA-D&lt;br /&gt;&amp;diams; SUCROSE, D-(+)-&lt;br /&gt;&amp;diams; ALPHA-D-GLUCOPYRANOSYL BETA-D-FRUCTOFURANOSIDE&lt;br /&gt;&amp;diams; ALPHA-D-GLUCOPYRANOSIDE, BETA-D-FRUCTOFURANOSYL&lt;br /&gt;&amp;diams; SUGAR, BEET</t>
  </si>
  <si>
    <t xml:space="preserve"> 100.130 ,  101.4 ,  101.80 ,  101.9 ,  131.112 ,  131.170 ,  131.200 ,  131.203 ,  131.206 ,  133.124 ,  133.178 ,  133.179 ,  145.134 ,  145.180 ,  145.3 ,  146.140 ,  146.141 ,  146.145 ,  146.146 ,  146.3 ,  150.160 ,  155.170 ,  155.200 ,  169.175 ,</t>
  </si>
  <si>
    <t xml:space="preserve"> 126-13-6</t>
  </si>
  <si>
    <t xml:space="preserve"> SUCROSE ACETATE ISOBUTYRATE</t>
  </si>
  <si>
    <t xml:space="preserve"> &amp;diams; SUCROSE ACETATE ISOBUTYRATE&lt;br /&gt;&amp;diams; ALPHA-D-GLUCOPYRANOSIDE, 6-O-ACETYL-1,3,4-TRIS-O-(2-METHYL-1-OXOPROPYL)-BETA-D-FRUCTOFURANOSYL, 6-ACETATE 2,3,4-TRIS(2-METHYLPROPANOATE)&lt;br /&gt;&amp;diams; ISOBUTYRIC ACID, HEXAESTER WITH SUCROSE DIACETATE&lt;br /&gt;&amp;diams; SAIB&lt;br /&gt;&amp;diams; SUCROSE, DIACETATE HEXAISOBUTYRATE&lt;br /&gt;&amp;diams; 6-O-ACETYL-1,3,4-TRIS-O-(2-METHYL-1-OXOPROPYL)-BETA-D-FRUCTOFURANOSYL ALPHA-D-GLUCOPYRANOSIDE 6-ACETATE 2,3,4-TRIS(2-METHYLPROPANOATE)</t>
  </si>
  <si>
    <t xml:space="preserve"> 977019-37-6</t>
  </si>
  <si>
    <t xml:space="preserve"> SUCROSE FATTY ACID ESTERS</t>
  </si>
  <si>
    <t xml:space="preserve"> &amp;diams; SUCROSE, FATTY ACID ESTER&lt;br /&gt;&amp;diams; FATTY ACIDS, SUCROSE ESTERS&lt;br /&gt;&amp;diams; SUCROSE FATTY ACID ESTERS&lt;br /&gt;&amp;diams; SUCROSE, FATTY ACID ESTER&lt;br /&gt;&amp;diams; SFAE</t>
  </si>
  <si>
    <t xml:space="preserve"> 977143-79-5</t>
  </si>
  <si>
    <t xml:space="preserve"> SUCROSE LIQUID</t>
  </si>
  <si>
    <t xml:space="preserve"> &amp;diams; SUCROSE LIQUID</t>
  </si>
  <si>
    <t xml:space="preserve"> FLAVORING AGENT OR ADJUVANT,&lt;br /&gt; NUTRITIVE SWEETENER,&lt;br /&gt; SOLVENT OR VEHICLE</t>
  </si>
  <si>
    <t xml:space="preserve"> 26446-38-8</t>
  </si>
  <si>
    <t xml:space="preserve"> SUCROSE MONOPALMITATE</t>
  </si>
  <si>
    <t xml:space="preserve"> &amp;diams; SUCROSE MONOPALMITATE&lt;br /&gt;&amp;diams; ALPHA-D-GLUCOPYRANOSIDE, BETA-D-FRUCTOFURANOSYL, MONOHEXADECANOATE&lt;br /&gt;&amp;diams; PALMITIC ACID, MONOESTER WITH SUCROSE&lt;br /&gt;&amp;diams; SUCROSE, MONOPALMITATE&lt;br /&gt;&amp;diams; beta-D-fructofuranosyl alpha-D-glycopyranoside monohexadecanoate&lt;br /&gt;&amp;diams; InChI=1S/C16H32O2.C12H22O11/c1-2-3-4-5-6-7-8-9-10-11-12-13-14-15-16(17)18&lt;br /&gt;&amp;diams; 13-1-4-6(16)8(18)9(19)11(21-4)23-12(3-15)10(20)7(17)5(2-14)22-12/h2-15H2,1H3,(H,17,18)&lt;br /&gt;&amp;diams; 4-11,13-20H,1-3H2&lt;br /&gt;&amp;diams; InChIKey=XZAGBDSOKNXTDT-UHFFFAOYSA-N</t>
  </si>
  <si>
    <t xml:space="preserve"> 126-14-7</t>
  </si>
  <si>
    <t xml:space="preserve"> SUCROSE OCTAACETATE</t>
  </si>
  <si>
    <t xml:space="preserve"> &amp;diams; SUCROSE OCTAACETATE&lt;br /&gt;&amp;diams; OCTAACETYL SUCROSE&lt;br /&gt;&amp;diams; 2,3,4,6,1',3',4',6'-OCTA-O-ACETYLSUCROSE&lt;br /&gt;&amp;diams; ALPHA-D-GLUCOPYRANOSIDE, 1,3,4,6-TETRA-O-ACETYL-BETA-D-FRUCTOFURANOSYL, TETRAACETATE&lt;br /&gt;&amp;diams; 1,3,4,6-TETRA-O-ACETYL-BETA-D-FRUCTOFURANOSYL-ALPHA-D-GLUCOPYRANOSIDE TETRAACETATE&lt;br /&gt;&amp;diams; OCTA-O-ACETYLSUCROSE</t>
  </si>
  <si>
    <t xml:space="preserve"> 977186-60-9</t>
  </si>
  <si>
    <t xml:space="preserve"> SUCROSE OLIGOESTERS</t>
  </si>
  <si>
    <t xml:space="preserve"> &amp;diams; SUCROSE OLIGOESTERS&lt;br /&gt;&amp;diams; sucrose, fatty acid oligoester&lt;br /&gt;&amp;diams; fatty acids, sucrose oligoesters</t>
  </si>
  <si>
    <t xml:space="preserve"> 8016-79-3</t>
  </si>
  <si>
    <t xml:space="preserve"> SUGAR BEET EXTRACT FLAVOR BASE</t>
  </si>
  <si>
    <t xml:space="preserve"> &amp;diams; SUGAR BEET EXTRACT FLAVOR BASE&lt;br /&gt;&amp;diams; BEET, SUGAR, EXT.&lt;br /&gt;&amp;diams; SUGAR BEET EXTRACT</t>
  </si>
  <si>
    <t xml:space="preserve"> 977187-63-5</t>
  </si>
  <si>
    <t xml:space="preserve"> SUGAR BEET JUICE EXTRACT</t>
  </si>
  <si>
    <t xml:space="preserve"> &amp;diams; SUGAR BEET JUICE EXTRACT&lt;br /&gt;&amp;diams; extract, sugar beet juice</t>
  </si>
  <si>
    <t xml:space="preserve"> 5329-14-6</t>
  </si>
  <si>
    <t xml:space="preserve"> SULFAMIC ACID</t>
  </si>
  <si>
    <t xml:space="preserve"> &amp;diams; SULFAMIC ACID&lt;br /&gt;&amp;diams; AMIDOSULFONIC ACID&lt;br /&gt;&amp;diams; SULFAMINIC ACID</t>
  </si>
  <si>
    <t xml:space="preserve"> 977187-38-4</t>
  </si>
  <si>
    <t xml:space="preserve"> SULFITES, STRONG ALKALI</t>
  </si>
  <si>
    <t xml:space="preserve"> 977116-60-1</t>
  </si>
  <si>
    <t xml:space="preserve"> SULFITING AGENTS</t>
  </si>
  <si>
    <t xml:space="preserve"> &amp;diams; SULFITES&lt;br /&gt;&amp;diams; SULFITING AGENTS</t>
  </si>
  <si>
    <t xml:space="preserve"> 37325-18-1</t>
  </si>
  <si>
    <t xml:space="preserve"> SULFOPROPYL CELLULOSE</t>
  </si>
  <si>
    <t xml:space="preserve"> &amp;diams; SULFOPROPYL CELLULOSE&lt;br /&gt;&amp;diams; CELLULOSE, SULFOPROPYL ETHER&lt;br /&gt;&amp;diams; CELLULOSE, CROSS-LINKED, ALKYLATED WITH EPICHLOROHYDRIN AND PROPYLENE OXIDE, SULFONATED</t>
  </si>
  <si>
    <t xml:space="preserve"> 7446-09-5</t>
  </si>
  <si>
    <t xml:space="preserve"> SULFUR DIOXIDE</t>
  </si>
  <si>
    <t xml:space="preserve"> &amp;diams; SULFUR DIOXIDE&lt;br /&gt;&amp;diams; SULFUROUS ANHYDRIDE&lt;br /&gt;&amp;diams; SULFUROUS OXIDE&lt;br /&gt;&amp;diams; SULFUR SUPEROXIDE</t>
  </si>
  <si>
    <t xml:space="preserve"> ANTIMICROBIAL AGENT,&lt;br /&gt; ANTIOXIDANT,&lt;br /&gt; COLOR OR COLORING ADJUNCT,&lt;br /&gt; FLAVOR ENHANCER,&lt;br /&gt; FLAVORING AGENT OR ADJUVANT</t>
  </si>
  <si>
    <t xml:space="preserve"> 7664-93-9</t>
  </si>
  <si>
    <t xml:space="preserve"> SULFURIC ACID</t>
  </si>
  <si>
    <t xml:space="preserve"> &amp;diams; SULFURIC ACID&lt;br /&gt;&amp;diams; OIL OF VITREOL&lt;br /&gt;&amp;diams; DIHYDROGEN SULFATE</t>
  </si>
  <si>
    <t xml:space="preserve"> FLAVOR ENHANCER,&lt;br /&gt; FLAVORING AGENT OR ADJUVANT,&lt;br /&gt; FORMULATION AID,&lt;br /&gt; PH CONTROL AGENT,&lt;br /&gt; PROCESSING AID</t>
  </si>
  <si>
    <t xml:space="preserve"> 7782-99-2</t>
  </si>
  <si>
    <t xml:space="preserve"> SULFUROUS ACID</t>
  </si>
  <si>
    <t xml:space="preserve"> &amp;diams; SULFUROUS ACID&lt;br /&gt;&amp;diams; SULFUROUS ACID, ANHYDROUS&lt;br /&gt;&amp;diams; SULFUR DIOXIDE SOLUTION</t>
  </si>
  <si>
    <t xml:space="preserve"> 977188-78-5</t>
  </si>
  <si>
    <t xml:space="preserve"> SWEET BLACKBERRY LEAVES EXTRACT</t>
  </si>
  <si>
    <t xml:space="preserve"> &amp;diams; SWEET BLACKBERRY LEAVES EXTRACT</t>
  </si>
  <si>
    <t xml:space="preserve"> 977010-56-2</t>
  </si>
  <si>
    <t xml:space="preserve"> TAGETES MEAL &amp; EXTRACT</t>
  </si>
  <si>
    <t xml:space="preserve"> &amp;diams; TAGETES MEAL AND EXTRACT&lt;br /&gt;&amp;diams; AZTEC MARIGOLD MEAL AND EXTRACT&lt;br /&gt;&amp;diams; TAGETES ERECTA MEAL AND EXTRACT</t>
  </si>
  <si>
    <t xml:space="preserve"> 8016-84-0</t>
  </si>
  <si>
    <t xml:space="preserve"> TAGETES, OIL (TAGETES SPP.)</t>
  </si>
  <si>
    <t xml:space="preserve"> &amp;diams; TAGETES OIL&lt;br /&gt;&amp;diams; MARIGOLD OIL&lt;br /&gt;&amp;diams; OILS, TAGETES</t>
  </si>
  <si>
    <t xml:space="preserve"> 14807-96-6</t>
  </si>
  <si>
    <t xml:space="preserve"> TALC</t>
  </si>
  <si>
    <t xml:space="preserve"> &amp;diams; TALC&lt;br /&gt;&amp;diams; FRENCH CHALK&lt;br /&gt;&amp;diams; MAGNESIUM SILICATE, HYDROUS&lt;br /&gt;&amp;diams; TALC (MG3H2(SIO3)4)&lt;br /&gt;&amp;diams; TALCUM</t>
  </si>
  <si>
    <t xml:space="preserve"> FORMULATION AID,&lt;br /&gt; MASTICATORY SUBSTANCE,&lt;br /&gt; NON-NUTRITIVE SWEETENER,&lt;br /&gt; PROCESSING AID,&lt;br /&gt; WASHING OR SURFACE REMOVAL AGENT</t>
  </si>
  <si>
    <t xml:space="preserve"> 8030-11-3</t>
  </si>
  <si>
    <t xml:space="preserve"> TALLOW ALCOHOL, HYDROGENATED</t>
  </si>
  <si>
    <t xml:space="preserve"> &amp;diams; TALLOW ALCOHOL, HYDROGENATED&lt;br /&gt;&amp;diams; ALCOHOLS, TALLOW, HYDROGENATED&lt;br /&gt;&amp;diams; HYDROGENATED TALLOW ALCOHOL</t>
  </si>
  <si>
    <t xml:space="preserve"> 61789-97-7</t>
  </si>
  <si>
    <t xml:space="preserve"> TALLOW, BEEF</t>
  </si>
  <si>
    <t xml:space="preserve"> &amp;diams; TALLOW&lt;br /&gt;&amp;diams; BEEF TALLOW&lt;br /&gt;&amp;diams; TALLOW, BEEF</t>
  </si>
  <si>
    <t xml:space="preserve"> 977163-79-3</t>
  </si>
  <si>
    <t xml:space="preserve"> TALLOW FLAKES</t>
  </si>
  <si>
    <t xml:space="preserve"> &amp;diams; TALLOW FLAKE</t>
  </si>
  <si>
    <t xml:space="preserve"> 8030-12-4</t>
  </si>
  <si>
    <t xml:space="preserve"> TALLOW, HYDROGENATED</t>
  </si>
  <si>
    <t xml:space="preserve"> &amp;diams; TALLOW, HYDROGENATED&lt;br /&gt;&amp;diams; BEEF TALLOW, FULLY HYDROGENATED</t>
  </si>
  <si>
    <t xml:space="preserve"> FLAVOR ENHANCER,&lt;br /&gt; FLAVORING AGENT OR ADJUVANT,&lt;br /&gt; MASTICATORY SUBSTANCE,&lt;br /&gt; STABILIZER OR THICKENER</t>
  </si>
  <si>
    <t xml:space="preserve"> 977043-64-3</t>
  </si>
  <si>
    <t xml:space="preserve"> TALLOW, HYDROGENATED, OXIDIZED OR SULFATED</t>
  </si>
  <si>
    <t xml:space="preserve"> &amp;diams; TALLOW, HYDROGENATED, OXIDIZED OR SULFATED</t>
  </si>
  <si>
    <t xml:space="preserve"> 84961-62-6</t>
  </si>
  <si>
    <t xml:space="preserve"> TAMARIND EXTRACT (TAMARINDUS INDICA L.)</t>
  </si>
  <si>
    <t xml:space="preserve"> &amp;diams; TAMARIND EXTRACT&lt;br /&gt;&amp;diams; TAMARINDUS INDICA EXTRACT&lt;br /&gt;&amp;diams; TAMARIND, EXT.</t>
  </si>
  <si>
    <t xml:space="preserve"> 977052-30-4</t>
  </si>
  <si>
    <t xml:space="preserve"> TAMARINDS</t>
  </si>
  <si>
    <t xml:space="preserve"> &amp;diams; TAMARIND&lt;br /&gt;&amp;diams; TAMARINDUS INDICA&lt;br /&gt;&amp;diams; TAMARINIER (TAMARINDUS INDICA)&lt;br /&gt;&amp;diams; TAMARIN (TAMARINDUS INDICA)&lt;br /&gt;&amp;diams; INDIAN DATE</t>
  </si>
  <si>
    <t xml:space="preserve"> 977029-78-9</t>
  </si>
  <si>
    <t xml:space="preserve"> TANGERINE, ESSENCE</t>
  </si>
  <si>
    <t xml:space="preserve"> &amp;diams; TANGERINE ESSENCE</t>
  </si>
  <si>
    <t xml:space="preserve"> 90063-83-5</t>
  </si>
  <si>
    <t xml:space="preserve"> TANGERINE, EXTRACT (CITRUS RETICULATA BLANCO)</t>
  </si>
  <si>
    <t xml:space="preserve"> &amp;diams; TANGERINE EXTRACT&lt;br /&gt;&amp;diams; CITRUS RETICULATA EXTRACT&lt;br /&gt;&amp;diams; MARDARIN ORANGE, TANGERINE, EXT.</t>
  </si>
  <si>
    <t xml:space="preserve"> 8016-85-1</t>
  </si>
  <si>
    <t xml:space="preserve"> TANGERINE, OIL (CITRUS RETICULATA BLANCO)</t>
  </si>
  <si>
    <t xml:space="preserve"> &amp;diams; TANGERINE OIL&lt;br /&gt;&amp;diams; TANGERINE OIL, EXPRESSED&lt;br /&gt;&amp;diams; OILS, TANGERINE</t>
  </si>
  <si>
    <t xml:space="preserve"> 1401-55-4</t>
  </si>
  <si>
    <t xml:space="preserve"> TANNIC ACID</t>
  </si>
  <si>
    <t xml:space="preserve"> &amp;diams; TANNIC ACID&lt;br /&gt;&amp;diams; TANNIN&lt;br /&gt;&amp;diams; GALLOTANNIC ACID&lt;br /&gt;&amp;diams; TANNINS</t>
  </si>
  <si>
    <t xml:space="preserve"> COLOR OR COLORING ADJUNCT,&lt;br /&gt; FLAVOR ENHANCER,&lt;br /&gt; FLAVORING AGENT OR ADJUVANT,&lt;br /&gt; PH CONTROL AGENT,&lt;br /&gt; PROCESSING AID</t>
  </si>
  <si>
    <t xml:space="preserve"> 8016-87-3</t>
  </si>
  <si>
    <t xml:space="preserve"> TANSY, OIL (TANACETUM VULGARA L.)</t>
  </si>
  <si>
    <t xml:space="preserve"> &amp;diams; TANSY OIL&lt;br /&gt;&amp;diams; OILS, TANSY&lt;br /&gt;&amp;diams; TANACETUM OIL&lt;br /&gt;&amp;diams; OIL OF TANSY</t>
  </si>
  <si>
    <t xml:space="preserve"> 977032-44-2</t>
  </si>
  <si>
    <t xml:space="preserve"> TANSY (TANACETUM VULGARA L.)</t>
  </si>
  <si>
    <t xml:space="preserve"> &amp;diams; TANSY&lt;br /&gt;&amp;diams; BITTER BUTTONS&lt;br /&gt;&amp;diams; COCO BITTERS&lt;br /&gt;&amp;diams; GOLDEN BUTTONS&lt;br /&gt;&amp;diams; TANACETUM VULGARE&lt;br /&gt;&amp;diams; CHRYSANTHEMUM VULGARE</t>
  </si>
  <si>
    <t xml:space="preserve"> 977002-81-5</t>
  </si>
  <si>
    <t xml:space="preserve"> TAPIOCA STARCH</t>
  </si>
  <si>
    <t xml:space="preserve"> &amp;diams; STARCH, TAPIOCA&lt;br /&gt;&amp;diams; STARCH, CASSAVA&lt;br /&gt;&amp;diams; STARCH, MANIOCA&lt;br /&gt;&amp;diams; TAPIOCA STARCH&lt;br /&gt;&amp;diams; CASSAVA STARCH</t>
  </si>
  <si>
    <t xml:space="preserve"> NUTRITIVE SWEETENER,&lt;br /&gt; STABILIZER OR THICKENER</t>
  </si>
  <si>
    <t xml:space="preserve"> 977052-32-6</t>
  </si>
  <si>
    <t xml:space="preserve"> TARRAGON (ARTEMISIA DRACUNCULUS L.)</t>
  </si>
  <si>
    <t xml:space="preserve"> &amp;diams; TARRAGON&lt;br /&gt;&amp;diams; ESTRAGON&lt;br /&gt;&amp;diams; ESTRAGON (ARTEMESIA DRACUNCULUS)&lt;br /&gt;&amp;diams; ARTEMISIA DRACUNCULUS&lt;br /&gt;&amp;diams; FRENCH TARRAGON&lt;br /&gt;&amp;diams; TARRAGON, FRENCH</t>
  </si>
  <si>
    <t xml:space="preserve"> 977029-81-4</t>
  </si>
  <si>
    <t xml:space="preserve"> TARRAGON EXTRACT (ARTEMISIA DRACUNCULUS L.)</t>
  </si>
  <si>
    <t xml:space="preserve"> &amp;diams; TARRAGON EXTRACT&lt;br /&gt;&amp;diams; ESTRAGON EXTRACT&lt;br /&gt;&amp;diams; ESTRAGOLE EXTRACT</t>
  </si>
  <si>
    <t xml:space="preserve"> 8016-88-4</t>
  </si>
  <si>
    <t xml:space="preserve"> TARRAGON OIL (ARTEMISIA DRACUNCULUS L.)</t>
  </si>
  <si>
    <t xml:space="preserve"> &amp;diams; TARRAGON OIL&lt;br /&gt;&amp;diams; ESTRAGON OIL&lt;br /&gt;&amp;diams; ARTEMISIA DRACUNCULUS OIL&lt;br /&gt;&amp;diams; OILS, TARRAGON</t>
  </si>
  <si>
    <t xml:space="preserve"> 107-35-7</t>
  </si>
  <si>
    <t xml:space="preserve"> TAURINE</t>
  </si>
  <si>
    <t xml:space="preserve"> &amp;diams; TAURINE&lt;br /&gt;&amp;diams; 2-AMINOETHANESULFONIC ACID&lt;br /&gt;&amp;diams; ETHANESULFONIC ACID, 2-AMINO-</t>
  </si>
  <si>
    <t xml:space="preserve"> 81-24-3</t>
  </si>
  <si>
    <t xml:space="preserve"> TAUROCHOLIC ACID</t>
  </si>
  <si>
    <t xml:space="preserve"> &amp;diams; TAUROCHOLIC ACID&lt;br /&gt;&amp;diams; N-CHOLOYLTAURINE&lt;br /&gt;&amp;diams; CHOLAIC ACID&lt;br /&gt;&amp;diams; ETHANESULFONIC ACID, 2-(((3ALPHA,5BETA,7ALPHA,12ALPHA)-3,7,12-TRIHYDROXY-24-OXOCHOLAN-24-YL)AMINO)-&lt;br /&gt;&amp;diams; 2-(((3ALPHA,5BETA,7ALPHA,12ALPHA)-3,7,12-TRIHYDROXY-24-OXOCHOLAN-24-YL)AMINO)ETHANESULFONIC ACID&lt;br /&gt;&amp;diams; TAURINE, N-CHOLOYL-</t>
  </si>
  <si>
    <t xml:space="preserve"> 84650-60-2</t>
  </si>
  <si>
    <t xml:space="preserve"> TEA EXTRACT (THEA SINENSIS L.)</t>
  </si>
  <si>
    <t xml:space="preserve"> &amp;diams; TEA EXTRACT&lt;br /&gt;&amp;diams; THEA CHINENSIS EXTRACT&lt;br /&gt;&amp;diams; CHINESE TEA EXTRACT&lt;br /&gt;&amp;diams; TEA, EXT.</t>
  </si>
  <si>
    <t xml:space="preserve"> 68647-73-4</t>
  </si>
  <si>
    <t xml:space="preserve"> TEA TREE OIL (MELALEUCA ALTERNIFOLIA)</t>
  </si>
  <si>
    <t xml:space="preserve"> &amp;diams; TEA TREE OIL&lt;br /&gt;&amp;diams; MELALEUCA ALTERNIFOLIA OIL&lt;br /&gt;&amp;diams; OILS, TEA-TREE</t>
  </si>
  <si>
    <t xml:space="preserve"> 9003-74-1</t>
  </si>
  <si>
    <t xml:space="preserve"> TERPENE RESIN</t>
  </si>
  <si>
    <t xml:space="preserve"> &amp;diams; TERPENE RESIN&lt;br /&gt;&amp;diams; RESIN, TERPENOID&lt;br /&gt;&amp;diams; POLYTERPENE&lt;br /&gt;&amp;diams; RESIN, TERPENE</t>
  </si>
  <si>
    <t xml:space="preserve"> 977092-25-3</t>
  </si>
  <si>
    <t xml:space="preserve"> TERPENE RESINS, NATURAL</t>
  </si>
  <si>
    <t xml:space="preserve"> &amp;diams; TERPENE RESIN, NATURAL&lt;br /&gt;&amp;diams; RESIN, TERPENE, NATURAL</t>
  </si>
  <si>
    <t xml:space="preserve"> HUMECTANT,&lt;br /&gt; MASTICATORY SUBSTANCE,&lt;br /&gt; SOLVENT OR VEHICLE</t>
  </si>
  <si>
    <t xml:space="preserve"> 977092-26-4</t>
  </si>
  <si>
    <t xml:space="preserve"> TERPENE RESINS, SYNTHETIC</t>
  </si>
  <si>
    <t xml:space="preserve"> &amp;diams; TERPENE RESIN, SYNTHETIC&lt;br /&gt;&amp;diams; RESIN, TERPENE, SYNTHETIC</t>
  </si>
  <si>
    <t xml:space="preserve"> 99-86-5</t>
  </si>
  <si>
    <t xml:space="preserve"> ALPHA-TERPINENE</t>
  </si>
  <si>
    <t xml:space="preserve"> &amp;diams; ALPHA-TERPINENE&lt;br /&gt;&amp;diams; P-MENTHA-1,3-DIENE&lt;br /&gt;&amp;diams; TERPILENE&lt;br /&gt;&amp;diams; TERPINENE, ALPHA-&lt;br /&gt;&amp;diams; 1-METHYL-4-(1-METHYLETHYL)-1,3-CYCLOHEXADIENE&lt;br /&gt;&amp;diams; 1-METHYL-4-ISOPROPYL-1,3-CYCLOHEXADIENE&lt;br /&gt;&amp;diams; 1,3-CYCLOHEXADIENE, 1-METHYL-4-(1-METHYLETHYL)-</t>
  </si>
  <si>
    <t xml:space="preserve"> 99-85-4</t>
  </si>
  <si>
    <t xml:space="preserve"> GAMMA-TERPINENE</t>
  </si>
  <si>
    <t xml:space="preserve"> &amp;diams; GAMMA-TERPINENE&lt;br /&gt;&amp;diams; P-MENTHA-1,4-DIENE&lt;br /&gt;&amp;diams; 1,4-P-MENTHADIENE&lt;br /&gt;&amp;diams; 1-METHYL-4-ISOPROPYL-1,4-CYCLOHEXADIENE&lt;br /&gt;&amp;diams; 1,4-CYCLOHEXADIENE, 1-METHYL-4-(1-METHYLETHYL)-&lt;br /&gt;&amp;diams; 1-METHYL-4-(1-METHYLETHYL)-1,4-CYCLOHEXADIENE&lt;br /&gt;&amp;diams; 4-ISOPROPYL-1-METHYL-1,4-CYCLOHEXADIENE&lt;br /&gt;&amp;diams; TERPINENE, GAMMA-</t>
  </si>
  <si>
    <t xml:space="preserve"> 98-55-5</t>
  </si>
  <si>
    <t xml:space="preserve"> ALPHA-TERPINEOL</t>
  </si>
  <si>
    <t xml:space="preserve"> &amp;diams; ALPHA-TERPINEOL&lt;br /&gt;&amp;diams; P-MENTH-1-EN-8-OL&lt;br /&gt;&amp;diams; 1-MENTHENE-8-OL&lt;br /&gt;&amp;diams; 1-METHYL-4-ISOPROPYL-1-CYCLOHEXEN-8-OL&lt;br /&gt;&amp;diams; TERPILENOL, ALPHA-&lt;br /&gt;&amp;diams; 1-P-MENTHEN-8-OL&lt;br /&gt;&amp;diams; 3-CYCLOHEXENE-1-METHANOL, ALPHA,ALPHA,4-TRIMETHYL-&lt;br /&gt;&amp;diams; ALPHA,ALPHA,4-TRIMETHYL-3-CYCLOHEXENE-1-METHANOL&lt;br /&gt;&amp;diams; TERPINEOL, ALPHA-&lt;br /&gt;&amp;diams; 2-(4-methyl-3-cylohexenyl)-2-propanol&lt;br /&gt;&amp;diams; terpineol, (+-)-alpha-&lt;br /&gt;&amp;diams; 8-hydroxy-p-menth-1-ene</t>
  </si>
  <si>
    <t xml:space="preserve"> 138-87-4</t>
  </si>
  <si>
    <t xml:space="preserve"> BETA-TERPINEOL</t>
  </si>
  <si>
    <t xml:space="preserve"> &amp;diams; BETA-TERPINEOL&lt;br /&gt;&amp;diams; P-MENTH-8-EN-1-OL&lt;br /&gt;&amp;diams; TERPINOL, BETA-&lt;br /&gt;&amp;diams; 1-METHYL-4-ISOPROPENYLCYCLOHEXAN-1-OL&lt;br /&gt;&amp;diams; 4-ISOPROPENYL-1-METHYL-1-CYCLOHEXANOL&lt;br /&gt;&amp;diams; 1-METHYL-4-(1-METHYLETHENYL)CYCLOHEXANOL&lt;br /&gt;&amp;diams; CYCLOHEXANOL, 1-METHYL-4-(1-METHYLETHENYL)-&lt;br /&gt;&amp;diams; TERPINEOL, BETA-</t>
  </si>
  <si>
    <t xml:space="preserve"> 586-62-9</t>
  </si>
  <si>
    <t xml:space="preserve"> TERPINOLENE</t>
  </si>
  <si>
    <t xml:space="preserve"> &amp;diams; TERPINOLENE&lt;br /&gt;&amp;diams; P-MENTHA-1,4(8)-DIENE&lt;br /&gt;&amp;diams; 1,4(8)-P-MENTHADIENE&lt;br /&gt;&amp;diams; 1,4(8)-TERPADIENE&lt;br /&gt;&amp;diams; P-MENTH-1,4(8)-DIENE&lt;br /&gt;&amp;diams; TEREBEN&lt;br /&gt;&amp;diams; 1-METHYL-4-ISOPROPYLIDENE-1-CYCLOHEXENE&lt;br /&gt;&amp;diams; CYCLOHEXENE, 1-METHYL-4-(1-METHYLETHYLIDENE)-&lt;br /&gt;&amp;diams; 1-METHYL-4-(1-METHYLETHYLIDENE)CYCLOHEXENE&lt;br /&gt;&amp;diams; 4-ISOPROPYLIDENE-1-METHYLCYCLOHEXENE&lt;br /&gt;&amp;diams; ISOTERPINENE</t>
  </si>
  <si>
    <t xml:space="preserve"> 80-26-2</t>
  </si>
  <si>
    <t xml:space="preserve"> TERPINYL ACETATE</t>
  </si>
  <si>
    <t xml:space="preserve"> &amp;diams; TERPINYL ACETATE&lt;br /&gt;&amp;diams; ALPHA-TERPINYL ACETATE&lt;br /&gt;&amp;diams; P-MENTH-1-EN-8-YL ACETATE&lt;br /&gt;&amp;diams; TERPINEOL ACETATE&lt;br /&gt;&amp;diams; 3-CYCLOHEXENE-1-METHANOL, ALPHA,ALPHA,4-TRIMETHYL-, ACETATE&lt;br /&gt;&amp;diams; ALPHA,ALPHA,4-TRIMETHYL-3-CYCLOHEXENE-1-METHYL ACETATE&lt;br /&gt;&amp;diams; P-MENTH-1-EN-8-OL, ACETATE</t>
  </si>
  <si>
    <t xml:space="preserve"> 14481-52-8</t>
  </si>
  <si>
    <t xml:space="preserve"> ALPHA-TERPINYL ANTHRANILATE</t>
  </si>
  <si>
    <t xml:space="preserve"> &amp;diams; TERPINYL ANTHRANILATE&lt;br /&gt;&amp;diams; ALPHA,ALPHA,4-TRIMETHYL-3-CYCLOHEXENE-1-METHYL 2-AMINOBENZOATE&lt;br /&gt;&amp;diams; ANTHRANILIC ACID, 1-METHYL-1-(4-METHYL-3-CYCLOHEXEN-1-YL)ETHYL ESTER&lt;br /&gt;&amp;diams; P-MENTH-1-EN-8-YL ANTHRANILATE&lt;br /&gt;&amp;diams; P-MENTH-1-EN-8-YL 2-AMINOBENZOATE&lt;br /&gt;&amp;diams; P-MENTHA-1-EN-8-YL 2-AMINOBENZOATE&lt;br /&gt;&amp;diams; TERPINYL ANTHRANILATE, ALPHA-&lt;br /&gt;&amp;diams; TERPINYL O-AMINOBENZOATE&lt;br /&gt;&amp;diams; TERPINYL 2-AMINOBENZOATE&lt;br /&gt;&amp;diams; 3-CYCLOHEXENE-1-METHANOL, ALPHA,ALPHA,4-TRIMETHYL-, 2-AMINOBENZOATE&lt;br /&gt;&amp;diams; 1-METHYL-1-(4-METHYL-3-CYCLOHEXEN-1-YL)ETHYL ANTHRANILATE</t>
  </si>
  <si>
    <t xml:space="preserve"> 2153-28-8</t>
  </si>
  <si>
    <t xml:space="preserve"> TERPINYL BUTYRATE</t>
  </si>
  <si>
    <t xml:space="preserve"> &amp;diams; TERPINYL BUTYRATE&lt;br /&gt;&amp;diams; P-MENTH-1-EN-8-YL BUTYRATE&lt;br /&gt;&amp;diams; BUTANOIC ACID, 1-METHYL-1-(4-METHYL-3-CYCLOHEXEN-1-YL)ETHYL ESTER&lt;br /&gt;&amp;diams; 1-METHYL-1-(4-METHYL-3-CYCLOHEXEN-1-YL)ETHYL BUTANOATE&lt;br /&gt;&amp;diams; BUTYRIC ACID, P-MENTH-1-EN-8-YL ESTER</t>
  </si>
  <si>
    <t xml:space="preserve"> 10024-56-3</t>
  </si>
  <si>
    <t xml:space="preserve"> TERPINYL CINNAMATE</t>
  </si>
  <si>
    <t xml:space="preserve"> &amp;diams; TERPINYL CINNAMATE&lt;br /&gt;&amp;diams; P-MENTH-1-EN-8-YL CINNAMATE&lt;br /&gt;&amp;diams; P-MENTH-1-EN-8-YL 3-PHENYLPROPENOATE&lt;br /&gt;&amp;diams; TERPINYL BETA-PHENYLACRYLATE&lt;br /&gt;&amp;diams; TERPINYL 3-PHENYLPROPENOATE&lt;br /&gt;&amp;diams; 2-PROPENOIC ACID, 3-PHENYL-, 1-METHYL-1-(4-METHYL-3-CYCLOHEXEN-1-YL)ETHYL ESTER, (S)-&lt;br /&gt;&amp;diams; 1-METHYL-1-(4-METHYL-3-CYCLOHEXEN-1-YL)ETHYL 3-PHENYL-2-PROPENOATE, (S)-&lt;br /&gt;&amp;diams; CINNAMIC ACID, P-MENTH-1-EN-8-YL ESTER</t>
  </si>
  <si>
    <t xml:space="preserve"> 2153-26-6</t>
  </si>
  <si>
    <t xml:space="preserve"> TERPINYL FORMATE</t>
  </si>
  <si>
    <t xml:space="preserve"> &amp;diams; TERPINYL FORMATE&lt;br /&gt;&amp;diams; P-MENTH-1-EN-8-YL FORMATE&lt;br /&gt;&amp;diams; 3-CYCLOHEXENE-1-METHANOL, ALPHA,ALPHA,4-TRIMETHYL-, FORMATE&lt;br /&gt;&amp;diams; ALPHA,ALPHA,4-TRIMETHYL-3-CYCLOHEXENE-1-METHYL FORMATE&lt;br /&gt;&amp;diams; P-MENTH-1-EN-8-OL, FORMATE</t>
  </si>
  <si>
    <t xml:space="preserve"> 7774-65-4</t>
  </si>
  <si>
    <t xml:space="preserve"> TERPINYL ISOBUTYRATE</t>
  </si>
  <si>
    <t xml:space="preserve"> &amp;diams; TERPINYL ISOBUTYRATE&lt;br /&gt;&amp;diams; P-MENTH-1-EN-8-YL ISOBUTYRATE&lt;br /&gt;&amp;diams; PROPANOIC ACID, 2-METHYL-, 1-METHYL-1-(4-METHYL-3-CYCLOHEXEN-1-YL)ETHYL ESTER&lt;br /&gt;&amp;diams; 1-METHYL-1-(4-METHYL-3-CYCLOHEXEN-1-YL)ETHYL 2-METHYLPROPANOATE</t>
  </si>
  <si>
    <t xml:space="preserve"> 1142-85-4</t>
  </si>
  <si>
    <t xml:space="preserve"> TERPINYL ISOVALERATE</t>
  </si>
  <si>
    <t xml:space="preserve"> &amp;diams; TERPINYL ISOVALERATE&lt;br /&gt;&amp;diams; P-MENTH-1-EN-8-YL BETA-METHYLBUTYRATE&lt;br /&gt;&amp;diams; P-MENTH-1-EN-8-YL ISOPENTANOATE&lt;br /&gt;&amp;diams; P-MENTH-1-EN-8-YL ISOVALERATE&lt;br /&gt;&amp;diams; P-MENTH-1-EN-8-YL 3-METHYLBUTANOATE&lt;br /&gt;&amp;diams; P-MENTH-1-EN-8-YL 3-METHYLBUTYRATE&lt;br /&gt;&amp;diams; TERPINYL ISOPENTANOATE&lt;br /&gt;&amp;diams; TERPINYL ISOVALERIANATE&lt;br /&gt;&amp;diams; BUTANOIC ACID, 3-METHYL-, 1-METHYL-1-(4-METHYL-3-CYCLOHEXEN-1-YL)ETHYL ESTER&lt;br /&gt;&amp;diams; 1-METHYL-1-(4-METHYL-3-CYCLOHEXEN-1-YL)ETHYL 3-METHYLBUTANOATE&lt;br /&gt;&amp;diams; ISOVALERIC ACID, P-MENTH-1-EN-8-YL ESTER</t>
  </si>
  <si>
    <t xml:space="preserve"> 80-27-3</t>
  </si>
  <si>
    <t xml:space="preserve"> TERPINYL PROPIONATE</t>
  </si>
  <si>
    <t xml:space="preserve"> &amp;diams; TERPINYL PROPIONATE&lt;br /&gt;&amp;diams; P-MENTH-1-EN-8-YL PROPANOATE&lt;br /&gt;&amp;diams; P-MENTH-1-EN-8-YL PROPIONATE&lt;br /&gt;&amp;diams; TERPINYL PROPIONATE, ALPHA-&lt;br /&gt;&amp;diams; 3-CYCLOHEXENE-1-METHANOL, ALPHA,ALPHA,4-TRIMETHYL-, PROPIONATE&lt;br /&gt;&amp;diams; ALPHA,ALPHA,4-TRIMETHYL-3-CYCLOHEXENE-1-METHYL PROPIONATE</t>
  </si>
  <si>
    <t xml:space="preserve"> 1948-33-0</t>
  </si>
  <si>
    <t xml:space="preserve"> TERT-BUTYLHYDROQUINONE</t>
  </si>
  <si>
    <t xml:space="preserve"> &amp;diams; BUTYLHYDROQUINONE, TERT-&lt;br /&gt;&amp;diams; HYDROQUINONE, TERT-BUTYL-&lt;br /&gt;&amp;diams; MONO-TERT-BUTYLHYDROQUINONE&lt;br /&gt;&amp;diams; TBHQ&lt;br /&gt;&amp;diams; 2-(1,1-DIMETHYLETHYL)-1,4-BENZENEDIOL&lt;br /&gt;&amp;diams; 1,4-BENZENEDIOL, 2-(1,1-DIMETHYLETHYL)-&lt;br /&gt;&amp;diams; 2-TERT-BUTYL-1,4-BENZENEDIOL&lt;br /&gt;&amp;diams; 2-TERT-BUTYLHYDROQUINONE</t>
  </si>
  <si>
    <t xml:space="preserve"> 67874-72-0</t>
  </si>
  <si>
    <t xml:space="preserve"> 2-TERT-PENTYLCYCLOHEXYL ACETATE</t>
  </si>
  <si>
    <t xml:space="preserve"> &amp;diams; 2-TERT-PENTYLCYCLOHEXYL ACETATE&lt;br /&gt;&amp;diams; CYCLOHEXANOL, 2-(1,1-DIMETHYLPROPYL)-, ACETATE&lt;br /&gt;&amp;diams; CYCLOHEXYL-2-TERT-PENTYL ACETATE&lt;br /&gt;&amp;diams; CYCLOHEXOL-2-TERT-PENTYL ACETATE&lt;br /&gt;&amp;diams; CYCLOHEXANOL, 2-TERT-PENTYL-, ACETATE&lt;br /&gt;&amp;diams; 2-(1,1-DIMETHYLPROPYL)CYCLOHEXYL ACETATE</t>
  </si>
  <si>
    <t xml:space="preserve"> 2721-22-4</t>
  </si>
  <si>
    <t xml:space="preserve"> DELTA-TETRADECALACTONE</t>
  </si>
  <si>
    <t xml:space="preserve"> &amp;diams; DELTA-TETRADECALACTONE&lt;br /&gt;&amp;diams; TETRAHYDRO-6-NONYL-2H-PYRAN-2-ONE&lt;br /&gt;&amp;diams; TETRADECALACTONE, DELTA-&lt;br /&gt;&amp;diams; 2H-PYRAN-2-ONE, TETRAHYDRO-6-NONYL-&lt;br /&gt;&amp;diams; 5-HYDROXYTETRADECANOIC ACID DELTA-LACTONE</t>
  </si>
  <si>
    <t xml:space="preserve"> 64461-99-0</t>
  </si>
  <si>
    <t xml:space="preserve"> TETRADEC-2-ENAL</t>
  </si>
  <si>
    <t xml:space="preserve"> &amp;diams; 2-TETRADECANAL&lt;br /&gt;&amp;diams; TETRADEC-2-ENAL</t>
  </si>
  <si>
    <t xml:space="preserve"> 169054-69-7</t>
  </si>
  <si>
    <t xml:space="preserve"> (Z)-8-TETRADECENAL</t>
  </si>
  <si>
    <t xml:space="preserve"> &amp;diams; 8-TETRADECENAL, CIS-&lt;br /&gt;&amp;diams; 8-tetradecenal, (8Z)-&lt;br /&gt;&amp;diams; 8-tetradecenal, (Z)-</t>
  </si>
  <si>
    <t xml:space="preserve"> 15456-70-9</t>
  </si>
  <si>
    <t xml:space="preserve"> 9-TETRADECEN-5-OLIDE</t>
  </si>
  <si>
    <t xml:space="preserve"> &amp;diams; 5-HYDROXY-9-TETRADECENOIC ACID DELTA-LACTONE&lt;br /&gt;&amp;diams; 2H-pyran-2-one, tetrahydro-6-(4-nonen-1-yl)-&lt;br /&gt;&amp;diams; tetrahydro-6-(4-nonen-1-yl)-2H-pyran-2-one&lt;br /&gt;&amp;diams; 2H-pyran-2-one, tetrahydro-6-(4-nonenyl)-&lt;br /&gt;&amp;diams; tetrahydro-6-(4-nonenyl)-2H-pyran-2-one&lt;br /&gt;&amp;diams; 9-tetradecen-5-olide</t>
  </si>
  <si>
    <t xml:space="preserve"> 26658-42-4</t>
  </si>
  <si>
    <t xml:space="preserve"> TETRAETHYLENEPENTAMINE CROSSLINKED WITH EPICHLOROHYDRIN</t>
  </si>
  <si>
    <t xml:space="preserve"> &amp;diams; POLY(EPICHLOROHYDRIN-CO-TETRAETHYLENEPENTAMINE)&lt;br /&gt;&amp;diams; EPICHLOROHYDRIN-TETRAETHYLENEPENTAMINE COPOLYMER&lt;br /&gt;&amp;diams; POLY((CHLOROMETHYL)OXIRANE-CO-N-(2-AMINOETHYL)-N'-(2-((2-AMINOETHYL)AMINO)ETHYL)-1,2-ETHANEDIAMINE)&lt;br /&gt;&amp;diams; POLY(1-CHLORO-2,3-EPOXYPROPANE-CO-TETRAETHYLENEPENTAMINE)&lt;br /&gt;&amp;diams; TETRAETHYLENEPENTAMINE, CROSS-LINKED WITH EPICHLOROHYDRIN&lt;br /&gt;&amp;diams; TETRAETHYLENEPENTAMINE-EPICHLOROHYDRIN COPOLYMER&lt;br /&gt;&amp;diams; TETRAETHYLENEPENTAMINE, POLYMER WITH 1-CHLORO-2,3-EPOXYPROPANE&lt;br /&gt;&amp;diams; 1,2-ETHANEDIAMINE, N-(2-AMINOETHYL)-N'-(2-((2-AMINOETHYL)AMINO)ETHYL)-, POLYMER WITH (CHLOROMETHYL)OXIRANE</t>
  </si>
  <si>
    <t xml:space="preserve"> 18114-49-3</t>
  </si>
  <si>
    <t xml:space="preserve"> 1,1'-(TETRAHYDRO-6A-HYDROXY-2,3A,5-TRIMETHYLFURO[2,3-D]-1,3-DIOXOLE-2,5-DIYL)BIS-ETHANONE</t>
  </si>
  <si>
    <t xml:space="preserve"> &amp;diams; 2,5-DIACETYL-3A,5,6,6A-TETRAHYDRO-6A-HYDROXY-2,3A,5-TRIMETHYLFUR&lt;br /&gt;&amp;diams; 2,3-BUTANEDIONE TRIMER&lt;br /&gt;&amp;diams; ethanone, 1-(2-acetyltetrahydro-6a-hydroxy-2,3a,5-trimethylfuro(2,3-d)-1,3-dioxol-5-yl)-&lt;br /&gt;&amp;diams; 1-(2-acetyltetrahydro-6a-hydroxy-2,3a,5-trimethylfuro(2,3-d)-1,3-dioxol-5-yl)ethanone&lt;br /&gt;&amp;diams; InChI=1S/C12H18O6/c1-7(13)9(3)6-12(15)11(5,16-9)17-10(4,18-12)8(2)14/h15H,6H2,1-5H3&lt;br /&gt;&amp;diams; InChIKey: TXTNKDRGVWKECN-UHFFFAOYSA-N&lt;br /&gt;&amp;diams; ethanone, 1,1'-(tetrahydro-6a-hydroxy-2,3a-trimethylfuro(2,3-d)-1,3-dioxole-2,5-diyl)bis-&lt;br /&gt;&amp;diams; 1,1'-(tetrahydro-6a-hydroxy-2,3a-trimethylfuro(2,3-d)-1,3-dioxole-2,5-diyl)bis&lt;br /&gt;&amp;diams; furo(2,3-d)-1,3-dioxol-6a(3aH)-ol, 2,5-diacetyldihydro-2,3a,5-trimethyl-&lt;br /&gt;&amp;diams; 2,5-diacetyldihydro-2,3a,5-trimethylfuro(2,3-d)-1,3-dioxol-6a(3aH)-ol</t>
  </si>
  <si>
    <t xml:space="preserve"> 56424-87-4</t>
  </si>
  <si>
    <t xml:space="preserve"> 1,2,5,6-TETRAHYDROCUMINIC ACID</t>
  </si>
  <si>
    <t xml:space="preserve"> &amp;diams; 1,2,5,6-TETRAHYDROCUMINIC ACID&lt;br /&gt;&amp;diams; 3-CYCLOHEXENE-1-CARBOXYLIC ACID, 4-(1-METHYLETHYL)-&lt;br /&gt;&amp;diams; 3-CYCLOHEXENE-1-CARBOXYLIC ACID, 4-ISOPROPYL-&lt;br /&gt;&amp;diams; 4-(1-METHYLETHYL)-3-CYCLOHEXENE-1-CARBOXYLIC ACID&lt;br /&gt;&amp;diams; 4-ISOPROPYL-3-CYCLOHEXENE-1-CARBOXYLIC ACID</t>
  </si>
  <si>
    <t xml:space="preserve"> 494-90-6</t>
  </si>
  <si>
    <t xml:space="preserve"> 4,5,6,7-TETRAHYDRO-3,6-DIMETHYLBENZOFURAN</t>
  </si>
  <si>
    <t xml:space="preserve"> &amp;diams; MENTHOFURAN&lt;br /&gt;&amp;diams; 4,5,6,7-TETRAHYDRO-3,6-DIMETHYLBENZOFURAN&lt;br /&gt;&amp;diams; BENZOFURAN, 4,5,6,7-TETRAHYDRO-3,6-DIMETHYL-&lt;br /&gt;&amp;diams; P-MENTHA-3,8-DIENE, 3,9-EPOXY-&lt;br /&gt;&amp;diams; 3,9-EPOXY-P-MENTHA-3,8-DIENE&lt;br /&gt;&amp;diams; 4,5,6,7-TETRAHYDRO-3,6-DIMETHYLCOUMARONE</t>
  </si>
  <si>
    <t xml:space="preserve"> 637-64-9</t>
  </si>
  <si>
    <t xml:space="preserve"> TETRAHYDROFURFURYL ACETATE</t>
  </si>
  <si>
    <t xml:space="preserve"> &amp;diams; TETRAHYDROFURFURYL ACETATE&lt;br /&gt;&amp;diams; FURFURYL ALCOHOL, TETRAHYDRO-, ACETATE&lt;br /&gt;&amp;diams; TETRAHYDRO-2-FURANMETHYL ACETATE&lt;br /&gt;&amp;diams; 2-FURANMETHANOL, TETRAHYDRO-, ACETATE&lt;br /&gt;&amp;diams; 2-ACETOXYMETHYLOXOLANE&lt;br /&gt;&amp;diams; 2-(ACETOXYMETHYL)TETRAHYDROFURAN</t>
  </si>
  <si>
    <t xml:space="preserve"> 97-99-4</t>
  </si>
  <si>
    <t xml:space="preserve"> TETRAHYDROFURFURYL ALCOHOL</t>
  </si>
  <si>
    <t xml:space="preserve"> &amp;diams; TETRAHYDROFURFURYL ALCOHOL&lt;br /&gt;&amp;diams; FURFURYL ALCOHOL, TETRAHYDRO-&lt;br /&gt;&amp;diams; TETRAHYDRO-2-FURANMETHANOL&lt;br /&gt;&amp;diams; TETRAHYDRO-2-FURYLMETHANOL&lt;br /&gt;&amp;diams; TETRAHYDRO-2-FURANCARBINOL&lt;br /&gt;&amp;diams; THFA&lt;br /&gt;&amp;diams; TETRAHYDRO-2-FURANYLMETHANOL&lt;br /&gt;&amp;diams; 2-FURANMETHANOL, TETRAHYDRO-&lt;br /&gt;&amp;diams; 2-(HYDROXYMETHYL)TETRAHYDROFURAN&lt;br /&gt;&amp;diams; 2-TETRAHYDROFURANMETHANOL</t>
  </si>
  <si>
    <t xml:space="preserve"> 2217-33-6</t>
  </si>
  <si>
    <t xml:space="preserve"> TETRAHYDROFURFURYL BUTYRATE</t>
  </si>
  <si>
    <t xml:space="preserve"> &amp;diams; TETRAHYDROFURFURYL BUTYRATE&lt;br /&gt;&amp;diams; BUTANOIC ACID, (TETRAHYDRO-2-FURANYL)METHYL ESTER&lt;br /&gt;&amp;diams; (TETRAHYDRO-2-FURANYL)METHYL BUTANOATE&lt;br /&gt;&amp;diams; BUTYRIC ACID, TETRAHYDROFURFURYL ESTER&lt;br /&gt;&amp;diams; TETRAHYDRO-2-FURYLMETHYL BUTANOATE</t>
  </si>
  <si>
    <t xml:space="preserve"> 65505-25-1</t>
  </si>
  <si>
    <t xml:space="preserve"> TETRAHYDROFURFURYL CINNAMATE</t>
  </si>
  <si>
    <t xml:space="preserve"> &amp;diams; TETRAHYDROFURFURYL CINNAMATE&lt;br /&gt;&amp;diams; (TETRAHYDRO-2-FURANYL)METHYL 3-PHENYL-2-PROPENOATE&lt;br /&gt;&amp;diams; TETRAHYDROFURFURYL 3-PHENYLPROPENOATE&lt;br /&gt;&amp;diams; TETRAHYDRO-2-FURYLMETHYL 3-PHENYLPROPENOATE&lt;br /&gt;&amp;diams; TETRAHYDRO-2-FURYLMETHYL CINNAMATE&lt;br /&gt;&amp;diams; 2-PROPENOIC ACID, 3-PHENYL-, (TETRAHYDRO-2-FURANYL)METHYL ESTER</t>
  </si>
  <si>
    <t xml:space="preserve"> 99253-91-5</t>
  </si>
  <si>
    <t xml:space="preserve"> 2-TETRAHYDROFURFURYL 2-MERCAPTOPROPIONATE</t>
  </si>
  <si>
    <t xml:space="preserve"> &amp;diams; TETRAHYDROFURFURYL 2-MERCAPTOPROPIONATE&lt;br /&gt;&amp;diams; propionic acid, 2-mercapto-, (tetrahydro-2-furanyl)methyl ester&lt;br /&gt;&amp;diams; (tetrahydro-2-furanyl)methyl 2-mercaptopropanoate</t>
  </si>
  <si>
    <t xml:space="preserve"> 637-65-0</t>
  </si>
  <si>
    <t xml:space="preserve"> TETRAHYDROFURFURYL PROPIONATE</t>
  </si>
  <si>
    <t xml:space="preserve"> &amp;diams; TETRAHYDROFURFURYL PROPIONATE&lt;br /&gt;&amp;diams; FURFURYL ALCOHOL, TETRAHYDRO-, PROPIONATE&lt;br /&gt;&amp;diams; TETRAHYDROFURFURYL PROPANOATE&lt;br /&gt;&amp;diams; TETRAHYDRO-2-FURANMETHYL PROPANOATE&lt;br /&gt;&amp;diams; 2-TETRAHYDROFURYLMETHYL PROPIONATE&lt;br /&gt;&amp;diams; 2-FURANMETHANOL, TETRAHYDRO-, PROPANOATE</t>
  </si>
  <si>
    <t xml:space="preserve"> 78-69-3</t>
  </si>
  <si>
    <t xml:space="preserve"> TETRAHYDROLINALOOL</t>
  </si>
  <si>
    <t xml:space="preserve"> &amp;diams; TETRAHYDROLINALOOL&lt;br /&gt;&amp;diams; 3,7-DIMETHYL-3-OCTANOL&lt;br /&gt;&amp;diams; 3,7-DIMETHYLOCTAN-3-OL&lt;br /&gt;&amp;diams; 3-OCTANOL, 3,7-DIMETHYL-&lt;br /&gt;&amp;diams; LINALOOL TETRAHYDRIDE</t>
  </si>
  <si>
    <t xml:space="preserve"> 16409-43-1</t>
  </si>
  <si>
    <t xml:space="preserve"> TETRAHYDRO-4-METHYL-2-(2-METHYLPROPEN-1-YL)PYRAN</t>
  </si>
  <si>
    <t xml:space="preserve"> &amp;diams; ROSE OXIDE&lt;br /&gt;&amp;diams; TETRAHYDRO-4-METHYL-2-(2-METHYL-1-PROPENYL)PYRAN&lt;br /&gt;&amp;diams; 2H-PYRAN, TETRAHYDRO-4-METHYL-2-(2-METHYL-1-PROPENYL)-&lt;br /&gt;&amp;diams; TETRAHYDRO-4-METHYL-2-(2-METHYL-1-PROPENYL)-2H-PYRAN&lt;br /&gt;&amp;diams; 2H-PYRAN, TETRAHYDRO-4-METHYL-2-(2-METHYLPROPENYL)-&lt;br /&gt;&amp;diams; TETRAHYDRO-4-METHYL-2-(2-METHYLPROPENYL)-2H-PYRAN&lt;br /&gt;&amp;diams; PYRAN, TETRAHYDRO-4-METHYL-2-(2-METHYLPROPENYL)-</t>
  </si>
  <si>
    <t xml:space="preserve"> 4433-36-7</t>
  </si>
  <si>
    <t xml:space="preserve"> TETRAHYDRO-PSEUDO-IONONE</t>
  </si>
  <si>
    <t xml:space="preserve"> &amp;diams; TETRAHYDRO-PSEUDO-IONONE&lt;br /&gt;&amp;diams; DIHYDROGERANYLACETONE&lt;br /&gt;&amp;diams; 3,4,5,6-TETRAHYDROPSEUDOIONONE&lt;br /&gt;&amp;diams; 6,10-DIMETHYL-9-UNDECEN-2-ONE&lt;br /&gt;&amp;diams; 9-UNDECEN-2-ONE, 6,10-DIMETHYL-</t>
  </si>
  <si>
    <t xml:space="preserve"> 34413-35-9</t>
  </si>
  <si>
    <t xml:space="preserve"> 5,6,7,8-TETRAHYDROQUINOXALINE</t>
  </si>
  <si>
    <t xml:space="preserve"> &amp;diams; 5,6,7,8-TETRAHYDROQUINOXALINE&lt;br /&gt;&amp;diams; CYCLOHEXAPYRAZINE&lt;br /&gt;&amp;diams; QUINOXALINE, 5,6,7,8-TETRAHYDRO-&lt;br /&gt;&amp;diams; TETRAHYDROQUINOXALINE</t>
  </si>
  <si>
    <t xml:space="preserve"> 97866-86-9</t>
  </si>
  <si>
    <t xml:space="preserve"> 2,2,6,7-TETRAMETHYLBICYCLO[4.3.0]NONA-4,9(1)-DIEN-8-OL</t>
  </si>
  <si>
    <t xml:space="preserve"> &amp;diams; 2,2,6,7-TETRAMETHYLBICYCLO(4.3.0)NONA-4,9(1)-DIEN-8-OL&lt;br /&gt;&amp;diams; 1H-inden-2-ol, 2,4,5,7a-tetrahydro-1,4,4,7a-tetramethyl-&lt;br /&gt;&amp;diams; 2,4,5,7a-tetrahydro-1,4,4,7a-tetramethyl-1H-inden-2-ol</t>
  </si>
  <si>
    <t xml:space="preserve"> 97844-16-1</t>
  </si>
  <si>
    <t xml:space="preserve"> 2,2,6,7-TETRAMETHYLBICYCLO[4.3.0]NONA-4,9(1)-DIEN-8-ONE</t>
  </si>
  <si>
    <t xml:space="preserve"> &amp;diams; 2,2,6,7-TETRAMETHYLBICYCLO[4.3.0]NONA-4,9(1)-DIEN-8-ONE&lt;br /&gt;&amp;diams; 2H-inden-2-one, 1,4,5,7a-tetrahydro-1,4,4,7a-tetramethyl-&lt;br /&gt;&amp;diams; 1,4,5,7a-tetrahydro-1,4,4,7a-tetramethyl-2H-inden-2-one</t>
  </si>
  <si>
    <t xml:space="preserve"> 140-66-9</t>
  </si>
  <si>
    <t xml:space="preserve"> ALPHA-{P-(1,1,3,3-TETRAMETHYLBUTYL)PHENYL}-OMEGA-HYDROXYPOLY(OXYETHYLENE)</t>
  </si>
  <si>
    <t xml:space="preserve"> &amp;diams; 4-TERT-OCTYLPHENOL&lt;br /&gt;&amp;diams; (1,1,3,3-TETRAMETHYLBUTYL)PHENOL, P-&lt;br /&gt;&amp;diams; 4-(1,1,3,3-TETRAMETHYLBUTYL)PHENOL&lt;br /&gt;&amp;diams; OCTYLPHENOL, P-TERT-&lt;br /&gt;&amp;diams; PHENOL, 4-(1,1,3,3-TETRAMETHYLBUTYL)-&lt;br /&gt;&amp;diams; PHENOL, P-(1,1,3,3-TETRAMETHYLBUTYL)-</t>
  </si>
  <si>
    <t xml:space="preserve"> 2315-67-5</t>
  </si>
  <si>
    <t xml:space="preserve"> ALPHA-(P-(1,1,3,3-TETRAMETHYLBUTYL)PHENYL)-OMEGA-HYDROXYPOLY(OXYETHYLENE)(1 MOL)</t>
  </si>
  <si>
    <t xml:space="preserve"> &amp;diams; OCTOXYNOL 1&lt;br /&gt;&amp;diams; 2-(4-(1,1,3,3-TETRAMETHYLBUTYL)PHENOXY)ETHANOL&lt;br /&gt;&amp;diams; ETHANOL, 2-(4-(1,1,3,3-TETRAMETHYLBUTYL)PHENOXY)-&lt;br /&gt;&amp;diams; ETHANOL, 2-(P-(1,1,3,3-TETRAMETHYLBUTYL)PHENOXY)-&lt;br /&gt;&amp;diams; 2-(P-(1,1,3,3-TETRAMETHYLBUTYL)PHENOXY)ETHANOL&lt;br /&gt;&amp;diams; ALPHA-(P-(1,1,3,3-TETRAMETHYLBUTYL)PHENOXY)ETHANOL</t>
  </si>
  <si>
    <t xml:space="preserve"> 9002-93-1</t>
  </si>
  <si>
    <t xml:space="preserve"> ALPHA-(P-(1,1,3,3-TETRAMETHYLBUTYL)PHENYL)-OMEGA-HYDROXYPOLY(OXYETHYLENE)(GREATER THAN 1 MOL)</t>
  </si>
  <si>
    <t xml:space="preserve"> &amp;diams; OCTOXYNOL&lt;br /&gt;&amp;diams; PEG 4-ISOOCTYLPHENYL ETHER&lt;br /&gt;&amp;diams; 4-(1,1,3,3-TETRAMETHYLBUTYL)PHENOL, ETHOXYLATED&lt;br /&gt;&amp;diams; 4-TERT-OCTYLPHENYL PEG ETHER&lt;br /&gt;&amp;diams; 4-(1,1,3,3-TETRAMETHYLBUTYL)PHENYL HYDROXYPOLY(OXYETHYLENE)&lt;br /&gt;&amp;diams; ALPHA-(P-(1,1,3,3-TETRAMETHYLBUTYL)PHENYL)-OMEGA-HYDROXYPOLY(OXYETHYLENE)&lt;br /&gt;&amp;diams; PEG 4-TERT-OCTYLPHENYL ETHER&lt;br /&gt;&amp;diams; POLY(OXY-1,2-ETHANEDIYL), ALPHA-(4-(1,1,3,3-TETRAMETHYLBUTYL)PHENYL)-OMEGA-HYDROXY-&lt;br /&gt;&amp;diams; GLYCOLS, POLYETHYLENE, MONO(P-(1,1,3,3-TETRAMETHYLBUTYL)PHENYL) ETHER&lt;br /&gt;&amp;diams; PHENOL, P-(1,1,3,3-TETRAMETHYLBUTYL)-, MONOETHER WITH POLYETHYLENE GLYCOL&lt;br /&gt;&amp;diams; ALPHA-(4-(1,1,3,3-TETRAMETHYLBUTYL)PHENYL)-OMEGA-HYDROXYPOLY(OXY-1,2-ETHANEDIYL)&lt;br /&gt;&amp;diams; POLYETHYLENE GLYCOL MONO(P-(1,1,3,3-TETRAMETHYLBUTYL)PHENYL) ETHER&lt;br /&gt;&amp;diams; PEG P-TERT-OCTYLPHENYL ETHER&lt;br /&gt;&amp;diams; PEG (P-(1,1,3,3-TETRAMETHYLBUTYL)PHENYL) ETHER</t>
  </si>
  <si>
    <t xml:space="preserve"> 977045-69-4</t>
  </si>
  <si>
    <t xml:space="preserve"> TETRAMETHYL ETHYLCYCLOHEXENONE (MIXTURE OF ISOMERS)</t>
  </si>
  <si>
    <t xml:space="preserve"> &amp;diams; ETHYLTETRAMETHYLCYCLOHEXENONE&lt;br /&gt;&amp;diams; TETRAMETHYL ETHYLCYCLOHEXENONE&lt;br /&gt;&amp;diams; TETRAMETHYLETHYLCYCLOHEXENONE</t>
  </si>
  <si>
    <t xml:space="preserve"> 80722-28-7</t>
  </si>
  <si>
    <t xml:space="preserve"> (+/-)-2,6,10,10-TETRAMETHYL-1-OXASPIRO[4,5]DECA-2,6-DIEN-8-ONE</t>
  </si>
  <si>
    <t xml:space="preserve"> &amp;diams; 2,6,10,10-TETRAMETHYL-1-OXASPIRO(4.5)DECA-2,6-DIEN-8-ONE&lt;br /&gt;&amp;diams; 1-oxaspiro[4.5]deca-2,6-dien-8-one, 2,6,10,10-tetramethyl&lt;br /&gt;&amp;diams; 1-oxaspiro(4.5)deca-2,6-dien-8-one, 2,6,10,10-tetramethyl-&lt;br /&gt;&amp;diams; InChI=1S/C13H18O2/c1-9-7-11(14)8-12(3,4)13(9)6-5-10(2)15-13/h5,7H,6,8H2,1-4H3&lt;br /&gt;&amp;diams; InChIKey: PYBOFDINXIGETR-UHFFFAOYSA-N</t>
  </si>
  <si>
    <t xml:space="preserve"> 6790-58-5</t>
  </si>
  <si>
    <t xml:space="preserve"> 1,5,5,9-TETRAMETHYL-13-OXATRICYCLO(8.3.0.0(4,9))TRIDECANE</t>
  </si>
  <si>
    <t xml:space="preserve"> &amp;diams; 1,5,5,9-TETRAMETHYL-13-OXATRICYCLO(8.3.0.0(SUP 4,9))TRIDECANE&lt;br /&gt;&amp;diams; AMBROXIDE&lt;br /&gt;&amp;diams; DODECAHYDRO-3A,6,6,9A-TETRAMETHYLNAPHTHO(2,1-B)FURAN, (3AR-(3AALPHA,5ABETA,9AALPHA,9BBETA))-&lt;br /&gt;&amp;diams; NAPHTHO(2,1-B)FURAN, DODECAHYDRO-3A,6,6,9A-TETRAMETHYL-, (3AR-(3AALPHA,5ABETA,9AALPHA,9BBETA))-</t>
  </si>
  <si>
    <t xml:space="preserve"> 1124-11-4</t>
  </si>
  <si>
    <t xml:space="preserve"> 2,3,5,6-TETRAMETHYLPYRAZINE</t>
  </si>
  <si>
    <t xml:space="preserve"> &amp;diams; TETRAMETHYLPYRAZINE&lt;br /&gt;&amp;diams; 2,3,5,6-TETRAMETHYLPYRAZINE&lt;br /&gt;&amp;diams; PYRAZINE, TETRAMETHYL-&lt;br /&gt;&amp;diams; BS FACTOR&lt;br /&gt;&amp;diams; TETRAPYRAZINE</t>
  </si>
  <si>
    <t xml:space="preserve"> 53850-34-3</t>
  </si>
  <si>
    <t xml:space="preserve"> THAUMATIN</t>
  </si>
  <si>
    <t xml:space="preserve"> &amp;diams; THAUMATIN&lt;br /&gt;&amp;diams; PROTEINS, THAUMATINS</t>
  </si>
  <si>
    <t xml:space="preserve"> 977178-03-2</t>
  </si>
  <si>
    <t xml:space="preserve"> THAUMATIN B, RECOMBINANT</t>
  </si>
  <si>
    <t xml:space="preserve"> &amp;diams; THAUMATIN B, RECOMBINANT&lt;br /&gt;&amp;diams; R-THAUMATIN</t>
  </si>
  <si>
    <t xml:space="preserve"> 36431-72-8</t>
  </si>
  <si>
    <t xml:space="preserve"> THEASPIRANE</t>
  </si>
  <si>
    <t xml:space="preserve"> &amp;diams; THEASPIRANE&lt;br /&gt;&amp;diams; 1-OXASPIRO-2,6,10,10-TETRAMETHYL(4.5)DEC-6-ENE&lt;br /&gt;&amp;diams; 1-OXASPIRO(4.5)DEC-6-ENE, 2,6,10,10-TETRAMETHYL-&lt;br /&gt;&amp;diams; 2,6,10,10-TETRAMETHYL-1-OXASPIRO(4.5)DEC-6-ENE</t>
  </si>
  <si>
    <t xml:space="preserve"> 83-67-0</t>
  </si>
  <si>
    <t xml:space="preserve"> THEOBROMINE</t>
  </si>
  <si>
    <t xml:space="preserve"> &amp;diams; THEOBROMINE&lt;br /&gt;&amp;diams; 3,7-DIHYDRO-3,7-DIMETHYL-1H-PURINE-2,6-DIONE&lt;br /&gt;&amp;diams; 3,7-DIMETHYLXANTHINE&lt;br /&gt;&amp;diams; 1H-PURINE-2,6-DIONE, 3,7-DIHYDRO-3,7-DIMETHYL-</t>
  </si>
  <si>
    <t xml:space="preserve"> 59-43-8</t>
  </si>
  <si>
    <t xml:space="preserve"> THIAMINE</t>
  </si>
  <si>
    <t xml:space="preserve"> &amp;diams; THIAMINE&lt;br /&gt;&amp;diams; VITAMIN B1&lt;br /&gt;&amp;diams; ANEURINE&lt;br /&gt;&amp;diams; THIAMINE MONOCHLORIDE&lt;br /&gt;&amp;diams; THIAZOLIUM, 3-((4-AMINO-2-METHYL-5-PYRIMIDINYL)METHYL)-5-(2-HYDROXYETHYL)-4-METHYL- CHLORIDE&lt;br /&gt;&amp;diams; 3-((4-AMINO-2-METHYL-5-PYRIMIDINYL)METHYL)-5-(2-HYDROXYETHYL)-4-METHYLTHIAZOLIUM CHLORIDE&lt;br /&gt;&amp;diams; THIAMIN</t>
  </si>
  <si>
    <t xml:space="preserve"> 532-43-4</t>
  </si>
  <si>
    <t xml:space="preserve"> THIAMINE MONONITRATE</t>
  </si>
  <si>
    <t xml:space="preserve"> &amp;diams; THIAMINE MONONITRATE&lt;br /&gt;&amp;diams; VITAMIN B1 MONONITRATE&lt;br /&gt;&amp;diams; ANEURINE MONONITRATE&lt;br /&gt;&amp;diams; THIAZOLIUM, 3-((4-AMINO-2-METHYL-5-PYRIMIDINYL)METHYL)-5-(2-HYDROXYETHYL)-4-METHYL-, NITRATE (SALT)&lt;br /&gt;&amp;diams; 3-((4-AMINO-2-METHYL-5-PYRIMIDINYL)METHYL)-5-(2-HYDROXYETHYL)-4-METHYLTHIAZOLIUM NITRATE&lt;br /&gt;&amp;diams; THIAMINE NITRATE (SALT)</t>
  </si>
  <si>
    <t xml:space="preserve"> 288-47-1</t>
  </si>
  <si>
    <t xml:space="preserve"> THIAZOLE</t>
  </si>
  <si>
    <t xml:space="preserve"> &amp;diams; THIAZOLE</t>
  </si>
  <si>
    <t xml:space="preserve"> 6911-51-9</t>
  </si>
  <si>
    <t xml:space="preserve"> 2-THIENYL DISULFIDE</t>
  </si>
  <si>
    <t xml:space="preserve"> &amp;diams; 2,2'-DITHIOBIS(THIOPHENE)&lt;br /&gt;&amp;diams; ALPHA,ALPHA'-DITHIENYL DISULFIDE&lt;br /&gt;&amp;diams; DI-2-THIENYL DISULFIDE&lt;br /&gt;&amp;diams; THIOPHENE, 2,2'-DITHIOBIS-&lt;br /&gt;&amp;diams; THIOPHENE, 2,2'-DITHIODI-&lt;br /&gt;&amp;diams; 2,2'-DITHIODITHIOPHENE&lt;br /&gt;&amp;diams; 2-THIENYL DISULFIDE&lt;br /&gt;&amp;diams; 2,2'-BIS(THIENYL) DISULFIDE</t>
  </si>
  <si>
    <t xml:space="preserve"> 94089-02-8</t>
  </si>
  <si>
    <t xml:space="preserve"> 1-(2-THIENYL)ETHANETHIOL</t>
  </si>
  <si>
    <t xml:space="preserve"> &amp;diams; 1-(2-THIENYL)ETHANETHIOL&lt;br /&gt;&amp;diams; 2-thiophenemethanethiol, alpha-methyl-&lt;br /&gt;&amp;diams; alpha-methyl-2-thiophenemethanethiol&lt;br /&gt;&amp;diams; 1-(2'-thienyl)ethylmercaptan</t>
  </si>
  <si>
    <t xml:space="preserve"> 7774-74-5</t>
  </si>
  <si>
    <t xml:space="preserve"> 2-THIENYL MERCAPTAN</t>
  </si>
  <si>
    <t xml:space="preserve"> &amp;diams; 2-THIOPHENETHIOL&lt;br /&gt;&amp;diams; 2-MERCAPTOTHIOPHENE&lt;br /&gt;&amp;diams; 2-THIENYL MERCAPTAN&lt;br /&gt;&amp;diams; 2-THIENYLTHIOL&lt;br /&gt;&amp;diams; ALPHA-THIENYL MERCAPTAN</t>
  </si>
  <si>
    <t xml:space="preserve"> 636-72-6</t>
  </si>
  <si>
    <t xml:space="preserve"> 2-THIENYLMETHANOL</t>
  </si>
  <si>
    <t xml:space="preserve"> &amp;diams; 2-THIOPHENEMETHANOL&lt;br /&gt;&amp;diams; 2-thienylmethanol&lt;br /&gt;&amp;diams; 2-(hydroxymethyl)thiophene&lt;br /&gt;&amp;diams; thiophene-2-methanol</t>
  </si>
  <si>
    <t xml:space="preserve"> 507-09-5</t>
  </si>
  <si>
    <t xml:space="preserve"> THIOACETIC ACID</t>
  </si>
  <si>
    <t xml:space="preserve"> &amp;diams; THIOACETIC ACID&lt;br /&gt;&amp;diams; acetyl mercaptan&lt;br /&gt;&amp;diams; ethanethioic acid&lt;br /&gt;&amp;diams; acetic acid, thio-&lt;br /&gt;&amp;diams; InChI=1S/C2H4OS/c1-2(3)4/h1H3,(H,3,4)&lt;br /&gt;&amp;diams; InChIKey: DUYAAUVXQSMXQP-UHFFFAOYSA-N</t>
  </si>
  <si>
    <t xml:space="preserve"> 13678-67-6</t>
  </si>
  <si>
    <t xml:space="preserve"> 2,2'-(THIODIMETHYLENE)-DIFURAN</t>
  </si>
  <si>
    <t xml:space="preserve"> &amp;diams; 2,2'-(THIODIMETHYLENE) DIFURAN&lt;br /&gt;&amp;diams; BIS(2-FURFURYL) SULFIDE&lt;br /&gt;&amp;diams; DIFURFURYL SULFIDE&lt;br /&gt;&amp;diams; FURAN, 2,2'-(THIOBIS(METHYLENE))BIS-&lt;br /&gt;&amp;diams; FURAN, 2,2'-(THIODIMETHYLENE)DI-&lt;br /&gt;&amp;diams; FURFURYL SULFIDE&lt;br /&gt;&amp;diams; 2-FURFURYL MONOSULFIDE&lt;br /&gt;&amp;diams; 2,2'-(THIOBIS(METHYLENE))BIS(FURAN)</t>
  </si>
  <si>
    <t xml:space="preserve"> 111-17-1</t>
  </si>
  <si>
    <t xml:space="preserve"> THIODIPROPIONIC ACID</t>
  </si>
  <si>
    <t xml:space="preserve"> &amp;diams; THIODIPROPIONIC ACID&lt;br /&gt;&amp;diams; 3,3'-THIODIPROPIONIC ACID&lt;br /&gt;&amp;diams; PROPANOIC ACID, 3,3'-THIOBIS-&lt;br /&gt;&amp;diams; 3,3'-THIOBIS(PROPANOIC ACID)&lt;br /&gt;&amp;diams; PROPIONIC ACID, 3,3'-THIODI-&lt;br /&gt;&amp;diams; DIETHYL SULFIDE 2,2'-DICARBOXYLIC ACID&lt;br /&gt;&amp;diams; 4-THIAHEPTANEDIOIC ACID&lt;br /&gt;&amp;diams; THIAHYDRACRYLIC ACID&lt;br /&gt;&amp;diams; BETA,BETA'-THIODIPROPIONIC ACID</t>
  </si>
  <si>
    <t xml:space="preserve"> 39067-80-6</t>
  </si>
  <si>
    <t xml:space="preserve"> THIOGERANIOL</t>
  </si>
  <si>
    <t xml:space="preserve"> &amp;diams; THIOGERANIOL&lt;br /&gt;&amp;diams; GERANYL MERCAPTAN&lt;br /&gt;&amp;diams; 2,6-OCTADIENE-1-THIOL, 3,7-DIMETHYL-, (E)-&lt;br /&gt;&amp;diams; 3,7-DIMETHYL-2,6-OCTADIENE-1-THIOL, (E)-</t>
  </si>
  <si>
    <t xml:space="preserve"> 62-56-6</t>
  </si>
  <si>
    <t xml:space="preserve"> THIOUREA--PROHIBITED</t>
  </si>
  <si>
    <t xml:space="preserve"> &amp;diams; THIOUREA&lt;br /&gt;&amp;diams; THIOCARBAMIDE&lt;br /&gt;&amp;diams; UREA, THIO-&lt;br /&gt;&amp;diams; BETA-THIOPSEUDOUREA&lt;br /&gt;&amp;diams; 2-THIOUREA&lt;br /&gt;&amp;diams; PSEUDOUREA, 2-THIO-&lt;br /&gt;&amp;diams; 2-THIOPSEUDOUREA</t>
  </si>
  <si>
    <t xml:space="preserve"> 977023-13-4</t>
  </si>
  <si>
    <t xml:space="preserve"> THISTLE, BLESSED (CNICUS BENEDICTUS L.)</t>
  </si>
  <si>
    <t xml:space="preserve"> &amp;diams; BLESSED THISTLE&lt;br /&gt;&amp;diams; CARDUI BENEDICTI&lt;br /&gt;&amp;diams; HOLY THISTLE&lt;br /&gt;&amp;diams; THISTLE, BLESSED&lt;br /&gt;&amp;diams; CNICUS BENEDICTUS&lt;br /&gt;&amp;diams; THISTLE, HOLY</t>
  </si>
  <si>
    <t xml:space="preserve"> 977048-22-8</t>
  </si>
  <si>
    <t xml:space="preserve"> THISTLE, BLESSED, EXTRACT (CNICUS BENEDICTUS L.)</t>
  </si>
  <si>
    <t xml:space="preserve"> &amp;diams; BLESSED THISTLE EXTRACT&lt;br /&gt;&amp;diams; BLESSED THISTLE HERB EXTRACT&lt;br /&gt;&amp;diams; HOLY THISTLE EXTRACT&lt;br /&gt;&amp;diams; THISTLE, BLESSED, EXTRACT</t>
  </si>
  <si>
    <t xml:space="preserve"> 977048-24-0</t>
  </si>
  <si>
    <t xml:space="preserve"> THISTLE, BLESSED, EXTRACT SOLID (CNICUS BENEDICTUS L.)</t>
  </si>
  <si>
    <t xml:space="preserve"> &amp;diams; BLESSED THISTLE EXTRACT, SOLID&lt;br /&gt;&amp;diams; BLESSED THISTLE HERB EXTRACT, SOLID&lt;br /&gt;&amp;diams; BLESSED THISTLE SOLID EXTRACT&lt;br /&gt;&amp;diams; HOLY THISTLE SOLID EXTRACT&lt;br /&gt;&amp;diams; THISTLE, BLESSED, SOLID EXTRACT</t>
  </si>
  <si>
    <t xml:space="preserve"> 977048-23-9</t>
  </si>
  <si>
    <t xml:space="preserve"> THISTLE, BLESSED, OIL (CNICUS BENEDICTUS L.)</t>
  </si>
  <si>
    <t xml:space="preserve"> &amp;diams; BLESSED THISTLE OIL&lt;br /&gt;&amp;diams; BLESSED THISTLE HERB OIL&lt;br /&gt;&amp;diams; THISTLE, BLESSED, OIL&lt;br /&gt;&amp;diams; HOLY THISTLE OIL</t>
  </si>
  <si>
    <t xml:space="preserve"> 72-19-5</t>
  </si>
  <si>
    <t xml:space="preserve"> L-THREONINE</t>
  </si>
  <si>
    <t xml:space="preserve"> &amp;diams; THREONINE, L-&lt;br /&gt;&amp;diams; L-THREONINE&lt;br /&gt;&amp;diams; 2-AMINO-3-HYDROXYBUTANOIC ACID, (R-(R*,S*))-</t>
  </si>
  <si>
    <t xml:space="preserve"> 546-79-2</t>
  </si>
  <si>
    <t xml:space="preserve"> 4-THUJANOL</t>
  </si>
  <si>
    <t xml:space="preserve"> &amp;diams; 4-THUJANOL&lt;br /&gt;&amp;diams; SABINENE HYDRATE&lt;br /&gt;&amp;diams; 2-METHYL-5-(1-METHYLETHYL)BICYCLO(3.1.0)HEXAN-2-OL&lt;br /&gt;&amp;diams; THUJAN-4-OL&lt;br /&gt;&amp;diams; BICYCLO(3.1.0)HEXAN-2-OL, 2-METHYL-5-(1-METHYLETHYL)-</t>
  </si>
  <si>
    <t xml:space="preserve"> 21653-20-3</t>
  </si>
  <si>
    <t xml:space="preserve"> THUJYL ALCOHOL</t>
  </si>
  <si>
    <t xml:space="preserve"> &amp;diams; thujyl alcohol, (1S,3S,4R,5R)-&lt;br /&gt;&amp;diams; 3-neoisothujanol, (-)-&lt;br /&gt;&amp;diams; 3-thujanol, (1S,3S,4R,5R)-(-)-&lt;br /&gt;&amp;diams; 4-methyl-1-(1-methylethyl)bicyclo(3.1.0)hexan-3-ol, (1S,3S,4R,5R)-&lt;br /&gt;&amp;diams; bicyclo(3.1.0)hexan-3-ol, 4-methyl-1-(1-methylethyl)-, (1S,3S,4R,5R)-&lt;br /&gt;&amp;diams; bicyclo(3.1.0)hexan-3-ol, 4-methyl-1-(1-methylethyl)-, (1S-(1alpha,3alpha,4alpha,5alpha))-&lt;br /&gt;&amp;diams; thujyl alcohol, (-)-</t>
  </si>
  <si>
    <t xml:space="preserve"> 84929-51-1</t>
  </si>
  <si>
    <t xml:space="preserve"> THYME, EXTRACT</t>
  </si>
  <si>
    <t xml:space="preserve"> &amp;diams; THYME EXTRACT&lt;br /&gt;&amp;diams; THYME, THYMUS VULGARIS, EXT.&lt;br /&gt;&amp;diams; THYMUS VULGARIS EXTRACT</t>
  </si>
  <si>
    <t xml:space="preserve"> 8007-46-3</t>
  </si>
  <si>
    <t xml:space="preserve"> THYME OIL (THYMUS VULGARIS L. AND T. ZYGIS VAR. GRACILIS BOISS.)</t>
  </si>
  <si>
    <t xml:space="preserve"> &amp;diams; THYME OIL&lt;br /&gt;&amp;diams; THYME, WHITE, OIL&lt;br /&gt;&amp;diams; OILS, THYME</t>
  </si>
  <si>
    <t xml:space="preserve"> 977029-72-3</t>
  </si>
  <si>
    <t xml:space="preserve"> THYME OLEORESIN</t>
  </si>
  <si>
    <t xml:space="preserve"> &amp;diams; THYME OLEORESIN</t>
  </si>
  <si>
    <t xml:space="preserve"> 977052-37-1</t>
  </si>
  <si>
    <t xml:space="preserve"> THYME (THYMUS SERPYLLUM L.)</t>
  </si>
  <si>
    <t xml:space="preserve"> &amp;diams; THYME, WILD&lt;br /&gt;&amp;diams; THYME, CREEPING&lt;br /&gt;&amp;diams; THYMUS SERPYLLUM&lt;br /&gt;&amp;diams; SERPOLET (THYMUS SERPYLLUM)</t>
  </si>
  <si>
    <t xml:space="preserve"> 977052-36-0</t>
  </si>
  <si>
    <t xml:space="preserve"> THYME (THYMUS VULGARIS L.)</t>
  </si>
  <si>
    <t xml:space="preserve"> &amp;diams; THYME&lt;br /&gt;&amp;diams; THYME, WHITE&lt;br /&gt;&amp;diams; THYMUS VULGARIS&lt;br /&gt;&amp;diams; THYME, COMMON&lt;br /&gt;&amp;diams; THYME, GARDEN&lt;br /&gt;&amp;diams; THYM (THYMUS VULGARIS)</t>
  </si>
  <si>
    <t xml:space="preserve"> 84776-98-7</t>
  </si>
  <si>
    <t xml:space="preserve"> THYME, WILD OR CREEPING, EXTRACT (THYMUS SERPYLLUM L.)</t>
  </si>
  <si>
    <t xml:space="preserve"> &amp;diams; THYME EXTRACT, WILD&lt;br /&gt;&amp;diams; MOTHER OF THYME EXTRACT&lt;br /&gt;&amp;diams; THYME EXTRACT, CREEPING&lt;br /&gt;&amp;diams; THYME, THYMUS SERPYLLUM, EXT.&lt;br /&gt;&amp;diams; THYMUS SERPYLLUM EXTRACT</t>
  </si>
  <si>
    <t xml:space="preserve"> 89-83-8</t>
  </si>
  <si>
    <t xml:space="preserve"> THYMOL</t>
  </si>
  <si>
    <t xml:space="preserve"> &amp;diams; THYMOL&lt;br /&gt;&amp;diams; CYMEN-3-OL, P-&lt;br /&gt;&amp;diams; CYMOPHENOL, ALPHA-&lt;br /&gt;&amp;diams; THYME CAMPHOR&lt;br /&gt;&amp;diams; THYMOL, M-&lt;br /&gt;&amp;diams; 1-METHYL-3-HYDROXY-4-ISOPROPYLBENZENE&lt;br /&gt;&amp;diams; 2-ISOPROPYL-5-METHYLPHENOL&lt;br /&gt;&amp;diams; 3-HYDROXY-P-CYMENE&lt;br /&gt;&amp;diams; 3-METHYL-6-ISOPROPYLPHENOL&lt;br /&gt;&amp;diams; 3-P-CYMENOL&lt;br /&gt;&amp;diams; 5-METHYL-2-(1-METHYLETHYL)PHENOL&lt;br /&gt;&amp;diams; 5-METHYL-2-ISOPROPYLPHENOL&lt;br /&gt;&amp;diams; 6-ISOPROPYL-M-CRESOL&lt;br /&gt;&amp;diams; PHENOL, 5-METHYL-2-(1-METHYLETHYL)-&lt;br /&gt;&amp;diams; 2-HYDROXY-1-ISOPROPYL-4-METHYLBENZENE&lt;br /&gt;&amp;diams; 6-ISOPROPYL-3-METHYLPHENOL</t>
  </si>
  <si>
    <t xml:space="preserve"> 13463-67-7</t>
  </si>
  <si>
    <t xml:space="preserve"> TITANIUM DIOXIDE</t>
  </si>
  <si>
    <t xml:space="preserve"> &amp;diams; TITANIUM DIOXIDE&lt;br /&gt;&amp;diams; TITANIUM PEROXIDE&lt;br /&gt;&amp;diams; TITANIUM OXIDE (TIO2)&lt;br /&gt;&amp;diams; C.I. PIGMENT WHITE 6&lt;br /&gt;&amp;diams; TITANIUM(IV) OXIDE&lt;br /&gt;&amp;diams; PIGMENT WHITE 6&lt;br /&gt;&amp;diams; C.I. 77891</t>
  </si>
  <si>
    <t xml:space="preserve"> ANTICAKING AGENT OR FREE-FLOW AGENT,&lt;br /&gt; COLOR OR COLORING ADJUNCT,&lt;br /&gt; DRYING AGENT,&lt;br /&gt; HUMECTANT,&lt;br /&gt; PROCESSING AID,&lt;br /&gt; SURFACE-FINISHING AGENT,&lt;br /&gt; TRACER</t>
  </si>
  <si>
    <t xml:space="preserve"> 58-95-7</t>
  </si>
  <si>
    <t xml:space="preserve"> ALPHA-TOCOPHEROL ACETATE</t>
  </si>
  <si>
    <t xml:space="preserve"> &amp;diams; ALPHA-TOCOPHERYL ACETATE, D-&lt;br /&gt;&amp;diams; ALPHA-TOCOPHERYL ACETATE&lt;br /&gt;&amp;diams; ALPHA-TOCOPHEROL ACETATE&lt;br /&gt;&amp;diams; TOCOPHERYL ACETATE, ALPHA-&lt;br /&gt;&amp;diams; TOCOPHEROL ACETATE, ALPHA-&lt;br /&gt;&amp;diams; TOCOPHERYL ACETATE, D-ALPHA-&lt;br /&gt;&amp;diams; TOCOPHEROL ACETATE&lt;br /&gt;&amp;diams; VITAMIN E ACETATE&lt;br /&gt;&amp;diams; 2H-1-BENZOPYRAN-6-OL, 3,4-DIHYDRO-2,5,7,8-TETRAMETHYL-2-(4,8,12-TRIMETHYLTRIDECYL)-, ACETATE, (2R-(2*(4R*,8R*)))-&lt;br /&gt;&amp;diams; 3,4-DIHYDRO-2,5,7,8-TETRAMETHYL-2-(4,8,12-TRIMETHYLTRIDECYL)-2H-1-BENZOPYRAN-6-YL ACETATE, (2R-(2*(4R*,8R*)))-&lt;br /&gt;&amp;diams; 2,5,7,8-TETRAMETHYL-2-(4,8,12-TRIMETHYLTRIDECYL)-6-CROMANYL ACETATE, (+)-&lt;br /&gt;&amp;diams; 6-CROMANOL, 2,5,7,8-TETRAMETHYL-2-(4,8,12-TRIMETHYLTRIDECYL)-, ACETATE, (+)-&lt;br /&gt;&amp;diams; tocopherol acetate, (+)-alpha-&lt;br /&gt;&amp;diams; tocopheryl acetate, (+)-alpha-</t>
  </si>
  <si>
    <t xml:space="preserve"> 1406-66-2</t>
  </si>
  <si>
    <t xml:space="preserve"> TOCOPHEROLS</t>
  </si>
  <si>
    <t xml:space="preserve"> &amp;diams; TOCOPHEROLS&lt;br /&gt;&amp;diams; METHYLTOCOLS</t>
  </si>
  <si>
    <t xml:space="preserve"> ANTIOXIDANT,&lt;br /&gt; FLAVOR ENHANCER,&lt;br /&gt; FLAVORING AGENT OR ADJUVANT,&lt;br /&gt; NUTRIENT SUPPLEMENT</t>
  </si>
  <si>
    <t xml:space="preserve"> 977041-69-2</t>
  </si>
  <si>
    <t xml:space="preserve"> TOLUALDEHYDE GLYCERYL ACETAL (MIXED O-, M-, P-)</t>
  </si>
  <si>
    <t xml:space="preserve"> &amp;diams; TOLUALDEHYDE GLYCERYL ACETAL</t>
  </si>
  <si>
    <t xml:space="preserve"> 1334-78-7</t>
  </si>
  <si>
    <t xml:space="preserve"> TOLUALDEHYDES (MIXED O-, M-, P-)</t>
  </si>
  <si>
    <t xml:space="preserve"> &amp;diams; TOLUALDEHYDE&lt;br /&gt;&amp;diams; METHYLBENZALDEHYDE&lt;br /&gt;&amp;diams; TOLUALDEHYDE, MIXED O-,M-,P-&lt;br /&gt;&amp;diams; BENZALDEHYDE, METHYL-</t>
  </si>
  <si>
    <t xml:space="preserve"> 977075-28-7</t>
  </si>
  <si>
    <t xml:space="preserve"> TOLU, BALSAM, EXTRACT (MYROXYLON SPP.)</t>
  </si>
  <si>
    <t xml:space="preserve"> &amp;diams; TOLU BALSAM EXTRACT&lt;br /&gt;&amp;diams; TOLU EXTRACT</t>
  </si>
  <si>
    <t xml:space="preserve"> 9000-64-0</t>
  </si>
  <si>
    <t xml:space="preserve"> TOLU, BALSAM, GUM (MYROXYLON SPP.)</t>
  </si>
  <si>
    <t xml:space="preserve"> &amp;diams; TOLU BALSAM&lt;br /&gt;&amp;diams; TOLU BALSAM GUM&lt;br /&gt;&amp;diams; TOLU GUM&lt;br /&gt;&amp;diams; BALSAMS, TOLU&lt;br /&gt;&amp;diams; MYROXYLON BALSAMUM VAR. BALSAMUM&lt;br /&gt;&amp;diams; OPOBALSAM&lt;br /&gt;&amp;diams; TOLU&lt;br /&gt;&amp;diams; MYROXYLON TOLUIFERUM</t>
  </si>
  <si>
    <t xml:space="preserve"> 108-88-3</t>
  </si>
  <si>
    <t xml:space="preserve"> toluene</t>
  </si>
  <si>
    <t xml:space="preserve"> &amp;diams; METHYLBENZENE&lt;br /&gt;&amp;diams; benzene, methyl-&lt;br /&gt;&amp;diams; TOLUOL&lt;br /&gt;&amp;diams; METHYLBENZOL</t>
  </si>
  <si>
    <t xml:space="preserve"> 137-06-4</t>
  </si>
  <si>
    <t xml:space="preserve"> O-TOLUENETHIOL</t>
  </si>
  <si>
    <t xml:space="preserve"> &amp;diams; 2-TOLUENETHIOL&lt;br /&gt;&amp;diams; THIOCRESOL, O-&lt;br /&gt;&amp;diams; 2-METHYLBENZENETHIOL&lt;br /&gt;&amp;diams; TOLYL MERCAPTAN, O-&lt;br /&gt;&amp;diams; 2-METHYLTHIOPHENOL&lt;br /&gt;&amp;diams; BENZENETHIOL, 2-METHYL-&lt;br /&gt;&amp;diams; O-TOLUENETHIOL&lt;br /&gt;&amp;diams; 2-METHYLPHENYLTHIOL&lt;br /&gt;&amp;diams; TOLUENETHIOL, O-&lt;br /&gt;&amp;diams; MERCAPTOTOLUENE, O-&lt;br /&gt;&amp;diams; METHYLBENZENETHIOL, O-&lt;br /&gt;&amp;diams; METHYLTHIOPHENOL, O-&lt;br /&gt;&amp;diams; TOLYLTHIOL, O-</t>
  </si>
  <si>
    <t xml:space="preserve"> 104-09-6</t>
  </si>
  <si>
    <t xml:space="preserve"> P-TOLYLACETALDEHYDE</t>
  </si>
  <si>
    <t xml:space="preserve"> &amp;diams; 4-METHYLBENZENEACETALDEHYDE&lt;br /&gt;&amp;diams; BENZENEACETALDEHYDE, 4-METHYL-&lt;br /&gt;&amp;diams; ACETALDEHYDE, P-TOLYL-&lt;br /&gt;&amp;diams; (4-METHYLPHENYL)ACETALDEHYDE&lt;br /&gt;&amp;diams; METHYLPHENYLACETALDEHYDE, P-&lt;br /&gt;&amp;diams; TOLYLACETALDEHYDE, P-</t>
  </si>
  <si>
    <t xml:space="preserve"> 533-18-6</t>
  </si>
  <si>
    <t xml:space="preserve"> O-TOLYL ACETATE</t>
  </si>
  <si>
    <t xml:space="preserve"> &amp;diams; 2-METHYLPHENYL ACETATE&lt;br /&gt;&amp;diams; ACETIC ACID, 2-METHYLPHENYL ESTER&lt;br /&gt;&amp;diams; ACETIC ACID, O-TOLYL ESTER&lt;br /&gt;&amp;diams; ACETYL-O-CRESOL&lt;br /&gt;&amp;diams; ACETOXYTOLUENE, O-&lt;br /&gt;&amp;diams; CRESYL ACETATE, O-&lt;br /&gt;&amp;diams; CRESYLIC ACETATE, O-&lt;br /&gt;&amp;diams; METHYLPHENYL ACETATE, O-&lt;br /&gt;&amp;diams; TOLYL ACETATE, O-&lt;br /&gt;&amp;diams; 2-ACETOXYTOLUENE</t>
  </si>
  <si>
    <t xml:space="preserve"> 140-39-6</t>
  </si>
  <si>
    <t xml:space="preserve"> P-TOLYL ACETATE</t>
  </si>
  <si>
    <t xml:space="preserve"> &amp;diams; 4-METHYLPHENYL ACETATE&lt;br /&gt;&amp;diams; ACETIC ACID, 4-METHYLPHENYL ESTER&lt;br /&gt;&amp;diams; ACETIC ACID, P-TOLYL ESTER&lt;br /&gt;&amp;diams; ACETYL-P-CRESOL&lt;br /&gt;&amp;diams; CRESYLIC ACETATE, P-&lt;br /&gt;&amp;diams; TOLYL ACETATE, P-&lt;br /&gt;&amp;diams; TOLYL ETHANOATE, P-&lt;br /&gt;&amp;diams; 4-TOLYL ACETATE&lt;br /&gt;&amp;diams; 4-ACETOXYTOLUENE</t>
  </si>
  <si>
    <t xml:space="preserve"> 7774-79-0</t>
  </si>
  <si>
    <t xml:space="preserve"> 4-(P-TOLYL)-2-BUTANONE</t>
  </si>
  <si>
    <t xml:space="preserve"> &amp;diams; 4-(P-TOLYL)-2-BUTANONE&lt;br /&gt;&amp;diams; METHYLBENZYLACETONE, P-&lt;br /&gt;&amp;diams; 2-BUTANONE, 4-(4-METHYLPHENYL)-&lt;br /&gt;&amp;diams; 2-BUTANONE, 4-P-TOLYL-&lt;br /&gt;&amp;diams; 4-(4-METHYLPHENYL)-2-BUTANONE&lt;br /&gt;&amp;diams; 4-(4-TOLYL)-2-BUTANONE</t>
  </si>
  <si>
    <t xml:space="preserve"> 36438-54-7</t>
  </si>
  <si>
    <t xml:space="preserve"> O-TOLYL ISOBUTYRATE</t>
  </si>
  <si>
    <t xml:space="preserve"> &amp;diams; CRESYL ISOBUTYRATE, O-&lt;br /&gt;&amp;diams; METHYLPHENYL ISOBUTYRATE, O-&lt;br /&gt;&amp;diams; PROPANOIC ACID, 2-METHYL-, 2-METHYLPHENYL ESTER&lt;br /&gt;&amp;diams; TOLYL ISOBUTYRATE, O-&lt;br /&gt;&amp;diams; TOLYL 2-METHYLPROPANOATE, O-&lt;br /&gt;&amp;diams; 2-METHYLPHENYL 2-METHYLPROPANOATE</t>
  </si>
  <si>
    <t xml:space="preserve"> 103-93-5</t>
  </si>
  <si>
    <t xml:space="preserve"> P-TOLYL ISOBUTYRATE</t>
  </si>
  <si>
    <t xml:space="preserve"> &amp;diams; CRESYL ISOBUTYRATE, P-&lt;br /&gt;&amp;diams; ISOBUTYRIC ACID, P-TOLYL ESTER&lt;br /&gt;&amp;diams; METHYLPHENYL ISOBUTYRATE, P-&lt;br /&gt;&amp;diams; METHYLPHENYL 2-METHYLPROPANOATE, P-&lt;br /&gt;&amp;diams; PROAPNOIC ACID, 2-METHYL-, 4-METHYLPHENYL ESTER&lt;br /&gt;&amp;diams; TOLYL ISOBUTYRATE, P-&lt;br /&gt;&amp;diams; TOLYL 2-METHYLPROPANOATE, P-&lt;br /&gt;&amp;diams; 4-METHYLPHENYL 2-METHYLPROPANOATE</t>
  </si>
  <si>
    <t xml:space="preserve"> 10024-57-4</t>
  </si>
  <si>
    <t xml:space="preserve"> P-TOLYL LAURATE</t>
  </si>
  <si>
    <t xml:space="preserve"> &amp;diams; CRESYL LAURATE, P-&lt;br /&gt;&amp;diams; TOLYL DODECANOATE, P-&lt;br /&gt;&amp;diams; 4-METHYLPHENYL DODECANOATE&lt;br /&gt;&amp;diams; CRESYL DODECANOATE, P-&lt;br /&gt;&amp;diams; TOLYL LAURATE, P-&lt;br /&gt;&amp;diams; METHYLPHENYL DODECANOATE, P-&lt;br /&gt;&amp;diams; DODECANOIC ACID, 4-METHYLPHENYL ESTER&lt;br /&gt;&amp;diams; LAURIC ACID, P-TOLYL ESTER</t>
  </si>
  <si>
    <t xml:space="preserve"> 55066-56-3</t>
  </si>
  <si>
    <t xml:space="preserve"> P-TOLYL 3-METHYLBUTYRATE</t>
  </si>
  <si>
    <t xml:space="preserve"> &amp;diams; CRESYL ISOVALERATE, P-&lt;br /&gt;&amp;diams; BUTANOIC ACID, 3-METHYL-, 4-METHYLPHENYL ESTER&lt;br /&gt;&amp;diams; CRESYL 3-METHYLBUTANOATE, P-&lt;br /&gt;&amp;diams; METHYLPHENYL 3-METHYLBUTYRATE, P-&lt;br /&gt;&amp;diams; TOLYL 3-METHYLBUTYRATE, P-&lt;br /&gt;&amp;diams; TOLYL ISOVALERATE, P-&lt;br /&gt;&amp;diams; 4-METHYLPHENYL 3-METHYLBUTANOATE</t>
  </si>
  <si>
    <t xml:space="preserve"> 59558-23-5</t>
  </si>
  <si>
    <t xml:space="preserve"> P-TOLYL OCTANOATE</t>
  </si>
  <si>
    <t xml:space="preserve"> &amp;diams; CRESYL OCTANOATE, P-&lt;br /&gt;&amp;diams; NARCISSIN K&lt;br /&gt;&amp;diams; TOLYL OCTANOATE, P-&lt;br /&gt;&amp;diams; 4-METHYLPHENYL OCTANOATE&lt;br /&gt;&amp;diams; METHYLPHENYL OCTANOATE, P-&lt;br /&gt;&amp;diams; OCTANOIC ACID, 4-METHYLPHENYL ESTER&lt;br /&gt;&amp;diams; OCTANOIC ACID, P-TOLYL ESTER</t>
  </si>
  <si>
    <t xml:space="preserve"> 101-94-0</t>
  </si>
  <si>
    <t xml:space="preserve"> P-TOLYL PHENYLACETATE</t>
  </si>
  <si>
    <t xml:space="preserve"> &amp;diams; CRESYL PHENYLACETATE, P-&lt;br /&gt;&amp;diams; BENZENEACETIC ACID, 4-METHYLPHENYL ESTER&lt;br /&gt;&amp;diams; ACETIC ACID, PHENYL-, P-TOLYL ESTER&lt;br /&gt;&amp;diams; CRESYL ALPHA-TOLUATE, P-&lt;br /&gt;&amp;diams; METHYLPHENYL PHENYLACETATE, P-&lt;br /&gt;&amp;diams; METHYLPHENYL ALPHA-TOLUATE, P-&lt;br /&gt;&amp;diams; TOLYL PHENYLACETATE, P-&lt;br /&gt;&amp;diams; TOLYL ALPHA-TOLUATE, P-&lt;br /&gt;&amp;diams; 4-METHYLPHENYL BENZENEACETATE&lt;br /&gt;&amp;diams; 4-METHYLPHENYL PHENYLACETATE</t>
  </si>
  <si>
    <t xml:space="preserve"> 99-72-9</t>
  </si>
  <si>
    <t xml:space="preserve"> 2-(P-TOLYL)-PROPIONALDEHYDE</t>
  </si>
  <si>
    <t xml:space="preserve"> &amp;diams; 2-(P-TOLYL)PROPANAL&lt;br /&gt;&amp;diams; ALPHA,4-DIMETHYLBENZENEACETALDEHYDE&lt;br /&gt;&amp;diams; METHYL-ALPHA-METHYLPHENYLACETALDEHYDE, P-&lt;br /&gt;&amp;diams; METHYLHYDRATROPALDEHYDE, P-&lt;br /&gt;&amp;diams; METHYLHYDRATROPIC ALDEHYDE, P-&lt;br /&gt;&amp;diams; 2-(P-TOLYL)PROPIONALDEHYDE&lt;br /&gt;&amp;diams; 2-(4-METHYLPHENYL)PROPIONALDEHYDE&lt;br /&gt;&amp;diams; BENZENEACETALDEHYDE, ALPHA,4-DIMETHYL-&lt;br /&gt;&amp;diams; HYDRATROPALDEHYDE, P-METHYL-</t>
  </si>
  <si>
    <t xml:space="preserve"> 617-01-6</t>
  </si>
  <si>
    <t xml:space="preserve"> O-TOLYL SALICYLATE</t>
  </si>
  <si>
    <t xml:space="preserve"> &amp;diams; TOLYL SALICYLATE, O-&lt;br /&gt;&amp;diams; CRESYL SALICYLATE, O-&lt;br /&gt;&amp;diams; 2-METHYLPHENYL SALICYLATE&lt;br /&gt;&amp;diams; 2-METHYLPHENYL 2-HYDROXYBENZOATE&lt;br /&gt;&amp;diams; BENZOIC ACID, 2-HYDROXY-, 2-METHYLPHENYL ESTER&lt;br /&gt;&amp;diams; SALICYLIC ACID, O-TOLYL ESTER</t>
  </si>
  <si>
    <t xml:space="preserve"> 502-65-8</t>
  </si>
  <si>
    <t xml:space="preserve"> TOMATO LYCOPENE</t>
  </si>
  <si>
    <t xml:space="preserve"> &amp;diams; LYCOPENE&lt;br /&gt;&amp;diams; C.I. 75125&lt;br /&gt;&amp;diams; CAROTENE, PSI,PSI-&lt;br /&gt;&amp;diams; LYCOPENE, TRANS-&lt;br /&gt;&amp;diams; PSI,PSI-CAROTENE&lt;br /&gt;&amp;diams; LYCOPENE, ALL-TRANS-&lt;br /&gt;&amp;diams; 2,6,10,14,19,23,27,31-OCTAMETHYL-2,6,8,10,12,14,16,18,20,22,24,26,30-DOTRIACONTATRIDECAENE, (ALL-E)-</t>
  </si>
  <si>
    <t xml:space="preserve"> 648434-55-3</t>
  </si>
  <si>
    <t xml:space="preserve"> (+/-)-TRANS- AND CIS-2-HEXENAL PROPYLENE GLYCOL ACETAL</t>
  </si>
  <si>
    <t xml:space="preserve"> &amp;diams; 2-HEXENAL PROPYLENE GLYCOL ACETAL&lt;br /&gt;&amp;diams; 4-methyl-2-(1-pentenyl)-1,3-dioxolane&lt;br /&gt;&amp;diams; 1,3-dioxolane, 4-methyl-2-(1-pentenyl)-</t>
  </si>
  <si>
    <t xml:space="preserve"> 21662-13-5</t>
  </si>
  <si>
    <t xml:space="preserve"> 2-TRANS,6-CIS-DODECADIENAL</t>
  </si>
  <si>
    <t xml:space="preserve"> &amp;diams; 2,6-DODECADIENAL, TRANS,CIS-&lt;br /&gt;&amp;diams; 2,6-DODECADIENAL, (E,Z)-</t>
  </si>
  <si>
    <t xml:space="preserve"> 557-48-2</t>
  </si>
  <si>
    <t xml:space="preserve"> 2-TRANS-6-CIS-NONADIENAL</t>
  </si>
  <si>
    <t xml:space="preserve"> &amp;diams; 2,6-NONADIENAL, TRANS,CIS-&lt;br /&gt;&amp;diams; NONA-2-TRANS,6-CIS-DIENAL&lt;br /&gt;&amp;diams; 2-TRANS,6-CIS-NONADIENAL&lt;br /&gt;&amp;diams; 2,6-NONADIENAL, (E,Z)-</t>
  </si>
  <si>
    <t xml:space="preserve"> 614-60-8</t>
  </si>
  <si>
    <t xml:space="preserve"> O-TRANS-COUMARIC ACID</t>
  </si>
  <si>
    <t xml:space="preserve"> &amp;diams; 2-HYDROXYCINNAMIC ACID, (E)-&lt;br /&gt;&amp;diams; 2-hydroxycinnamic acid, trans-&lt;br /&gt;&amp;diams; 3-(2-hydroxyphenyl)-2-propenoic acid, (2E)-&lt;br /&gt;&amp;diams; 2-propenoic acid, 3-(2-hydroxyphenyl)-, (2E)-&lt;br /&gt;&amp;diams; cinnamic acid, o-hyderoxy-, (E)-&lt;br /&gt;&amp;diams; hydroxycinnamic acid, o-, (E)-&lt;br /&gt;&amp;diams; o-hydroxycinnamic acid, (E)-&lt;br /&gt;&amp;diams; coumaric acid, o-, trans-&lt;br /&gt;&amp;diams; coumaric acid, trans-o-</t>
  </si>
  <si>
    <t xml:space="preserve"> 22104-80-9</t>
  </si>
  <si>
    <t xml:space="preserve"> TRANS-2-DECENOL</t>
  </si>
  <si>
    <t xml:space="preserve"> 1576-77-8</t>
  </si>
  <si>
    <t xml:space="preserve"> TRANS-3-HEPTENYL ACETATE</t>
  </si>
  <si>
    <t xml:space="preserve"> &amp;diams; 3-HEPTENYL ACETATE, TRANS-&lt;br /&gt;&amp;diams; 3-HEPTEN-1-OL, ACETATE, (E)-&lt;br /&gt;&amp;diams; 3-HEPTEN-1-OL ACETATE, (E)-&lt;br /&gt;&amp;diams; 3-HEPTENYL ACETATE, (E)-</t>
  </si>
  <si>
    <t xml:space="preserve"> 928-97-2</t>
  </si>
  <si>
    <t xml:space="preserve"> TRANS-3-HEXENOL</t>
  </si>
  <si>
    <t xml:space="preserve"> &amp;diams; 3-HEXEN-1-OL, TRANS-&lt;br /&gt;&amp;diams; 3-HEXEN-1-OL, (E)-&lt;br /&gt;&amp;diams; 3-HEXENOL, TRANS-&lt;br /&gt;&amp;diams; 3-hexen-1-ol, (3E)-&lt;br /&gt;&amp;diams; InChI=1S/C6H12O/c1-2-3-4-5-6-7/h3-4,7H,2,5-6H2,1H3/b4-3+&lt;br /&gt;&amp;diams; InChIKey: UFLHIIWVXFIJGU-ONEGZZNKSA-N</t>
  </si>
  <si>
    <t xml:space="preserve"> 2497-18-9</t>
  </si>
  <si>
    <t xml:space="preserve"> TRANS-2-HEXEN-1-YL ACETATE</t>
  </si>
  <si>
    <t xml:space="preserve"> &amp;diams; 2-HEXENYL ACETATE, TRANS-&lt;br /&gt;&amp;diams; 2-HEXENYL ACETATE, (E)-&lt;br /&gt;&amp;diams; 2-HEXEN-1-OL, ACETATE, (E)-&lt;br /&gt;&amp;diams; 2-HEXEN-1-YL ACETATE, TRANS-&lt;br /&gt;&amp;diams; 2-HEXEN-1-OL, ACETATE, (2E)-</t>
  </si>
  <si>
    <t xml:space="preserve"> 3681-82-1</t>
  </si>
  <si>
    <t xml:space="preserve"> TRANS-3-HEXENYL ACETATE</t>
  </si>
  <si>
    <t xml:space="preserve"> &amp;diams; 3-HEXENYL ACETATE, TRANS-&lt;br /&gt;&amp;diams; 3-hexen-1-ol, 1-acetate, (3Z)-&lt;br /&gt;&amp;diams; 3-hexen-1-yl 1-acetate, (3E)-&lt;br /&gt;&amp;diams; 3-hexen-1-ol, acetate, (3E)-&lt;br /&gt;&amp;diams; 3-hexen-1-yl acetate, (3E)-&lt;br /&gt;&amp;diams; 3-hexen-1-ol, acetate, (E)-&lt;br /&gt;&amp;diams; InChI=1S/C8H14O2/c1-3-4-5-6-7-10-8(2)9/h4-5H,3,6-7H2,1-2H3/b5-4+&lt;br /&gt;&amp;diams; InChIKey: NPFVOOAXDOBMCE-SNAWJCMRSA-N</t>
  </si>
  <si>
    <t xml:space="preserve"> 94089-01-7</t>
  </si>
  <si>
    <t xml:space="preserve"> TRANS-2-HEXENYL 2-METHYLBUTYRATE</t>
  </si>
  <si>
    <t xml:space="preserve"> &amp;diams; 2-HEXENYL 2-METHYLBUTYRATE, TRANS-&lt;br /&gt;&amp;diams; InChI=1S/C11H20O2/c1-4-6-7-8-9-13-11(12)10(3)5-2/h7-8,10H,4-6,9H2,1-3H3/b8-7+&lt;br /&gt;&amp;diams; InChIKey: SXJKRFLZGRFPBD-BQYQJAHWSA-N&lt;br /&gt;&amp;diams; butanoic acid, 2-methyl-, (2E)-2-hexen-1-yl ester&lt;br /&gt;&amp;diams; 2-hexen-1-yl 2-methylbutanoate, (2E)-&lt;br /&gt;&amp;diams; butanoic acid, 2-methyl-, (2E)-2-hexenyl ester&lt;br /&gt;&amp;diams; 2-hexenyl 2-methylbutanoate, (2E)-</t>
  </si>
  <si>
    <t xml:space="preserve"> 2277-16-9</t>
  </si>
  <si>
    <t xml:space="preserve"> TRANS-4-NONENAL</t>
  </si>
  <si>
    <t xml:space="preserve"> &amp;diams; 4-NONENAL, TRANS-&lt;br /&gt;&amp;diams; 4-nonenal, (4E)-&lt;br /&gt;&amp;diams; 4-nonenal, (E)-&lt;br /&gt;&amp;diams; InChI=1S/C9H16O/c1-2-3-4-5-6-7-8-9-10/h5-6,9H,2-4,7-8H2,1H3/b6-5+&lt;br /&gt;&amp;diams; InChIKey: QPULDJYQYDGZEI-AATRIKPKSA-N</t>
  </si>
  <si>
    <t xml:space="preserve"> 10339-61-4</t>
  </si>
  <si>
    <t xml:space="preserve"> TRANS-3-NONEN-1-OL</t>
  </si>
  <si>
    <t xml:space="preserve"> &amp;diams; 3-NONEN-1-OL, TRANS-&lt;br /&gt;&amp;diams; 3-nonen-1-ol, (3E)-&lt;br /&gt;&amp;diams; 3-nonen-1-ol, (E)-&lt;br /&gt;&amp;diams; InChI=1S/C9H18O/c1-2-3-4-5-6-7-8-9-10/h6-7,10H,2-5,8-9H2,1H3/b7-6+&lt;br /&gt;&amp;diams; InChIKey: IFTBJDZSLBRRMC-VOTSOKGWSA-N</t>
  </si>
  <si>
    <t xml:space="preserve"> 27743-70-0</t>
  </si>
  <si>
    <t xml:space="preserve"> TRANS-2-NONEN-4-ONE</t>
  </si>
  <si>
    <t xml:space="preserve"> &amp;diams; 2-NONEN-4-ONE, TRANS-&lt;br /&gt;&amp;diams; 2-nonen-4-one, (2E)-&lt;br /&gt;&amp;diams; 2-nonen-4-one, (E)-&lt;br /&gt;&amp;diams; InChI=1S/C9H16O/c1-3-5-6-8-9(10)7-4-2/h4,7H,3,5-6,8H2,1-2H3/b7-4+&lt;br /&gt;&amp;diams; InChIKey: WTAYWTBOEQYGOG-QPJJXVBHSA-N</t>
  </si>
  <si>
    <t xml:space="preserve"> 30418-89-4</t>
  </si>
  <si>
    <t xml:space="preserve"> TRANS-2-NONENYL ACETATE</t>
  </si>
  <si>
    <t xml:space="preserve"> &amp;diams; 2-NONENYL ACETATE, TRANS-&lt;br /&gt;&amp;diams; 2-nonen-1-ol, 1-acetate, (2E)-&lt;br /&gt;&amp;diams; 2-nonen-1-ol, acetate, (2E)-&lt;br /&gt;&amp;diams; 2-nonen-1-ol, acetate, (E)-&lt;br /&gt;&amp;diams; 2-nonen-1-yl acetate, trans-&lt;br /&gt;&amp;diams; InChI=1S/C11H20O2/c1-3-4-5-6-7-8-9-10-13-11(2)12/h8-9H,3-7,10H2,1-2H3/b9-8+&lt;br /&gt;&amp;diams; InChIKey: WFCCNPHGLLPSDJ-CMDGGOBGSA-N</t>
  </si>
  <si>
    <t xml:space="preserve"> 18776-92-6</t>
  </si>
  <si>
    <t xml:space="preserve"> TRANS-4-OCTENOIC ACID</t>
  </si>
  <si>
    <t xml:space="preserve"> &amp;diams; 4-OCTENOIC ACID, TRANS-&lt;br /&gt;&amp;diams; 4-octenoic acid, (4E)-&lt;br /&gt;&amp;diams; 4-octenoic acid, (E)-&lt;br /&gt;&amp;diams; InChI=1S/C8H14O2/c1-2-3-4-5-6-7-8(9)10/h4-5H,2-3,6-7H2,1H3,(H,9,10)/b5-4+&lt;br /&gt;&amp;diams; InChIKey: PFHBCQFBHMBAMC-SNAWJCMRSA-N</t>
  </si>
  <si>
    <t xml:space="preserve"> 51608-18-5</t>
  </si>
  <si>
    <t xml:space="preserve"> 2-(TRANS-2-PENTENYL)CYCLOPENTANONE</t>
  </si>
  <si>
    <t xml:space="preserve"> &amp;diams; 2-(2-PENTENYL)CYCLOPENTANONE, TRANS-&lt;br /&gt;&amp;diams; cyclopentanone, 2-(2E)-2-penten-1-yl-&lt;br /&gt;&amp;diams; 2-(2E)-2-penten-1-ylcyclopentanone&lt;br /&gt;&amp;diams; cyclopentanone, 2-(2E)-2-pentenyl-&lt;br /&gt;&amp;diams; 2-(2E)-2-pentenylcyclopentanone&lt;br /&gt;&amp;diams; 2-(trans-2-pentenyl)cyclopentanone&lt;br /&gt;&amp;diams; InChI=1S/C10H16O/c1-2-3-4-6-9-7-5-8-10(9)11/h3-4,9H,2,5-8H2,1H3/b4-3+&lt;br /&gt;&amp;diams; InChIKey: ZIJOSCABGITYIL-ONEGZZNKSA-N</t>
  </si>
  <si>
    <t xml:space="preserve"> 21862-63-5</t>
  </si>
  <si>
    <t xml:space="preserve"> TRANS-4-TERT-BUTYLCYCLOHEXANOL</t>
  </si>
  <si>
    <t xml:space="preserve"> &amp;diams; 4-TERT-BUTYLCYCLOHEXANOL, TRANS-&lt;br /&gt;&amp;diams; cyclohexanol, 4-(1,1-dimethylethyl)-, trans-&lt;br /&gt;&amp;diams; 4-(1,1-dimethylethyl)cyclohexanol, trans-&lt;br /&gt;&amp;diams; cyclohexanol, 4-tert-butyl-, trans-</t>
  </si>
  <si>
    <t xml:space="preserve"> 21662-16-8</t>
  </si>
  <si>
    <t xml:space="preserve"> TRANS,TRANS-2,4-DODECADIENAL</t>
  </si>
  <si>
    <t xml:space="preserve"> &amp;diams; 2,4-DODECADIENAL, TRANS,TRANS-&lt;br /&gt;&amp;diams; 2,4-DODECADIENAL, (E,E)-</t>
  </si>
  <si>
    <t xml:space="preserve"> 56700-78-8</t>
  </si>
  <si>
    <t xml:space="preserve"> TRANS-2-TRANS-4-NONADIENE</t>
  </si>
  <si>
    <t xml:space="preserve"> &amp;diams; 2,4-NONADIENE, TRANS,TRANS-&lt;br /&gt;&amp;diams; InChI=1S/C9H16/c1-3-5-7-9-8-6-4-2/h3,5,7,9H,4,6,8H2,1-2H3/b5-3+,9-7+&lt;br /&gt;&amp;diams; InChIKey: HKEBYUNPANBGPL-WJDMQLPWSA-N&lt;br /&gt;&amp;diams; 2,4-nonadiene, (2E,4E)-&lt;br /&gt;&amp;diams; 2,4-nonadiene, (E,E)-</t>
  </si>
  <si>
    <t xml:space="preserve"> 74962-98-4</t>
  </si>
  <si>
    <t xml:space="preserve"> TRANS-2-TRIDECENOL</t>
  </si>
  <si>
    <t xml:space="preserve"> &amp;diams; 2-TRIDECEN-1-OL, TRANS&lt;br /&gt;&amp;diams; 2-tridecen-1-ol, (2E)-&lt;br /&gt;&amp;diams; 2-tridecen-1-ol, (E)-</t>
  </si>
  <si>
    <t xml:space="preserve"> 977179-65-9</t>
  </si>
  <si>
    <t xml:space="preserve"> TREFOIL, SWEET (MELILOTUS COERULEA)</t>
  </si>
  <si>
    <t xml:space="preserve"> &amp;diams; SWEET TREFOIL&lt;br /&gt;&amp;diams; CLOVER, ALPINE&lt;br /&gt;&amp;diams; TREFOIL, SWEET&lt;br /&gt;&amp;diams; TRIGONELLA COERULEA&lt;br /&gt;&amp;diams; TRIGONELLA CAERULEA&lt;br /&gt;&amp;diams; MELILOTUS COERULEA&lt;br /&gt;&amp;diams; MELILOTUS CAERULEA</t>
  </si>
  <si>
    <t xml:space="preserve"> 6138-23-4</t>
  </si>
  <si>
    <t xml:space="preserve"> TREHALOSE, DIHYDRATE</t>
  </si>
  <si>
    <t xml:space="preserve"> &amp;diams; TREHALOSE DIHYDRATE&lt;br /&gt;&amp;diams; alpha-D-glucopyranoside, alpha-D-glucopyranosyl, hydrate (1:2)&lt;br /&gt;&amp;diams; alpha-D-glucopyranoside, alpha-D-glucopyranosyl, dihydrate&lt;br /&gt;&amp;diams; alpha-D-glucopyranosyl alpha-D-glucopyranoside dihydrate&lt;br /&gt;&amp;diams; trehalose, dihydrate&lt;br /&gt;&amp;diams; alpha, alpha-trehalose dihydrate</t>
  </si>
  <si>
    <t xml:space="preserve"> 102-76-1</t>
  </si>
  <si>
    <t xml:space="preserve"> TRIACETIN (GLYCEROL TRIACETATE)</t>
  </si>
  <si>
    <t xml:space="preserve"> &amp;diams; TRIACETIN&lt;br /&gt;&amp;diams; GLYCERYL TRIACETATE&lt;br /&gt;&amp;diams; 1,2,3-PROPANETRIOL, TRIACETATE&lt;br /&gt;&amp;diams; ACETIN, TRI-&lt;br /&gt;&amp;diams; 1,2,3-PROPANETRIYL TRIACETATE&lt;br /&gt;&amp;diams; TRIACETYLGLYCEROL</t>
  </si>
  <si>
    <t xml:space="preserve"> FLAVORING AGENT OR ADJUVANT,&lt;br /&gt; FORMULATION AID,&lt;br /&gt; HUMECTANT,&lt;br /&gt; MASTICATORY SUBSTANCE,&lt;br /&gt; PROCESSING AID,&lt;br /&gt; SOLVENT OR VEHICLE,&lt;br /&gt; SURFACE-FINISHING AGENT</t>
  </si>
  <si>
    <t xml:space="preserve"> 77-90-7</t>
  </si>
  <si>
    <t xml:space="preserve"> TRIBUTYL ACETYLCITRATE</t>
  </si>
  <si>
    <t xml:space="preserve"> &amp;diams; ACETYL TRIBUTYL CITRATE&lt;br /&gt;&amp;diams; CITRIC ACID, TRIBUTYL ESTER, ACETATE&lt;br /&gt;&amp;diams; TRIBUTYL ACETYL CITRATE&lt;br /&gt;&amp;diams; TRIBUTYL ACETYLCITRATE&lt;br /&gt;&amp;diams; TRIBUTYL 2-(ACETYLOXY)-1,2,3-PROPANETRICARBOXYLATE&lt;br /&gt;&amp;diams; 1,2,3-PROPANETRICARBOXYLIC ACID, 2-(ACETYLOXY)-, TRIBUTYL ESTER</t>
  </si>
  <si>
    <t xml:space="preserve"> 79-01-6</t>
  </si>
  <si>
    <t xml:space="preserve"> TRICHLOROETHYLENE</t>
  </si>
  <si>
    <t xml:space="preserve"> &amp;diams; TRICHLOROETHYLENE&lt;br /&gt;&amp;diams; ETHENE, TRICHLORO-&lt;br /&gt;&amp;diams; TRICHLOROETHENE&lt;br /&gt;&amp;diams; ETHYLENE, TRICHLORO-&lt;br /&gt;&amp;diams; 1,1,2-TRICHLOROETHYLENE</t>
  </si>
  <si>
    <t xml:space="preserve"> 10486-19-8</t>
  </si>
  <si>
    <t xml:space="preserve"> TRIDECANAL</t>
  </si>
  <si>
    <t xml:space="preserve"> &amp;diams; TRIDECANAL&lt;br /&gt;&amp;diams; ALDEHYDE C-13&lt;br /&gt;&amp;diams; tridecanaldehyde&lt;br /&gt;&amp;diams; InChIKey: BGEHHAVMRVXCGR-UHFFFAOYSA-N&lt;br /&gt;&amp;diams; InChI=1S/C13H26O/c1-2-3-4-5-6-7-8-9-10-11-12-13-14/h13H,2-12H2,1H3</t>
  </si>
  <si>
    <t xml:space="preserve"> 638-53-9</t>
  </si>
  <si>
    <t xml:space="preserve"> TRIDECANOIC ACID</t>
  </si>
  <si>
    <t xml:space="preserve"> &amp;diams; TRIDECYLIC ACID&lt;br /&gt;&amp;diams; TRIDECANOIC ACID&lt;br /&gt;&amp;diams; InChI=1S/C13H26O2/c1-2-3-4-5-6-7-8-9-10-11-12-13(14)15/h2-12H2,1H3,(H,14,15)&lt;br /&gt;&amp;diams; InChIKey: SZHOJFHSIKHZHA-UHFFFAOYSA-N</t>
  </si>
  <si>
    <t xml:space="preserve"> 593-08-8</t>
  </si>
  <si>
    <t xml:space="preserve"> 2-TRIDECANONE</t>
  </si>
  <si>
    <t xml:space="preserve"> &amp;diams; 2-TRIDECANONE&lt;br /&gt;&amp;diams; HENDECYL METHYL KETONE&lt;br /&gt;&amp;diams; METHYL UNDECYL KETONE</t>
  </si>
  <si>
    <t xml:space="preserve"> 13552-96-0</t>
  </si>
  <si>
    <t xml:space="preserve"> 2-TRANS,4-CIS,7-CIS-TRIDECATRIENAL</t>
  </si>
  <si>
    <t xml:space="preserve"> &amp;diams; 2,4,7-TRIDECATRIENAL, TRANS,CIS,CIS-&lt;br /&gt;&amp;diams; 2-TRANS,4-CIS,7-CIS-TRIDECATRIENAL&lt;br /&gt;&amp;diams; 2,4,7-TRIDECATRIENAL, (E,Z,Z)-</t>
  </si>
  <si>
    <t xml:space="preserve"> 7774-82-5</t>
  </si>
  <si>
    <t xml:space="preserve"> 2-TRIDECENAL</t>
  </si>
  <si>
    <t xml:space="preserve"> &amp;diams; 2-TRIDECENAL&lt;br /&gt;&amp;diams; 3-DECYLACROLEIN</t>
  </si>
  <si>
    <t xml:space="preserve"> 102-87-4</t>
  </si>
  <si>
    <t xml:space="preserve"> TRIDODECYL AMINE</t>
  </si>
  <si>
    <t xml:space="preserve"> &amp;diams; TRIDODECYLAMINE&lt;br /&gt;&amp;diams; TRILAURYLAMINE&lt;br /&gt;&amp;diams; TRIDODECYL AMINE&lt;br /&gt;&amp;diams; 1-DODECANAMINE, N,N-DIDODECYL-&lt;br /&gt;&amp;diams; N,N-DIDODCEYL-1-DODECANAMINE</t>
  </si>
  <si>
    <t xml:space="preserve"> 102-71-6</t>
  </si>
  <si>
    <t xml:space="preserve"> TRIETHANOLAMINE</t>
  </si>
  <si>
    <t xml:space="preserve"> &amp;diams; TRIETHANOLAMINE&lt;br /&gt;&amp;diams; TROLAMINE&lt;br /&gt;&amp;diams; ETHANOL, 2,2',2''-NITRILOTRIS-&lt;br /&gt;&amp;diams; 2,2',2''-NITRILOTRIS(ETHANOL)&lt;br /&gt;&amp;diams; ETHANOL, 2,2',2''-NITRILOTRI-&lt;br /&gt;&amp;diams; 2,2',2''-NITRILOTRIETHANOL&lt;br /&gt;&amp;diams; NITRILOTRIETHANOL&lt;br /&gt;&amp;diams; TRIS(BETA-HYDROXYETHYL)AMINE&lt;br /&gt;&amp;diams; TRIS(2-HYDROXYETHYL)AMINE</t>
  </si>
  <si>
    <t xml:space="preserve"> 121-44-8</t>
  </si>
  <si>
    <t xml:space="preserve"> TRIETHYLAMINE</t>
  </si>
  <si>
    <t xml:space="preserve"> &amp;diams; TRIETHYLAMINE&lt;br /&gt;&amp;diams; ETHANAMINE, N,N-DIETHYL-&lt;br /&gt;&amp;diams; N,N-DIETHYLETHANAMINE&lt;br /&gt;&amp;diams; (DIETHYLAMINO)ETHANE</t>
  </si>
  <si>
    <t xml:space="preserve"> 77-93-0</t>
  </si>
  <si>
    <t xml:space="preserve"> TRIETHYL CITRATE</t>
  </si>
  <si>
    <t xml:space="preserve"> &amp;diams; TRIETHYL CITRATE&lt;br /&gt;&amp;diams; ETHYL CITRATE&lt;br /&gt;&amp;diams; TRIETHYL 2-HYDROXY-1,2,3-PROPANETRICARBOXYLATE&lt;br /&gt;&amp;diams; 1,2,3-PROPANETRICARBOXYLIC ACID, 2-HYDROXY-, TRIETHYL ESTER&lt;br /&gt;&amp;diams; CITRIC ACID, TRIETHYL ESTER</t>
  </si>
  <si>
    <t xml:space="preserve"> FLAVOR ENHANCER,&lt;br /&gt; FLAVORING AGENT OR ADJUVANT,&lt;br /&gt; FORMULATION AID,&lt;br /&gt; SEQUESTRANT,&lt;br /&gt; SOLVENT OR VEHICLE</t>
  </si>
  <si>
    <t xml:space="preserve"> 27754-94-5</t>
  </si>
  <si>
    <t xml:space="preserve"> TRIETHYLENETETRAMINE CROSS-LINKED WITH EPICHLOROHYDRIN</t>
  </si>
  <si>
    <t xml:space="preserve"> &amp;diams; POLY(EPICHLOROHYDRIN-CO-TRIETHYLENETETRAMINE)&lt;br /&gt;&amp;diams; EPICHLOROHYDRIN-TRIETHYLENETETRAMINE COPOLYMER&lt;br /&gt;&amp;diams; PROPANE, 1-CHLORO-2,3-EPOXY-, POLYMER WITH TRIETHYLTETRAMINE&lt;br /&gt;&amp;diams; POLY((CHLOROMETHYL)OXIRANE-CO-N,N'-BIS(2-AMINOETHYL)-1,2-ETHANEDIAMINE)&lt;br /&gt;&amp;diams; POLY(1-CHLORO-2,3-EPOXYPROPANE-CO-TRIETHYLTETRAMINE)&lt;br /&gt;&amp;diams; TRIETHYLENETETRAMINE, CROSS-LINKED WITH EPICHLOROHYDRIN&lt;br /&gt;&amp;diams; TRIETHYLENETETRAMINE-EPICHLOROHYDRIN COPOLYMER&lt;br /&gt;&amp;diams; 1,2-ETHANEDIAMINE, N,N'-BIS(2-AMINOETHYL)-, POLYMER WITH (CHLOROMETHYL)OXIRANE</t>
  </si>
  <si>
    <t xml:space="preserve"> 1493-13-6</t>
  </si>
  <si>
    <t xml:space="preserve"> TRIFLUOROMETHANE SULFONIC ACID</t>
  </si>
  <si>
    <t xml:space="preserve"> &amp;diams; TRIFLUOROMETHANESULFONIC ACID&lt;br /&gt;&amp;diams; METHANESULFONIC ACID, TRIFLUORO-&lt;br /&gt;&amp;diams; PERFLUOROMETHANESULFONIC ACID&lt;br /&gt;&amp;diams; TRIFLIC ACID</t>
  </si>
  <si>
    <t xml:space="preserve"> 1421-63-2</t>
  </si>
  <si>
    <t xml:space="preserve"> 2,4,5-TRIHYDROXYBUTYROPHENONE</t>
  </si>
  <si>
    <t xml:space="preserve"> &amp;diams; 2',4',5'-TRIHYDROXYBUTYROPHENONE&lt;br /&gt;&amp;diams; BUTYROPHENONE, 2',4',5'-TRIHYDROXY-&lt;br /&gt;&amp;diams; THBP&lt;br /&gt;&amp;diams; 1-(2,4,5-TRIHYDROXYPHENYL)-1-BUTANONE&lt;br /&gt;&amp;diams; 2,4,5-TRIHYDROXYBUTYROPHENONE&lt;br /&gt;&amp;diams; 1-BUTANONE, 1-(2,4,5-TRIHYDROXYPHENYL)-</t>
  </si>
  <si>
    <t xml:space="preserve"> 60-82-2</t>
  </si>
  <si>
    <t xml:space="preserve"> (TRIHYDROXY-PHENYL)-PROPAN-1-ONE</t>
  </si>
  <si>
    <t xml:space="preserve"> &amp;diams; PHLORETIN&lt;br /&gt;&amp;diams; 2',4',6'-TRIHYDROXY-3-(P-HYDROXYPHENYL)PROPIOPHENONE&lt;br /&gt;&amp;diams; NARINGIN DIHYDROCHALCONE AGLYCONE&lt;br /&gt;&amp;diams; 1-PROPANONE, 3-(4-HYDROXYPENYL)-1-(2,4,6-TRIHYDROXYPHENYL)-&lt;br /&gt;&amp;diams; 3-(4-HYDROXYPHENYL)-1-(2,4,6-TRIHYDROXYPHENYL)-1-PHENYL)-1-PROPANONE&lt;br /&gt;&amp;diams; DIHYDRONARINGENIN&lt;br /&gt;&amp;diams; PROPIOPHENONE, 2',4',6'-TRIHYDROXY-3-(P-HYDROXYPHENYL)-&lt;br /&gt;&amp;diams; noringenin dihydrochalcone&lt;br /&gt;&amp;diams; InChI=1S/C15H14O5/c16-10-4-1-9(2-5-10)3-6-12(18)15-13(19)7-11(17)8-14(15)20/h1-2,4-5,7-8,16-17,19-20H,3,6H2&lt;br /&gt;&amp;diams; InChIKey: VGEREEWJJVICBM-UHFFFAOYSA-N</t>
  </si>
  <si>
    <t xml:space="preserve"> 4192-90-9</t>
  </si>
  <si>
    <t xml:space="preserve"> TRILOBATIN</t>
  </si>
  <si>
    <t xml:space="preserve"> &amp;diams; PHLORIZIN, P-&lt;br /&gt;&amp;diams; PRUNIN DIHYDROCHALCONE&lt;br /&gt;&amp;diams; InChI=1S/C21H24O10/c22-9-16-18(27)19(28)20(29)21(31-16)30-12-7-14(25)17(15(26)8-12)13(24)6-3-10-1-4-11(23)5-2-10/h1-2,4-5,7-8,16,18-23,25-29H,3,6,9H2/t16-,18-,19+,20-,21-/m1/s1&lt;br /&gt;&amp;diams; InChIKey=GSTCPEBQYSOEHV-QNDFHXLGSA-N&lt;br /&gt;&amp;diams; p-phlorizin&lt;br /&gt;&amp;diams; 1-propanone, 1-(4-(beta-D-glucopyranosyloxy)-2,6-dihydroxyphenyl)-3-(4-hydroxyphenyl)-&lt;br /&gt;&amp;diams; 1-(4-(beta-D-glucopyranosyloxy)-2,6-dihydroxyphenyl)-3-(4-hydroxyphenyl)-1-propanone&lt;br /&gt;&amp;diams; phloretin 4'-glucoside&lt;br /&gt;&amp;diams; phloretin 4'-beta-D-glucoside&lt;br /&gt;&amp;diams; trilobatin</t>
  </si>
  <si>
    <t xml:space="preserve"> 75-50-3</t>
  </si>
  <si>
    <t xml:space="preserve"> TRIMETHYLAMINE</t>
  </si>
  <si>
    <t xml:space="preserve"> &amp;diams; TRIMETHYLAMINE&lt;br /&gt;&amp;diams; N,N-DIMETHYLMETHANAMINE&lt;br /&gt;&amp;diams; METHANAMINE, N,N-DIMETHYL-&lt;br /&gt;&amp;diams; N-TRIMETHYLAMINE</t>
  </si>
  <si>
    <t xml:space="preserve"> 1184-78-7</t>
  </si>
  <si>
    <t xml:space="preserve"> TRIMETHYLAMINE OXIDE</t>
  </si>
  <si>
    <t xml:space="preserve"> &amp;diams; TRIMETHYLAMINE OXIDE&lt;br /&gt;&amp;diams; methanamine, N,N-dimethyl-, N-oxide&lt;br /&gt;&amp;diams; N,N-dimethylmethanamine N-oxide&lt;br /&gt;&amp;diams; trimethylamine, N-oxide</t>
  </si>
  <si>
    <t xml:space="preserve"> 977045-71-8</t>
  </si>
  <si>
    <t xml:space="preserve"> 2,6,6-TRIMETHYL-1 AND 2-CYCLOHEXEN-1-CARBOXALDEHYDE</t>
  </si>
  <si>
    <t xml:space="preserve"> &amp;diams; CYCLOCITRAL, ALPHA- AND BETA-&lt;br /&gt;&amp;diams; 2,6,6-TRIMETHYL-1(AND 2)-CYCLOHEXENE-1-CARBOXALDEHYDE</t>
  </si>
  <si>
    <t xml:space="preserve"> 1197-01-9</t>
  </si>
  <si>
    <t xml:space="preserve"> P,ALPHA,ALPHA-TRIMETHYLBENZYL ALCOHOL</t>
  </si>
  <si>
    <t xml:space="preserve"> &amp;diams; P-CYMEN-8-OL&lt;br /&gt;&amp;diams; ALPHA,ALPHA,4-TRIMETHYLBENZENEMETHANOL&lt;br /&gt;&amp;diams; DIMETHYL-P-TOLYL CARBINOL&lt;br /&gt;&amp;diams; TRIMETHYLBENZYL ALCOHOL, P,ALPHA,ALPHA-&lt;br /&gt;&amp;diams; 2-(4-METHYLPHENYL)-2-PROPANOL&lt;br /&gt;&amp;diams; 2-P-TOLYL-2-PROPANOL&lt;br /&gt;&amp;diams; 8-HYDROXY-P-CYMENE&lt;br /&gt;&amp;diams; CYMEN-8-OL, P-&lt;br /&gt;&amp;diams; BENZENEMETHANOL, ALPHA,ALPHA,4-TRIMETHYL-&lt;br /&gt;&amp;diams; 1-METHYL-4-(ALPHA-HYDROXYISOPROPYL)BENZENE&lt;br /&gt;&amp;diams; 1-METHYL-4-(1-HYDROXY-1-METHYLETHYL)BENZENE&lt;br /&gt;&amp;diams; 2-(P-METHYLPHENYL)-2-PROPANOL</t>
  </si>
  <si>
    <t xml:space="preserve"> 23696-85-7</t>
  </si>
  <si>
    <t xml:space="preserve"> 4-(2,6,6-TRIMETHYLCYCLOHEXA-1,3-DIENYL)BUT-2-EN-4-ONE</t>
  </si>
  <si>
    <t xml:space="preserve"> &amp;diams; 4-(2,6,6-TRIMETHYLCYCLOHEXA-1,3-DIENYL)BUT-2-EN-4-ONE&lt;br /&gt;&amp;diams; 2-BUTEN-1-ONE, 1-(2,6,6-TRIMETHYL-1,3-CYCLOHEXADIEN-1-YL)-&lt;br /&gt;&amp;diams; 1-(2,6,6-TRIMETHYL-1,3-CYCLOHEXADIEN-1-YL)-2-BUTEN-1-ONE</t>
  </si>
  <si>
    <t xml:space="preserve"> 116-26-7</t>
  </si>
  <si>
    <t xml:space="preserve"> 2,6,6-TRIMETHYLCYCLOHEXA-1,3-DIENYL METHANAL</t>
  </si>
  <si>
    <t xml:space="preserve"> &amp;diams; SAFRANAL&lt;br /&gt;&amp;diams; DEHYDRO-BETA-CYCLOCITRAL&lt;br /&gt;&amp;diams; 2,6,6-TRIMETHYL-1,3-CYCLOHEXADIENE-1-CARBOXALDEHYDE&lt;br /&gt;&amp;diams; 2,6,6-TRIMETHYLCYCLOHEXA-1,3-DIENYL METHANAL&lt;br /&gt;&amp;diams; 1,1,3-TRIMETHYL-2-FORMYLCYCLOHEXA-2,4-DIENE&lt;br /&gt;&amp;diams; 1,3-CYCLOHEXADIENE-1-CARBOXALDEHYDE, 2,6,6-TRIMETHYL-</t>
  </si>
  <si>
    <t xml:space="preserve"> 116-02-9</t>
  </si>
  <si>
    <t xml:space="preserve"> 3,3,5-TRIMETHYLCYCLOHEXANOL</t>
  </si>
  <si>
    <t xml:space="preserve"> &amp;diams; 3,3,5-TRIMETHYLCYCLOHEXANOL&lt;br /&gt;&amp;diams; CYCLONOL&lt;br /&gt;&amp;diams; CYCLOHEXANOL, 3,3,5-TRIMETHYL-&lt;br /&gt;&amp;diams; HOMOMENTHOL&lt;br /&gt;&amp;diams; dihydroisophorol</t>
  </si>
  <si>
    <t xml:space="preserve"> 2408-37-9</t>
  </si>
  <si>
    <t xml:space="preserve"> 2,2,6-TRIMETHYLCYCLOHEXANONE</t>
  </si>
  <si>
    <t xml:space="preserve"> &amp;diams; 2,2,6-TRIMETHYLCYCLOHEXANONE&lt;br /&gt;&amp;diams; CYCLOHEXANONE, 2,2,6-TRIMETHYL-&lt;br /&gt;&amp;diams; 2,6,6-TRIMETHYLCYCLOHEXAN-1-ONE&lt;br /&gt;&amp;diams; 1,1,3-TRIMETHYL-2-CYCLOHEXANONE</t>
  </si>
  <si>
    <t xml:space="preserve"> 472-66-2</t>
  </si>
  <si>
    <t xml:space="preserve"> 2,6,6-TRIMETHYL-1-CYCLOHEXEN-1-ACETALDEHYDE</t>
  </si>
  <si>
    <t xml:space="preserve"> &amp;diams; HOMOCYCLOCITRAL, BETA-&lt;br /&gt;&amp;diams; APO-8-CAROTENAL, BETA-&lt;br /&gt;&amp;diams; CYCLOHOMOCITRAL, BETA-&lt;br /&gt;&amp;diams; 1-CYCLOHEXENE-1-ACETALDEHYDE, 2,6,6-TRIMETHYL-&lt;br /&gt;&amp;diams; 2,6,6-TRIMETHYL-1-CYCLOHEXENE-1-ACETALDEHYDE</t>
  </si>
  <si>
    <t xml:space="preserve"> 1125-21-9</t>
  </si>
  <si>
    <t xml:space="preserve"> 2,6,6-TRIMETHYLCYCLOHEX-2-ENE-1,4-DIONE</t>
  </si>
  <si>
    <t xml:space="preserve"> &amp;diams; 2,6,6-TRIMETHYL-2-CYCLOHEXENE-1,4-DIONE&lt;br /&gt;&amp;diams; KETOISOPHORONE&lt;br /&gt;&amp;diams; OXOPHOLONE&lt;br /&gt;&amp;diams; OXOPHORONE&lt;br /&gt;&amp;diams; 2-CYCLOHEXENE-1,4-DIONE, 2,6,6-TRIMETHYL-&lt;br /&gt;&amp;diams; 2,6,6-TRIMETHYLCYCLOHEX-2-ENE-1,4-DIONE&lt;br /&gt;&amp;diams; 3,5,5-TRIMETHYL-2-CYCLOHEXENE-1,4-DIONE&lt;br /&gt;&amp;diams; 4-OXOISOPHORONE</t>
  </si>
  <si>
    <t xml:space="preserve"> 35044-68-9</t>
  </si>
  <si>
    <t xml:space="preserve"> 4-(2,6,6-TRIMETHYLCYCLOHEX-1-ENYL)BUT-2-EN-4-ONE</t>
  </si>
  <si>
    <t xml:space="preserve"> &amp;diams; DAMASIONE&lt;br /&gt;&amp;diams; 4-(2,6,6-TRIMETHYLCYCLOHEX-1-ENYL)BUT-2-EN-4-ONE&lt;br /&gt;&amp;diams; 2-BUTEN-1-ONE, 1-(2,6,6-TRIMETHYL-1-CYCLOHEXEN-1-YL)-&lt;br /&gt;&amp;diams; 1-(2,6,6-TRIMETHYL-1-CYCLOHEXEN-1-YL)-2-BUTEN-1-ONE</t>
  </si>
  <si>
    <t xml:space="preserve"> 67859-96-5</t>
  </si>
  <si>
    <t xml:space="preserve"> 3,3,5-TRIMETHYLCYCLOHEXYL ACETATE</t>
  </si>
  <si>
    <t xml:space="preserve"> &amp;diams; 3,3,5-TRIMETHYLCYCLOHEXYL ACETATE&lt;br /&gt;&amp;diams; cyclohexanol, 3,3,5-trimethyl-, 1-acetate&lt;br /&gt;&amp;diams; 3,3,5-trimethylcyclohexyl 1-acetate&lt;br /&gt;&amp;diams; cyclohexanol, 3,3,5-trimethyl-, acetate&lt;br /&gt;&amp;diams; homomenthyl acetate&lt;br /&gt;&amp;diams; InChI=1S/C11H20O2/c1-8-5-10(13-9(2)12)7-11(3,4)6-8/h8,10H,5-7H2,1-4H3&lt;br /&gt;&amp;diams; InChIKey: OIVWFAFCHQDCCG-UHFFFAOYSA-N</t>
  </si>
  <si>
    <t xml:space="preserve"> 4501-58-0</t>
  </si>
  <si>
    <t xml:space="preserve"> 2,2,3-TRIMETHYLCYCLOPENT-3-EN-1-YL ACETALDEHYDE</t>
  </si>
  <si>
    <t xml:space="preserve"> &amp;diams; CAMPHOLENAL, ALPHA-&lt;br /&gt;&amp;diams; CAMPHOLENIC ALDEHYDE, ALPHA-&lt;br /&gt;&amp;diams; 2,2,3-TRIMETHYL-3-CYCLOPENTENE-1-ACETALDEHYDE, (R)-&lt;br /&gt;&amp;diams; 2,2,3-TRIMETHYLCYCLOPENT-3-EN-1-YL ACETALDEHYDE&lt;br /&gt;&amp;diams; CAMPHOLENALDEHYDE, ALPHA-&lt;br /&gt;&amp;diams; 3-CYCLOPENTENE-1-ACETALDEHYDE, 2,2,3-TRIMETHYL-, (R)-&lt;br /&gt;&amp;diams; ALPHA-CAMPHOLENALDEHYDE</t>
  </si>
  <si>
    <t xml:space="preserve"> 957136-80-0</t>
  </si>
  <si>
    <t xml:space="preserve"> 4-(2,2,3-TRIMETHYLCYCLOPENTYL)BUTANOIC ACID</t>
  </si>
  <si>
    <t xml:space="preserve"> &amp;diams; 2,2,3-TRIMETHYLCYCLOPENTANEBUTANOIC ACID&lt;br /&gt;&amp;diams; cyclopentanebutanoic acid, 2,2,3-trimethyl-&lt;br /&gt;&amp;diams; 4-(2,2,3-trimethylcyclopentyl)butanoic acid</t>
  </si>
  <si>
    <t xml:space="preserve"> 29548-30-9</t>
  </si>
  <si>
    <t xml:space="preserve"> 3,7,11-TRIMETHYLDODECA-2,6,10-TRIENYL ACETATE</t>
  </si>
  <si>
    <t xml:space="preserve"> &amp;diams; FARNESYL ACETATE&lt;br /&gt;&amp;diams; 3,7,11-TRIMETHYL-2,6,10-DODECATRIENYL ACETATE&lt;br /&gt;&amp;diams; 2,6,10-DODECATRIEN-1-OL, 3,7,11-TRIMETHYL-, ACETATE&lt;br /&gt;&amp;diams; InChI=1S/C17H28O2/c1-14(2)8-6-9-15(3)10-7-11-16(4)12-13-19-17(5)18/h8,10,12H,6-7,9,11,13H2,1-5H3&lt;br /&gt;&amp;diams; InChIKey: ZGIGZINMAOQWLX-UHFFFAOYSA-N</t>
  </si>
  <si>
    <t xml:space="preserve"> 5435-64-3</t>
  </si>
  <si>
    <t xml:space="preserve"> 3,5,5-TRIMETHYLHEXANAL</t>
  </si>
  <si>
    <t xml:space="preserve"> &amp;diams; 3,5,5-TRIMETHYLHEXANAL&lt;br /&gt;&amp;diams; ISONONYLALDEHYDE&lt;br /&gt;&amp;diams; HEXANAL, 3,5,5-TRIMETHL-&lt;br /&gt;&amp;diams; 3,5,5-TRIMETHYLCAPRONALDEHYDE</t>
  </si>
  <si>
    <t xml:space="preserve"> 3452-97-9</t>
  </si>
  <si>
    <t xml:space="preserve"> 3,5,5-TRIMETHYL-1-HEXANOL</t>
  </si>
  <si>
    <t xml:space="preserve"> &amp;diams; 3,5,5-TRIMETHYL-1-HEXANOL&lt;br /&gt;&amp;diams; NONYLOL&lt;br /&gt;&amp;diams; TRIMETHYLHEXYL ALCOHOL&lt;br /&gt;&amp;diams; 1-HEXANOL, 3,5,5-TRIMETHYL-&lt;br /&gt;&amp;diams; 3,5,5-TRIMETHYLHEXANOL&lt;br /&gt;&amp;diams; 3,5,5-TRIMETHYLHEXYL ALCOHOL</t>
  </si>
  <si>
    <t xml:space="preserve"> 7500-42-7</t>
  </si>
  <si>
    <t xml:space="preserve"> 2,6,6-TRIMETHYL-2-HYDROXYCYCLOHEXANONE</t>
  </si>
  <si>
    <t xml:space="preserve"> &amp;diams; 2-HYDROXY-2,6,6-TRIMETHYLCYCLOHEXANONE&lt;br /&gt;&amp;diams; cyclohexanone, 2-hydroxy-2,6,6-trimethyl-&lt;br /&gt;&amp;diams; 2,6,6-trimethyl-2-hydroxycyclohexanone&lt;br /&gt;&amp;diams; 2,2,6-trimethyl-6-hydroxycyclohexanone</t>
  </si>
  <si>
    <t xml:space="preserve"> 15356-74-8</t>
  </si>
  <si>
    <t xml:space="preserve"> (2,6,6-TRIMETHYL-2-HYDROXYCYCLOHEXYLIDENE)ACETIC ACID GAMMA-LACTONE</t>
  </si>
  <si>
    <t xml:space="preserve"> &amp;diams; (2,6,6-TRIMETHYL-2-HYDROXYCYCLOHEXYLIDENE)ACETIC ACID GAMMA-LACTONE&lt;br /&gt;&amp;diams; DIHYDROACTINIDIOLIDE, (+-)-&lt;br /&gt;&amp;diams; 2-HYDROXY-2,6,6-TRIMETHYLCYCLOHEXYLIDENE-1-ACETIC ACID LACTONE&lt;br /&gt;&amp;diams; 2(4H)-BENZOFURANONE, 5,6,7,7A-TETRAHYDRO-4,4,7A-TRIMETHYL-&lt;br /&gt;&amp;diams; 5,6,7,7A-TETRAHYDRO-4,4,7A-TRIMETHYL-2(4H)-BENZOFURANONE</t>
  </si>
  <si>
    <t xml:space="preserve"> 54440-17-4</t>
  </si>
  <si>
    <t xml:space="preserve"> 2,3,3-TRIMETHYLINDANONE</t>
  </si>
  <si>
    <t xml:space="preserve"> &amp;diams; 2,3,3-TRIMETHYL-1-INDANONE&lt;br /&gt;&amp;diams; 1H-inden-1-one, 2,3-dihydro-2,3,3-trimethyl-&lt;br /&gt;&amp;diams; 1-indanone, 2,3,3,-trimethyl-&lt;br /&gt;&amp;diams; 2,3,-dihydro-2,3,3-trimethyl-1H-inden-1-one</t>
  </si>
  <si>
    <t xml:space="preserve"> 479547-57-4</t>
  </si>
  <si>
    <t xml:space="preserve"> TRANS- AND CIS-2,4,8-TRIMETHYL-3,7-NONA-DIEN-2-OL</t>
  </si>
  <si>
    <t xml:space="preserve"> &amp;diams; 2,4,8-TRIMETHYL-3,7-NONADIEN-2-OL&lt;br /&gt;&amp;diams; 3,7-nonadien-2-ol, 2,4,8-trimethyl-</t>
  </si>
  <si>
    <t xml:space="preserve"> 437770-28-0</t>
  </si>
  <si>
    <t xml:space="preserve"> (+/-)-2,4,8-TRIMETHYL-7-NONEN-2-OL</t>
  </si>
  <si>
    <t xml:space="preserve"> &amp;diams; 2,4,8-TRIMETHYL-7-NONEN-2-OL&lt;br /&gt;&amp;diams; 7-nonen-2-ol, 2,4,8-trimethyl-</t>
  </si>
  <si>
    <t xml:space="preserve"> 13851-11-1</t>
  </si>
  <si>
    <t xml:space="preserve"> 1,3,3-TRIMETHYL-2-NORBORNANYL ACETATE</t>
  </si>
  <si>
    <t xml:space="preserve"> &amp;diams; FENCHYL ACETATE&lt;br /&gt;&amp;diams; 2-NORBORNANOL, 1,3,3-TRIMETHYL-, ACETATE&lt;br /&gt;&amp;diams; 1,3,3-TRIMETHYL-2-NORBORNANYL ACETATE&lt;br /&gt;&amp;diams; BICYCLO(2.2.1)HEPTAN-2-OL, 1,3,3-TRIMETHL-, ACETATE&lt;br /&gt;&amp;diams; 1,3,3-TRIMETHYLBICYCLO(2.2.1)HEPTAN-2-YL ACETATE</t>
  </si>
  <si>
    <t xml:space="preserve"> 1193-11-9</t>
  </si>
  <si>
    <t xml:space="preserve"> 2,2,4-TRIMETHYL-1,3-OXACYCLOPENTANE</t>
  </si>
  <si>
    <t xml:space="preserve"> &amp;diams; 2,2,4-TRIMETHYL-1,3-DIOXOLANE&lt;br /&gt;&amp;diams; ACETONE PROPYLENE GLYCOL ACETAL&lt;br /&gt;&amp;diams; PROPYLENE GLYCOL ACETONE KETAL&lt;br /&gt;&amp;diams; 2,2,4-TRIMETHYL-1,3-DIOXACYCLOPENTANE&lt;br /&gt;&amp;diams; 2,2,4-TRIMETHYL-1,3-OXACYCLOPENTANE&lt;br /&gt;&amp;diams; 1,3-DIOXOLANE, 2,2,4-TRIMETHYL-</t>
  </si>
  <si>
    <t xml:space="preserve"> 20662-84-4</t>
  </si>
  <si>
    <t xml:space="preserve"> TRIMETHYLOXAZOLE</t>
  </si>
  <si>
    <t xml:space="preserve"> &amp;diams; TRIMETHYLOXAZOLE&lt;br /&gt;&amp;diams; oxazole, 2,4,5-trimethyl-&lt;br /&gt;&amp;diams; 2,4,5-trimethyloxazole&lt;br /&gt;&amp;diams; oxazole, trimethyl-&lt;br /&gt;&amp;diams; InChI=1S/C6H9NO/c1-4-5(2)8-6(3)7-4/h1-3H3&lt;br /&gt;&amp;diams; InChIKey: ZRLDBDZSLLGDOX-UHFFFAOYSA-N</t>
  </si>
  <si>
    <t xml:space="preserve"> 22694-96-8</t>
  </si>
  <si>
    <t xml:space="preserve"> 2,4,5-TRIMETHYL-DELTA-3-OXAZOLINE</t>
  </si>
  <si>
    <t xml:space="preserve"> &amp;diams; 2,4,5-TRIMETHYL-3-OXAZOLINE&lt;br /&gt;&amp;diams; OXAZOLE, 2,5-DIHYDRO-2,4,5-TRIMETHL-&lt;br /&gt;&amp;diams; 2,4,5-TRIMETHYL-DELTA3-OXAZOLINE&lt;br /&gt;&amp;diams; 2,5-DIHYDRO-2,4,5-TRIMETHYLOXAZOLE&lt;br /&gt;&amp;diams; 2,4,5-TRIMETHYL-2,5-DIHYDROOXAZOLE&lt;br /&gt;&amp;diams; 3-OXAZOLINE, 2,4,5-TRIMETHYL-</t>
  </si>
  <si>
    <t xml:space="preserve"> 762-29-8</t>
  </si>
  <si>
    <t xml:space="preserve"> 2,6,10-TRIMETHYL-2,6,10-PENTADECATRIEN-14-ONE</t>
  </si>
  <si>
    <t xml:space="preserve"> &amp;diams; FARNESYL ACETONE&lt;br /&gt;&amp;diams; 2,6,10-TRIMETHYL-2,6,10-PENTADECATRIEN-14-ONE&lt;br /&gt;&amp;diams; 6,10,14-TRIMETHYL-5,9,13-PENTADECATRIEN-2-ONE&lt;br /&gt;&amp;diams; 5,9,13-PENTADECATRIEN-2-ONE, 6,10,14-TRIMETHYL-</t>
  </si>
  <si>
    <t xml:space="preserve"> 3054-92-0</t>
  </si>
  <si>
    <t xml:space="preserve"> 2,3,4-TRIMETHYL-3-PENTANOL</t>
  </si>
  <si>
    <t xml:space="preserve"> &amp;diams; 2,3,4-TRIMETHYL-3-PENTANOL&lt;br /&gt;&amp;diams; DIISOPROPYL METHYL CARBINOL&lt;br /&gt;&amp;diams; 3-PENTANOL, 2,3,4-TRIMETHYL-&lt;br /&gt;&amp;diams; 1,1-DIISOPROPYLETHANOL</t>
  </si>
  <si>
    <t xml:space="preserve"> 2416-94-6</t>
  </si>
  <si>
    <t xml:space="preserve"> 2,3,6-TRIMETHYLPHENOL</t>
  </si>
  <si>
    <t xml:space="preserve"> &amp;diams; 2,3,6-TRIMETHYLPHENOL&lt;br /&gt;&amp;diams; PHENOL, 2,3,6-TRIMETHYL-&lt;br /&gt;&amp;diams; 3-HYDROXYPSEUDOCUMENE</t>
  </si>
  <si>
    <t xml:space="preserve"> 527-60-6</t>
  </si>
  <si>
    <t xml:space="preserve"> 2,4,6-TRIMETHYLPHENOL</t>
  </si>
  <si>
    <t xml:space="preserve"> &amp;diams; 2,4,6-TRIMETHYLPHENOL&lt;br /&gt;&amp;diams; phenol, 2,4,6-trimethyl-&lt;br /&gt;&amp;diams; mesitol&lt;br /&gt;&amp;diams; 2-hydroxymesitylene&lt;br /&gt;&amp;diams; mesityl alcohol&lt;br /&gt;&amp;diams; InChI=1S/C9H12O/c1-6-4-7(2)9(10)8(3)5-6/h4-5,10H,1-3H3&lt;br /&gt;&amp;diams; InChIKey: BPRYUXCVCCNUFE-UHFFFAOYSA-N</t>
  </si>
  <si>
    <t xml:space="preserve"> 14667-55-1</t>
  </si>
  <si>
    <t xml:space="preserve"> 2,3,5-TRIMETHYLPYRAZINE</t>
  </si>
  <si>
    <t xml:space="preserve"> &amp;diams; TRIMETHYLPYRAZINE&lt;br /&gt;&amp;diams; 2,3,5-TRIMETHYLPYRAZINE&lt;br /&gt;&amp;diams; PYRAZINE, TRIMETHYL-</t>
  </si>
  <si>
    <t xml:space="preserve"> 13623-11-5</t>
  </si>
  <si>
    <t xml:space="preserve"> 2,4,5-TRIMETHYLTHIAZOLE</t>
  </si>
  <si>
    <t xml:space="preserve"> &amp;diams; 2,4,5-TRIMETHYLTHIAZOLE&lt;br /&gt;&amp;diams; TRIMETHYLTHIAZOLE&lt;br /&gt;&amp;diams; THIAZOLE, 2,4,5-TRIMETHYL-</t>
  </si>
  <si>
    <t xml:space="preserve"> 7392-19-0</t>
  </si>
  <si>
    <t xml:space="preserve"> 2,2,6-TRIMETHYL-6-VINYLTETRAHYDROPYRAN</t>
  </si>
  <si>
    <t xml:space="preserve"> &amp;diams; 2,6,6-TRIMETHYL-2-VINYLTETRAHYDROPYRAN&lt;br /&gt;&amp;diams; BOIS DE ROSE OXIDE&lt;br /&gt;&amp;diams; TETRAHYDRO-2,2,6-TRIMETHYL-6-VINYL-2H-PYRAN&lt;br /&gt;&amp;diams; 2-ETHENYLTETRAHYDRO-2,6,6-TRIMETHYL-2H-PYRAN&lt;br /&gt;&amp;diams; 2,2,6-TRIMETHYL-6-VINYLTETRAHYDROPYRAN&lt;br /&gt;&amp;diams; 2H-PYRAN, 2-ETHENYLTETRAHYDRO-2,6,6-TRIMETHYL-&lt;br /&gt;&amp;diams; 2H-PYRAN, TETRAHYDRO-2,2,6-TRIMETHYL-6-VINYL-</t>
  </si>
  <si>
    <t xml:space="preserve"> 102-69-2</t>
  </si>
  <si>
    <t xml:space="preserve"> TRIPROPYLAMINE</t>
  </si>
  <si>
    <t xml:space="preserve"> &amp;diams; TRIPROPYLAMINE&lt;br /&gt;&amp;diams; 1-PROPANAMINE, N,N-DIPROPYL-&lt;br /&gt;&amp;diams; N,N-DIPROPYL-1-PROPANAMINE</t>
  </si>
  <si>
    <t xml:space="preserve"> 67715-82-6</t>
  </si>
  <si>
    <t xml:space="preserve"> 1,2,3-TRIS((1'-ETHOXY)ETHOXY)-PROPANE</t>
  </si>
  <si>
    <t xml:space="preserve"> &amp;diams; 1,2,3-TRIS((1-ETHOXY)ETHOXY)PROPANE&lt;br /&gt;&amp;diams; 3,5,9,11-TETRAOXATRIDECANE, 7-(1-ETHOXYETHOXY)-4-10-DIMETHYL-&lt;br /&gt;&amp;diams; 7-(1-ETHOXYETHOXY)-4,10-DIMETHYL-3,5,9,11-TETRAOXATRIDECANE</t>
  </si>
  <si>
    <t xml:space="preserve"> 5064-31-3</t>
  </si>
  <si>
    <t xml:space="preserve"> TRISODIUM NITRILOTRIACETATE</t>
  </si>
  <si>
    <t xml:space="preserve"> &amp;diams; TRISODIUM NITRILOTRIACETATE&lt;br /&gt;&amp;diams; ACETIC ACID, NITRILOTRI-, TRISODIUM SALT&lt;br /&gt;&amp;diams; GLYCINE, N,N-BIS(CARBOXYMETHYL)-, TRISODIUM SALT&lt;br /&gt;&amp;diams; TRISODIUM NITRILOTRIACETIC ACID&lt;br /&gt;&amp;diams; TRISODIUM N,N-BIS(CARBOXYMETHYL)GLYCINATE&lt;br /&gt;&amp;diams; TRISODIUM 2,2',2''-NITRILOTRIACETATE</t>
  </si>
  <si>
    <t xml:space="preserve"> 6540-86-9</t>
  </si>
  <si>
    <t xml:space="preserve"> 2,4,6-TRITHIAHEPTANE</t>
  </si>
  <si>
    <t xml:space="preserve"> &amp;diams; BIS(METHYLTHIOMETHYL) SULFIDE&lt;br /&gt;&amp;diams; 2,4,6-trithiaheptane&lt;br /&gt;&amp;diams; methane, thiobis(methylthio)-&lt;br /&gt;&amp;diams; sulfide, bis((methylthio)methyl)&lt;br /&gt;&amp;diams; thiobis((methylthio)methane)&lt;br /&gt;&amp;diams; bis((methylthio)methyl) sulfide&lt;br /&gt;&amp;diams; InChI=1S/C4H10S3/c1-5-3-7-4-6-2/h3-4H2,1-2H3&lt;br /&gt;&amp;diams; InChiKey=PQFOEUXAUYRCAY-UHFFFAOYSA-N</t>
  </si>
  <si>
    <t xml:space="preserve"> 828-26-2</t>
  </si>
  <si>
    <t xml:space="preserve"> TRITHIOACETONE</t>
  </si>
  <si>
    <t xml:space="preserve"> &amp;diams; TRITHIOACETONE&lt;br /&gt;&amp;diams; 2,2,4,4,6,6-HEXAMETHYL-S-TRITHIANE&lt;br /&gt;&amp;diams; 1,3,5-TRITHIANE, 2,2,4,4,6,6-HEXAMETHYL-&lt;br /&gt;&amp;diams; 2,2,4,4,6,6-HEXAMETHYL-1,3,5-TRITHIANE&lt;br /&gt;&amp;diams; S-TRITHIANE, 2,2,4,4,6,6-HEXAMETHYL-&lt;br /&gt;&amp;diams; HEXAMETHYL-S-TRITHIANE&lt;br /&gt;&amp;diams; HEXAMETHYL-1,3,5-TRITHIANE&lt;br /&gt;&amp;diams; S-TRITHIANE, HEXAMETHYL-</t>
  </si>
  <si>
    <t xml:space="preserve"> 9002-07-7</t>
  </si>
  <si>
    <t xml:space="preserve"> TRYPSIN FROM ANIMAL TISSUE</t>
  </si>
  <si>
    <t xml:space="preserve"> &amp;diams; TRYPSIN&lt;br /&gt;&amp;diams; ENZYME, TRYPTIC</t>
  </si>
  <si>
    <t xml:space="preserve"> 73-22-3</t>
  </si>
  <si>
    <t xml:space="preserve"> L-TRYPTOPHAN</t>
  </si>
  <si>
    <t xml:space="preserve"> &amp;diams; TRYPTOPHAN, L-&lt;br /&gt;&amp;diams; TRYPTOPHANE, L-&lt;br /&gt;&amp;diams; ALPHA-AMINO-3-INDOLEPROPIONIC ACID, L-&lt;br /&gt;&amp;diams; L-TRP</t>
  </si>
  <si>
    <t xml:space="preserve"> 153175-57-6</t>
  </si>
  <si>
    <t xml:space="preserve"> TUBEROSE LACTONE</t>
  </si>
  <si>
    <t xml:space="preserve"> &amp;diams; 6,9-DODECADIEN-4-OLIDE, CIS,CIS-&lt;br /&gt;&amp;diams; 2(3H)-furanone, dihydro-5-(2Z,5Z)-2,5-octadienyl-&lt;br /&gt;&amp;diams; dihydro-5-(2,5-octadienyl)-2(3H)-furanone, (Z,Z)-&lt;br /&gt;&amp;diams; tuberose lactone</t>
  </si>
  <si>
    <t xml:space="preserve"> 8024-05-3</t>
  </si>
  <si>
    <t xml:space="preserve"> TUBEROSE, OIL (POLIANTHES TUBEROSA L.)</t>
  </si>
  <si>
    <t xml:space="preserve"> &amp;diams; TUBEROSE OIL&lt;br /&gt;&amp;diams; OILS, TUBEROSE&lt;br /&gt;&amp;diams; POLIANTHES TUBEROSA OIL</t>
  </si>
  <si>
    <t xml:space="preserve"> 977011-54-3</t>
  </si>
  <si>
    <t xml:space="preserve"> TUNU (CASTILLA FALLAX COOK)</t>
  </si>
  <si>
    <t xml:space="preserve"> &amp;diams; TUNU&lt;br /&gt;&amp;diams; TUNO</t>
  </si>
  <si>
    <t xml:space="preserve"> 977052-44-0</t>
  </si>
  <si>
    <t xml:space="preserve"> TURMERIC (CURCUMA LONGA L.)</t>
  </si>
  <si>
    <t xml:space="preserve"> &amp;diams; TURMERIC&lt;br /&gt;&amp;diams; CURCUMA DOMESTICA&lt;br /&gt;&amp;diams; TUMERIC&lt;br /&gt;&amp;diams; CURCUMA LONGA&lt;br /&gt;&amp;diams; CURCUMA (CURCUMA LONGA OU DOMESTICA)&lt;br /&gt;&amp;diams; INDIAN SAFFRON&lt;br /&gt;&amp;diams; SAFFRON, INDIAN&lt;br /&gt;&amp;diams; YELLOW GINGER&lt;br /&gt;&amp;diams; GINGER, YELLOW&lt;br /&gt;&amp;diams; COMMON TURMERIC&lt;br /&gt;&amp;diams; TURMERIC, COMMON</t>
  </si>
  <si>
    <t xml:space="preserve"> 84775-52-0</t>
  </si>
  <si>
    <t xml:space="preserve"> TURMERIC, EXTRACT (CURCUMA LONGA L.)</t>
  </si>
  <si>
    <t xml:space="preserve"> &amp;diams; TURMERIC EXTRACT&lt;br /&gt;&amp;diams; TUMERIC EXTRACT&lt;br /&gt;&amp;diams; CURCUMA LONGA EXTRACT&lt;br /&gt;&amp;diams; CURCUMA LONGA, EXT.</t>
  </si>
  <si>
    <t xml:space="preserve"> 129828-29-1</t>
  </si>
  <si>
    <t xml:space="preserve"> TURMERIC, OLEORESIN (CURCUMA LONGA L.)</t>
  </si>
  <si>
    <t xml:space="preserve"> &amp;diams; TURMERIC OLEORESIN&lt;br /&gt;&amp;diams; TUMERIC OLEORESIN&lt;br /&gt;&amp;diams; RESINS, OLEO-, CURCUMA LONGA&lt;br /&gt;&amp;diams; CURCUMA LONGA OLEORESIN</t>
  </si>
  <si>
    <t xml:space="preserve"> 8052-14-0</t>
  </si>
  <si>
    <t xml:space="preserve"> TURPENTINE</t>
  </si>
  <si>
    <t xml:space="preserve"> &amp;diams; TURPENTINE&lt;br /&gt;&amp;diams; TURPENTINE, WOOD&lt;br /&gt;&amp;diams; WOOD TURPENTINE&lt;br /&gt;&amp;diams; TURPENTINE OIL RESIN</t>
  </si>
  <si>
    <t xml:space="preserve"> 9005-90-7</t>
  </si>
  <si>
    <t xml:space="preserve"> TURPENTINE, GUM (PINUS SPP.)</t>
  </si>
  <si>
    <t xml:space="preserve"> &amp;diams; TURPENTINE GUM&lt;br /&gt;&amp;diams; PINE GUM&lt;br /&gt;&amp;diams; GUM TURPENTINE</t>
  </si>
  <si>
    <t xml:space="preserve"> 977022-00-6</t>
  </si>
  <si>
    <t xml:space="preserve"> TURPENTINE, RECTIFIED</t>
  </si>
  <si>
    <t xml:space="preserve"> &amp;diams; TURPENTINE OIL, RECTIFIED&lt;br /&gt;&amp;diams; TURPENTINE, RECTIFIED</t>
  </si>
  <si>
    <t xml:space="preserve"> 8006-64-2</t>
  </si>
  <si>
    <t xml:space="preserve"> TURPENTINE, STEAM DISTILLED (PINUS SPP.)</t>
  </si>
  <si>
    <t xml:space="preserve"> &amp;diams; TURPENTINE OIL&lt;br /&gt;&amp;diams; TURPENTINE SPIRITS&lt;br /&gt;&amp;diams; TURPENTINE, STEAM DISTILLED&lt;br /&gt;&amp;diams; TURPENTINE, OIL</t>
  </si>
  <si>
    <t xml:space="preserve"> 51-67-2</t>
  </si>
  <si>
    <t xml:space="preserve"> TYRAMINE</t>
  </si>
  <si>
    <t xml:space="preserve"> &amp;diams; TYRAMINE&lt;br /&gt;&amp;diams; PHENOL, 4-(2-AMINOETHYL)-&lt;br /&gt;&amp;diams; 4-(2-AMINOETHYL)PHENOL&lt;br /&gt;&amp;diams; PHENOL, P-(2-AMINOETHYL)-&lt;br /&gt;&amp;diams; (2-AMINOETHYL)PHENOL, P-&lt;br /&gt;&amp;diams; InChI=1S/C8H11NO/c9-6-5-7-1-3-8(10)4-2-7/h1-4,10H,5-6,9H2&lt;br /&gt;&amp;diams; InChIKey: DZGWFCGJZKJUFP-UHFFFAOYSA-N</t>
  </si>
  <si>
    <t xml:space="preserve"> 60-18-4</t>
  </si>
  <si>
    <t xml:space="preserve"> L-TYROSINE</t>
  </si>
  <si>
    <t xml:space="preserve"> &amp;diams; TYROSINE, L-&lt;br /&gt;&amp;diams; L-TYROSINE&lt;br /&gt;&amp;diams; 2-AMINO-3-(4-HYDROXYPHENYL)PROPANOIC ACID, (S)-&lt;br /&gt;&amp;diams; ALPHA-AMINO-P-HYDROXYHYDROCINNAMIC ACID, (-)-&lt;br /&gt;&amp;diams; ALPHA-AMINO-4-HYDROXYBENZENEPROPANOIC ACID, (S)-&lt;br /&gt;&amp;diams; 4-HYDROXY-L-PHENYLALANINE</t>
  </si>
  <si>
    <t xml:space="preserve"> 4089-07-0</t>
  </si>
  <si>
    <t xml:space="preserve"> L-TYROSINE ETHYL ESTER HYDROCHLORIDE</t>
  </si>
  <si>
    <t xml:space="preserve"> &amp;diams; ETHYL L-TYROSINATE HYDROCHLORIDE&lt;br /&gt;&amp;diams; ETHYL TYROSINATE HYDROCHLORIDE&lt;br /&gt;&amp;diams; L-TYROSINE, ETHYL ESTER, HYDROCHLORIDE&lt;br /&gt;&amp;diams; TYROSINE, L-, ETHYL ESTER, HYDROCHLORIDE&lt;br /&gt;&amp;diams; TYROSINE, ETHYL ESTER, HYDROCHLORIDE, L-</t>
  </si>
  <si>
    <t xml:space="preserve"> 57455-37-5</t>
  </si>
  <si>
    <t xml:space="preserve"> ULTRAMARINE BLUE</t>
  </si>
  <si>
    <t xml:space="preserve"> &amp;diams; ULTRAMARINE BLUE&lt;br /&gt;&amp;diams; C.I. PIGMENT BLUE 29&lt;br /&gt;&amp;diams; AZURE BLUE&lt;br /&gt;&amp;diams; PIGMENT BLUE 29&lt;br /&gt;&amp;diams; ULTRAMARINE (PIGMENT)&lt;br /&gt;&amp;diams; SODIUM ALUMINOSULFOSILICATE</t>
  </si>
  <si>
    <t xml:space="preserve"> 91254-00-1</t>
  </si>
  <si>
    <t xml:space="preserve"> 2,5-UNDECADIENAL</t>
  </si>
  <si>
    <t xml:space="preserve"> &amp;diams; 2,5-UNDECADIENAL</t>
  </si>
  <si>
    <t xml:space="preserve"> 13162-46-4</t>
  </si>
  <si>
    <t xml:space="preserve"> 2,4-UNDECADIENAL</t>
  </si>
  <si>
    <t xml:space="preserve"> &amp;diams; 2,4-UNDECADIENAL&lt;br /&gt;&amp;diams; UNDECA-2,4-DIEN-1-AL</t>
  </si>
  <si>
    <t xml:space="preserve"> 7493-59-6</t>
  </si>
  <si>
    <t xml:space="preserve"> 2,3-UNDECADIONE</t>
  </si>
  <si>
    <t xml:space="preserve"> &amp;diams; 2,3-UNDECANEDIONE&lt;br /&gt;&amp;diams; ACETYL NONYRYL&lt;br /&gt;&amp;diams; 2,3-UNDECADIONE&lt;br /&gt;&amp;diams; ACETYL PELARGONYL&lt;br /&gt;&amp;diams; ACETYL NONANOYL</t>
  </si>
  <si>
    <t xml:space="preserve"> 104-67-6</t>
  </si>
  <si>
    <t xml:space="preserve"> GAMMA-UNDECALACTONE</t>
  </si>
  <si>
    <t xml:space="preserve"> &amp;diams; GAMMA-UNDECALACTONE&lt;br /&gt;&amp;diams; UNDECALACTONE, GAMMA-&lt;br /&gt;&amp;diams; 1,4-HENDECANOLIDE&lt;br /&gt;&amp;diams; 2(3H)-FURANONE, 5-HEPTYLDIHYDRO-&lt;br /&gt;&amp;diams; 4-HYDROXYUNDECANOIC LACTONE&lt;br /&gt;&amp;diams; 4-HYDROXYUNDECANOIC ACID GAMMA-LACTONE&lt;br /&gt;&amp;diams; 5-HEPTYLDIHYDRO-2(3H)-FURANONE&lt;br /&gt;&amp;diams; DIHYDRO-5-HEPTYL-2(3H)-FURANONE&lt;br /&gt;&amp;diams; GAMMA-UNDECYL LACTONE&lt;br /&gt;&amp;diams; GAMMA-HEPTYLBUTYROLACTONE&lt;br /&gt;&amp;diams; PEACH LACTONE&lt;br /&gt;&amp;diams; ALDEHYDE C-14 PURE (SO-CALLED)</t>
  </si>
  <si>
    <t xml:space="preserve"> 112-44-7</t>
  </si>
  <si>
    <t xml:space="preserve"> UNDECANAL</t>
  </si>
  <si>
    <t xml:space="preserve"> &amp;diams; UNDECANAL&lt;br /&gt;&amp;diams; ALDEHYDE C-11 UNDECYLIC&lt;br /&gt;&amp;diams; HENDECANAL&lt;br /&gt;&amp;diams; UNDECYLIC ALDEHYDE&lt;br /&gt;&amp;diams; UNDECYLALDEHYDE&lt;br /&gt;&amp;diams; UNDECANONE, ALPHA-</t>
  </si>
  <si>
    <t xml:space="preserve"> 74094-62-5</t>
  </si>
  <si>
    <t xml:space="preserve"> UNDECANAL PROPYLENEGLYCOL ACETAL</t>
  </si>
  <si>
    <t xml:space="preserve"> &amp;diams; UNDECANAL PROPYLENE GLYCOL ACETAL&lt;br /&gt;&amp;diams; 1,3-dioxolane, 2-decyl-4-methyl-&lt;br /&gt;&amp;diams; 2-decyl-4-methyl-1,3-dioxolane&lt;br /&gt;&amp;diams; InChI=1S/C14H28O2/c1-3-4-5-6-7-8-9-10-11-14-15-12-13(2)16-14/h13-14H,3-12H2,1-2H3&lt;br /&gt;&amp;diams; InChIKey: ZOJCTKZSRSUPTO-UHFFFAOYSA-N</t>
  </si>
  <si>
    <t xml:space="preserve"> 112-37-8</t>
  </si>
  <si>
    <t xml:space="preserve"> UNDECANOIC ACID</t>
  </si>
  <si>
    <t xml:space="preserve"> &amp;diams; UNDECANOIC ACID&lt;br /&gt;&amp;diams; HENDECANOIC ACID&lt;br /&gt;&amp;diams; UNDECYLIC ACID&lt;br /&gt;&amp;diams; 1-DECANECARBOXYLIC ACID&lt;br /&gt;&amp;diams; UNDECOIC ACID</t>
  </si>
  <si>
    <t xml:space="preserve"> 1653-30-1</t>
  </si>
  <si>
    <t xml:space="preserve"> 2-UNDECANOL</t>
  </si>
  <si>
    <t xml:space="preserve"> &amp;diams; 2-UNDECANOL&lt;br /&gt;&amp;diams; 2-HENDECANOL&lt;br /&gt;&amp;diams; UNDECYLIC ALCOHOL, SEC-&lt;br /&gt;&amp;diams; METHYL NONYL CARBINOL&lt;br /&gt;&amp;diams; 2-HYDROXYUNDECANE</t>
  </si>
  <si>
    <t xml:space="preserve"> 112-12-9</t>
  </si>
  <si>
    <t xml:space="preserve"> 2-UNDECANONE</t>
  </si>
  <si>
    <t xml:space="preserve"> &amp;diams; 2-UNDECANONE&lt;br /&gt;&amp;diams; METHYL NONYL KETONE&lt;br /&gt;&amp;diams; 2-HENDECANONE&lt;br /&gt;&amp;diams; MNK&lt;br /&gt;&amp;diams; NONYL METHYL KETONE&lt;br /&gt;&amp;diams; 2-OXOUNDECANE&lt;br /&gt;&amp;diams; RUE KETONE</t>
  </si>
  <si>
    <t xml:space="preserve"> 116963-97-4</t>
  </si>
  <si>
    <t xml:space="preserve"> 1,3,5,7-UNDECATETRAENE</t>
  </si>
  <si>
    <t xml:space="preserve"> &amp;diams; 1,3,5,7-UNDECATRIENE</t>
  </si>
  <si>
    <t xml:space="preserve"> 16356-11-9</t>
  </si>
  <si>
    <t xml:space="preserve"> 1,3,5-UNDECATRIENE</t>
  </si>
  <si>
    <t xml:space="preserve"> &amp;diams; 1,3,5-UNDECATRIENE</t>
  </si>
  <si>
    <t xml:space="preserve"> 68820-35-9</t>
  </si>
  <si>
    <t xml:space="preserve"> (E)-4-UNDECENAL</t>
  </si>
  <si>
    <t xml:space="preserve"> &amp;diams; 4-UNDECENAL, (E)-&lt;br /&gt;&amp;diams; 4-undecanal, (4E)-&lt;br /&gt;&amp;diams; 4-undecenal, trans-</t>
  </si>
  <si>
    <t xml:space="preserve"> 112-45-8</t>
  </si>
  <si>
    <t xml:space="preserve"> 10-UNDECENAL</t>
  </si>
  <si>
    <t xml:space="preserve"> &amp;diams; 10-UNDECENAL&lt;br /&gt;&amp;diams; 10-HENDECENAL</t>
  </si>
  <si>
    <t xml:space="preserve"> 2463-77-6</t>
  </si>
  <si>
    <t xml:space="preserve"> 2-UNDECENAL</t>
  </si>
  <si>
    <t xml:space="preserve"> &amp;diams; 2-UNDECENAL&lt;br /&gt;&amp;diams; 2-UNDECEN-1-AL</t>
  </si>
  <si>
    <t xml:space="preserve"> 143-14-6</t>
  </si>
  <si>
    <t xml:space="preserve"> 9-UNDECENAL</t>
  </si>
  <si>
    <t xml:space="preserve"> &amp;diams; 9-UNDECENAL&lt;br /&gt;&amp;diams; UNDECYLENIC ALDEHYDE&lt;br /&gt;&amp;diams; 9-HENDECENAL&lt;br /&gt;&amp;diams; ALDEHYDE C-11 UNDECYLENIC&lt;br /&gt;&amp;diams; HENDECEN-9-AL</t>
  </si>
  <si>
    <t xml:space="preserve"> 112-38-9</t>
  </si>
  <si>
    <t xml:space="preserve"> 10-UNDECENOIC ACID</t>
  </si>
  <si>
    <t xml:space="preserve"> &amp;diams; 10-UNDECENOIC ACID&lt;br /&gt;&amp;diams; 10-HENDECENOIC ACI&lt;br /&gt;&amp;diams; HENDECENOIC ACID, OMEGA-&lt;br /&gt;&amp;diams; UNDECENOIC ACID, OMEGA-</t>
  </si>
  <si>
    <t xml:space="preserve"> 112-43-6</t>
  </si>
  <si>
    <t xml:space="preserve"> UNDECEN-1-OL</t>
  </si>
  <si>
    <t xml:space="preserve"> &amp;diams; UNDECYLENIC ALCOHOL&lt;br /&gt;&amp;diams; UNDECEN-1-OL&lt;br /&gt;&amp;diams; 10-UNDECEN-1-OL&lt;br /&gt;&amp;diams; UNDECYLENYL ALCOHOL&lt;br /&gt;&amp;diams; OMEGA-UNDECENYL ALCOHOL&lt;br /&gt;&amp;diams; 1-UNDECEN-11-OL&lt;br /&gt;&amp;diams; 10-UNDECENOL&lt;br /&gt;&amp;diams; 10-UNDECYLEN-1-OL&lt;br /&gt;&amp;diams; 11-HYDROXY-1-UNDECENE</t>
  </si>
  <si>
    <t xml:space="preserve"> 37617-03-1</t>
  </si>
  <si>
    <t xml:space="preserve"> 2-UNDECEN-1-OL</t>
  </si>
  <si>
    <t xml:space="preserve"> &amp;diams; 2-UNDECEN-1-OL&lt;br /&gt;&amp;diams; 1-HYDROXY-2-UNDECENE</t>
  </si>
  <si>
    <t xml:space="preserve"> 75039-84-8</t>
  </si>
  <si>
    <t xml:space="preserve"> 2-UNDECEN-1-OL, TRANS-</t>
  </si>
  <si>
    <t xml:space="preserve"> &amp;diams; 2-UNDECEN-1-OL, TRANS-&lt;br /&gt;&amp;diams; 2-undecen-1-ol, (2E)-&lt;br /&gt;&amp;diams; 1-hydroxy-2-undecene, trans-</t>
  </si>
  <si>
    <t xml:space="preserve"> 36219-73-5</t>
  </si>
  <si>
    <t xml:space="preserve"> 10-UNDECEN-2-ONE</t>
  </si>
  <si>
    <t xml:space="preserve"> &amp;diams; 10-UNDECEN-2-ONE&lt;br /&gt;&amp;diams; InChI=1S/C11H20O/c1-3-4-5-6-7-8-9-10-11(2)12/h3H,1,4-10H2,2H3&lt;br /&gt;&amp;diams; InChIKey=FJHNSGVMPSITEQ-UHFFFAOYSA-N</t>
  </si>
  <si>
    <t xml:space="preserve"> 112-19-6</t>
  </si>
  <si>
    <t xml:space="preserve"> 10-UNDECEN-1-YL ACETATE</t>
  </si>
  <si>
    <t xml:space="preserve"> &amp;diams; 10-UNDECEN-1-YL ACETATE&lt;br /&gt;&amp;diams; ACETATE C-11&lt;br /&gt;&amp;diams; UNDECENYL ACETATE&lt;br /&gt;&amp;diams; UNDECYLENYL ACETATE&lt;br /&gt;&amp;diams; 10-HENDECENYL ACETATE&lt;br /&gt;&amp;diams; 10-UNDECENYL ACETATE&lt;br /&gt;&amp;diams; 10-UNDECEN-1-OL, ACETATE</t>
  </si>
  <si>
    <t xml:space="preserve"> 112-42-5</t>
  </si>
  <si>
    <t xml:space="preserve"> UNDECYL ALCOHOL</t>
  </si>
  <si>
    <t xml:space="preserve"> &amp;diams; UNDECYL ALCOHOL&lt;br /&gt;&amp;diams; UNDECANOL-1&lt;br /&gt;&amp;diams; HENDECYL ALCOHOL&lt;br /&gt;&amp;diams; 1-UNDECANOL&lt;br /&gt;&amp;diams; DECYL CARBINOL&lt;br /&gt;&amp;diams; ALCOHOL C-11 UNDECYLIC&lt;br /&gt;&amp;diams; 1-HENDECANOL&lt;br /&gt;&amp;diams; UNDECYLIC ALCOHOL</t>
  </si>
  <si>
    <t xml:space="preserve"> 50854-94-9</t>
  </si>
  <si>
    <t xml:space="preserve"> N-UNDECYLBENZENESULFONIC ACID</t>
  </si>
  <si>
    <t xml:space="preserve"> &amp;diams; UNDECYLBENZENESULFONIC ACID&lt;br /&gt;&amp;diams; ALKYL(C11)BENZENESULFONIC ACID&lt;br /&gt;&amp;diams; BENZENESULFONIC ACID, UNDECYL-</t>
  </si>
  <si>
    <t xml:space="preserve"> 57-13-6</t>
  </si>
  <si>
    <t xml:space="preserve"> UREA</t>
  </si>
  <si>
    <t xml:space="preserve"> &amp;diams; UREA&lt;br /&gt;&amp;diams; CARBAMIDE&lt;br /&gt;&amp;diams; CARBAMIMIDIC ACID</t>
  </si>
  <si>
    <t xml:space="preserve"> 977161-74-2</t>
  </si>
  <si>
    <t xml:space="preserve"> UREASE ENZYME PREPARATION (LACTOBACILLUS FERMENTUM)</t>
  </si>
  <si>
    <t xml:space="preserve"> &amp;diams; UREASE, LACTOBACILLUS FERMENTUM</t>
  </si>
  <si>
    <t xml:space="preserve"> 4630-07-3</t>
  </si>
  <si>
    <t xml:space="preserve"> VALENCENE</t>
  </si>
  <si>
    <t xml:space="preserve"> &amp;diams; VALENCENE&lt;br /&gt;&amp;diams; 1,2,3,5,6,7,8,8A-OCTAHYDRO-1,8A-DIMETHYL-7-(1-METHYLETHENYL)NAPHTHALENE, (1R-(1ALPHA,7BETA,8AALPHA))-&lt;br /&gt;&amp;diams; NAPHTHALENE, 1,2,3,5,6,7,8,8A-OCTAHYDRO-1,8A-DIMETHYL-7-(1-METHYLETHENYL)-, (1R-(1ALPHA,7BETA,8AALPHA))-&lt;br /&gt;&amp;diams; 4BETAH,5ALPHA-EREMOPHILA-1(10),11-DIENE&lt;br /&gt;&amp;diams; VALENCENE, (+)-</t>
  </si>
  <si>
    <t xml:space="preserve"> 110-62-3</t>
  </si>
  <si>
    <t xml:space="preserve"> VALERALDEHYDE</t>
  </si>
  <si>
    <t xml:space="preserve"> &amp;diams; PENTANAL&lt;br /&gt;&amp;diams; VALERALDEHYDE&lt;br /&gt;&amp;diams; AMYL ALDEHYDE&lt;br /&gt;&amp;diams; VALERIC ALDEHYDE&lt;br /&gt;&amp;diams; VALERAL</t>
  </si>
  <si>
    <t xml:space="preserve"> 13112-65-7</t>
  </si>
  <si>
    <t xml:space="preserve"> VALERALDEHYDE DIBUTYL ACETAL</t>
  </si>
  <si>
    <t xml:space="preserve"> &amp;diams; PENTANAL DIBUTYL ACETAL&lt;br /&gt;&amp;diams; pentane, 1,1-dibutoxy-&lt;br /&gt;&amp;diams; 1,1-dibutoxypentane&lt;br /&gt;&amp;diams; valeraldehyde, dibutyl acetal&lt;br /&gt;&amp;diams; valeraldehyde dibutyl acetal&lt;br /&gt;&amp;diams; InChI=1S/C13H28O2/c1-4-7-10-13(14-11-8-5-2)15-12-9-6-3/h13H,4-12H2,1-3H3&lt;br /&gt;&amp;diams; InChIKey: LDJYPEMHNQONGS-UHFFFAOYSA-N</t>
  </si>
  <si>
    <t xml:space="preserve"> 74094-60-3</t>
  </si>
  <si>
    <t xml:space="preserve"> VALERALDEHYDE PROPYLENEGLYCOL ACETAL</t>
  </si>
  <si>
    <t xml:space="preserve"> &amp;diams; PENTANAL PROPYLENE GLYCOL ACETAL&lt;br /&gt;&amp;diams; 1,3-dioxolane, 2-butyl-4-methyl-&lt;br /&gt;&amp;diams; 2-butyl-4-methyl-1,3-dioxolane&lt;br /&gt;&amp;diams; valeraldehyde propylene glycol acetal&lt;br /&gt;&amp;diams; InChI=1S/C8H16O2/c1-3-4-5-8-9-6-7(2)10-8/h7-8H,3-6H2,1-2H3&lt;br /&gt;&amp;diams; InChIKey: WTZJUXYVLRJTMQ-UHFFFAOYSA-N</t>
  </si>
  <si>
    <t xml:space="preserve"> 8057-49-6</t>
  </si>
  <si>
    <t xml:space="preserve"> VALERIAN ROOT, EXTRACT (VALERIANA OFFICINALIS L.)</t>
  </si>
  <si>
    <t xml:space="preserve"> &amp;diams; VALERIAN EXTRACT&lt;br /&gt;&amp;diams; VALERIAN ROOT EXTRACT&lt;br /&gt;&amp;diams; VALERIAN, EXT.&lt;br /&gt;&amp;diams; VALERIANA OFFICINALIS ROOT EXTRACT</t>
  </si>
  <si>
    <t xml:space="preserve"> 8008-88-6</t>
  </si>
  <si>
    <t xml:space="preserve"> VALERIAN ROOT, OIL (VALERIANA OFFICINALIS L.)</t>
  </si>
  <si>
    <t xml:space="preserve"> &amp;diams; VALERIAN OIL&lt;br /&gt;&amp;diams; VALERIAN ROOT OIL&lt;br /&gt;&amp;diams; VALERIAN RHIZOME AND ROOT OIL&lt;br /&gt;&amp;diams; OILS, VALERIAN&lt;br /&gt;&amp;diams; VALERIANA OFFICINALIS ROOT OIL</t>
  </si>
  <si>
    <t xml:space="preserve"> 109-52-4</t>
  </si>
  <si>
    <t xml:space="preserve"> VALERIC ACID</t>
  </si>
  <si>
    <t xml:space="preserve"> &amp;diams; VALERIC ACID&lt;br /&gt;&amp;diams; PENTANOIC ACID&lt;br /&gt;&amp;diams; VALERIANIC ACID&lt;br /&gt;&amp;diams; PROPYLACETIC ACID&lt;br /&gt;&amp;diams; 1-BUTANECARBOXYLIC ACID</t>
  </si>
  <si>
    <t xml:space="preserve"> 108-29-2</t>
  </si>
  <si>
    <t xml:space="preserve"> GAMMA-VALEROLACTONE</t>
  </si>
  <si>
    <t xml:space="preserve"> &amp;diams; GAMMA-VALEROLACTONE&lt;br /&gt;&amp;diams; DIHYDRO-5-METHYL-2(3H)-FURANONE&lt;br /&gt;&amp;diams; GAMMA-METHYL-GAMMA-BUTYROLACTONE&lt;br /&gt;&amp;diams; GAMMA-PENTALACTONE&lt;br /&gt;&amp;diams; PENTANOLIDE-1,4&lt;br /&gt;&amp;diams; VALEROLACTONE&lt;br /&gt;&amp;diams; GAMMA-VALERYLLACTONE&lt;br /&gt;&amp;diams; 4-HYDROXYPENTANOIC ACID GAMMA-LACTONE&lt;br /&gt;&amp;diams; 4-METHYL-4-HYDROXYBUTANOIC ACID LACTONE&lt;br /&gt;&amp;diams; 4-VALEROLACTONE&lt;br /&gt;&amp;diams; VALEROLACTONE, GAMMA-&lt;br /&gt;&amp;diams; 2(3H)-FURANONE, DIHYDRO-5-METHYL-&lt;br /&gt;&amp;diams; 4-HYDROXYVALERIC ACID GAMMA-LACTONE&lt;br /&gt;&amp;diams; 5-METHYLTETRAHYDRO-2-FURANONE</t>
  </si>
  <si>
    <t xml:space="preserve"> 72-18-4</t>
  </si>
  <si>
    <t xml:space="preserve"> L-VALINE</t>
  </si>
  <si>
    <t xml:space="preserve"> &amp;diams; VALINE, L-&lt;br /&gt;&amp;diams; L-VALINE&lt;br /&gt;&amp;diams; ALPHA-AMINO-BETA-METHYLBUTYRIC ACID, (S)-&lt;br /&gt;&amp;diams; 2-AMINO-3-METHYLBUTYRIC ACID, (S)-&lt;br /&gt;&amp;diams; 2-AMINO-3-METHYLBUTANOIC ACID, (S)-&lt;br /&gt;&amp;diams; VALINE, (S)-&lt;br /&gt;&amp;diams; ALPHA-AMINOISOVALERIC ACID, L-(+)-&lt;br /&gt;&amp;diams; ALPHA-AMINO-BETA-METHYLBUTYRIC ACID, L-</t>
  </si>
  <si>
    <t xml:space="preserve"> 977189-04-5</t>
  </si>
  <si>
    <t xml:space="preserve"> VANILLA, ABSOLUTE (VANILLA SPP.)</t>
  </si>
  <si>
    <t xml:space="preserve"> 8024-06-4</t>
  </si>
  <si>
    <t xml:space="preserve"> VANILLA, EXTRACT (VANILLA SPP.)</t>
  </si>
  <si>
    <t xml:space="preserve"> &amp;diams; VANILLA EXTRACT&lt;br /&gt;&amp;diams; OILS, VANILLA&lt;br /&gt;&amp;diams; VANILLA OIL</t>
  </si>
  <si>
    <t xml:space="preserve"> 135.110 ,  169.175 ,  169.176 ,  169.180</t>
  </si>
  <si>
    <t xml:space="preserve"> 8023-78-7</t>
  </si>
  <si>
    <t xml:space="preserve"> VANILLA, OLEORESIN (VANILLA SPP.)</t>
  </si>
  <si>
    <t xml:space="preserve"> &amp;diams; VANILLA OLEORESIN&lt;br /&gt;&amp;diams; RESINS, OLEO-, VANILLA</t>
  </si>
  <si>
    <t xml:space="preserve"> 169.175 ,  169.179</t>
  </si>
  <si>
    <t xml:space="preserve"> 977004-06-0</t>
  </si>
  <si>
    <t xml:space="preserve"> VANILLA (VANILLA SPP.)</t>
  </si>
  <si>
    <t xml:space="preserve"> &amp;diams; VANILLA&lt;br /&gt;&amp;diams; FRENCH VANILLA&lt;br /&gt;&amp;diams; VANILLA FRAGRANS&lt;br /&gt;&amp;diams; VANILLA PLANIFOLIA&lt;br /&gt;&amp;diams; VANILLE (VANILLA FRAGRANS OU PLANIFOLIA)&lt;br /&gt;&amp;diams; BOURBON VANILLA&lt;br /&gt;&amp;diams; MEXICAN VANILLA&lt;br /&gt;&amp;diams; MADAGASCAR VANILLA&lt;br /&gt;&amp;diams; VANILLA, BOURBON&lt;br /&gt;&amp;diams; VANILLA, MADAGASCAR&lt;br /&gt;&amp;diams; VANILLA, MEXICAN&lt;br /&gt;&amp;diams; VANILLA BEAN</t>
  </si>
  <si>
    <t xml:space="preserve"> 135.110 ,  169.175 ,  169.179 ,  169.3</t>
  </si>
  <si>
    <t xml:space="preserve"> 121-34-6</t>
  </si>
  <si>
    <t xml:space="preserve"> VANILLIC ACID</t>
  </si>
  <si>
    <t xml:space="preserve"> &amp;diams; VANILLIC ACID&lt;br /&gt;&amp;diams; 3-METHOXY-4-HYDROXYBENZOIC ACID&lt;br /&gt;&amp;diams; 4-HYDROXY-3-METHOXYBENZOIC ACID&lt;br /&gt;&amp;diams; BENZOIC ACID, 4-HYDROXY-3-METHOXY-&lt;br /&gt;&amp;diams; 4-HYDROXY-M-ANISIC ACID</t>
  </si>
  <si>
    <t xml:space="preserve"> 121-33-5</t>
  </si>
  <si>
    <t xml:space="preserve"> VANILLIN</t>
  </si>
  <si>
    <t xml:space="preserve"> &amp;diams; VANILLIN&lt;br /&gt;&amp;diams; 4-HYDROXY-3-METHOXYBENZALDEHYDE&lt;br /&gt;&amp;diams; VANILLIC ALDEHYDE&lt;br /&gt;&amp;diams; METHYLPROTOCATECHUIC ALDEHYDE&lt;br /&gt;&amp;diams; PROTOCATECHUALDEHYDE 3-METHYL ETHER&lt;br /&gt;&amp;diams; 3-METHOXY-4-HYDROXYBENZALDEHYDE&lt;br /&gt;&amp;diams; VANILLALDEHYDE&lt;br /&gt;&amp;diams; BENZALDEHYDE, 4-HYDROXY-3-METHOXY-&lt;br /&gt;&amp;diams; 2-METHOXY-4-FORMYLPHENOL</t>
  </si>
  <si>
    <t xml:space="preserve"> 135.110 ,  169.180 ,  169.181 ,  169.182</t>
  </si>
  <si>
    <t xml:space="preserve"> 881-68-5</t>
  </si>
  <si>
    <t xml:space="preserve"> VANILLIN ACETATE</t>
  </si>
  <si>
    <t xml:space="preserve"> &amp;diams; VANILLIN ACETATE&lt;br /&gt;&amp;diams; ACETYLVANILLIN&lt;br /&gt;&amp;diams; BENZALDEHYDE, 4-(ACETYLOXY)-3-METHOXY-&lt;br /&gt;&amp;diams; 4-(ACETYLOXY)-3-METHOXYBENZALDEHYDE&lt;br /&gt;&amp;diams; VANILLIN, ACETATE&lt;br /&gt;&amp;diams; 4-FORMYL-2-METHOXYPHENYL ACETATE&lt;br /&gt;&amp;diams; 4-O-ACETYLVANILLIN</t>
  </si>
  <si>
    <t xml:space="preserve"> 63253-24-7</t>
  </si>
  <si>
    <t xml:space="preserve"> VANILLIN 1,2-BUTYLENE GLYCOL ACETAL</t>
  </si>
  <si>
    <t xml:space="preserve"> &amp;diams; VANILLIN 1,2-BUTYLENE GLYCOL ACETAL&lt;br /&gt;&amp;diams; phenol, 4-(4,5-dimethyl-1,3-dioxolan-2-yl)-2-methoxy-&lt;br /&gt;&amp;diams; vanillin butan-2,3-diol acetal&lt;br /&gt;&amp;diams; 4-(4,5-dimethyl-1,3-dioxolan-2-yl)-2-methoxyphenol</t>
  </si>
  <si>
    <t xml:space="preserve"> 20665-85-4</t>
  </si>
  <si>
    <t xml:space="preserve"> VANILLIN ISOBUTYRATE</t>
  </si>
  <si>
    <t xml:space="preserve"> &amp;diams; VANILLIN ISOBUTYRATE&lt;br /&gt;&amp;diams; VANILLYL ISOBUTYRATE&lt;br /&gt;&amp;diams; 3-METHOXY-4-ISOBUTYRYLBENZALDEHYDE&lt;br /&gt;&amp;diams; 4-FORMYL-2-METHOXYPHENYL 2-METHYLPROPANOATE&lt;br /&gt;&amp;diams; 4-HYDROXY-M-ANISALDEHYDE ISOBUTYRATE&lt;br /&gt;&amp;diams; 4-HYDROXY-M-ANISALDEHYDE 2-METHYLPROPIONATE&lt;br /&gt;&amp;diams; 4-HYDROXY-3-METHOXYBENZALDEHYDE ISOBUTYRATE&lt;br /&gt;&amp;diams; 4-HYDROXY-3-METHOXYBENZALDEHYDE 2-METHYLPROPIONATE&lt;br /&gt;&amp;diams; PROPANOIC ACID, 2-METHYL-, 4-FORMYL-2-METHOXYPHENYL ESTER&lt;br /&gt;&amp;diams; ISOBUTYRIC ACID, ESTER WITH VANILLIN</t>
  </si>
  <si>
    <t xml:space="preserve"> 180964-47-0</t>
  </si>
  <si>
    <t xml:space="preserve"> VANILLIN 3-(L-MENTHOXY)PROPANE-1,2-DIOL ACETAL</t>
  </si>
  <si>
    <t xml:space="preserve"> &amp;diams; VANILLIN 3-(L-MENTHOXY)PROPYLENE GLYCOL ACETAL&lt;br /&gt;&amp;diams; PHENOL, 2-METHOXY-4-(4-(((5-METHYL-2-(1-METHYLETHYL)CYCLOHEXYL)OXY)METHYL)-1,3-DIOXOLAN-2-YL)-&lt;br /&gt;&amp;diams; VANILLIN 3-(L-MENTHOXY)PROPANE-1,2-DIOL ACETAL&lt;br /&gt;&amp;diams; 2-METHOXY-4-(4-(((5-METHYL-2-(1-METHYLETHYL)CYCLOHEXYL)OXY)METHYL)-1,3-DIOXOLAN-2-YL)PHENOL&lt;br /&gt;&amp;diams; 4-(1-MENTHOXYMETHYL)-2-PHENYL-1,3-DIOXOLANE&lt;br /&gt;&amp;diams; 4-(L-MENTHOXYMETHYL)-2-PHENYL-1,3-DIOXOLANE</t>
  </si>
  <si>
    <t xml:space="preserve"> 68527-74-2</t>
  </si>
  <si>
    <t xml:space="preserve"> VANILLIN PROPYLENE GLYCOL ACETAL</t>
  </si>
  <si>
    <t xml:space="preserve"> &amp;diams; VANILLIN PROPYLENE GLYCOL ACETAL&lt;br /&gt;&amp;diams; PHENOL, 2-METHOXY-4-(4-METHYL-1,3-DIOXOLAN-2-YL)-&lt;br /&gt;&amp;diams; VANILLIN PROPANE-1,2-DIOL ACETAL&lt;br /&gt;&amp;diams; 2-METHOXY-4-(4-METHYL-1,3-DIOXOLAN-2-YL)PHENOL</t>
  </si>
  <si>
    <t xml:space="preserve"> 498-00-0</t>
  </si>
  <si>
    <t xml:space="preserve"> VANILLYL ALCOHOL</t>
  </si>
  <si>
    <t xml:space="preserve"> &amp;diams; VANILLYL ALCOHOL&lt;br /&gt;&amp;diams; VANILLIC ALCOHOL&lt;br /&gt;&amp;diams; 4-HYDROXY-3-METHOXYBENZENEMETHANOL&lt;br /&gt;&amp;diams; 4-HYDROXY-3-METHOXYBENZYL ALCOHOL&lt;br /&gt;&amp;diams; 4-HYDROXY-3-METHOXYPHENYLMETHANOL&lt;br /&gt;&amp;diams; BENZENEMETHANOL, 4-HYDROXY-3-METHOXY-&lt;br /&gt;&amp;diams; VANILLIN ALCOHOL</t>
  </si>
  <si>
    <t xml:space="preserve"> 82654-98-6</t>
  </si>
  <si>
    <t xml:space="preserve"> VANILLYL BUTYL ETHER</t>
  </si>
  <si>
    <t xml:space="preserve"> &amp;diams; VANILLYL BUTYL ETHER&lt;br /&gt;&amp;diams; PHENOL, 4-(BUTOXYMETHYL)-2-METHOXY-&lt;br /&gt;&amp;diams; 4-(BUTOXYMETHYL)-2-METHOXYPHENOL&lt;br /&gt;&amp;diams; BUTYL VANILLYL ETHER</t>
  </si>
  <si>
    <t xml:space="preserve"> 13184-86-6</t>
  </si>
  <si>
    <t xml:space="preserve"> VANILLYL ETHYL ETHER</t>
  </si>
  <si>
    <t xml:space="preserve"> &amp;diams; VANILLYL ETHYL ETHER&lt;br /&gt;&amp;diams; ETHYL VANILLYL ETHER&lt;br /&gt;&amp;diams; PHENOL, 4-(ETHOXYMETHYL)-2-METHOXY-&lt;br /&gt;&amp;diams; 4-(ETHOXYMETHYL)-2-METHOXYPHENOL&lt;br /&gt;&amp;diams; P-CRESOL, ALPHA-ETHOXY-2-METHOXY-&lt;br /&gt;&amp;diams; ALPHA-ETHOXY-2-METHOXY-P-CRESOL&lt;br /&gt;&amp;diams; ETHYL 4-HYDROXY-3-METHOXYBENZYL ETHER</t>
  </si>
  <si>
    <t xml:space="preserve"> 1080-12-2</t>
  </si>
  <si>
    <t xml:space="preserve"> VANILLYLIDENE ACETONE</t>
  </si>
  <si>
    <t xml:space="preserve"> &amp;diams; VANILLYLIDENE ACETONE&lt;br /&gt;&amp;diams; DEHYDROZINGERONE&lt;br /&gt;&amp;diams; FERULOYLMETHANE&lt;br /&gt;&amp;diams; VANILLALACETONE&lt;br /&gt;&amp;diams; VANILLIDENE ACETONE&lt;br /&gt;&amp;diams; 3-BUTEN-2-ONE, 4-(4-HYDROXY-3-METHOXYPHENYL)-&lt;br /&gt;&amp;diams; 4-(4-HYDROXY-3-METHOXYPHENYL)-3-BUTEN-2-ONE&lt;br /&gt;&amp;diams; 4-HYDROXY-3-METHOXYSTYRYL METHYL KETONE&lt;br /&gt;&amp;diams; 4-(4-HYDROXY-3-METHOXYPHENYL)BUT-3-EN-2-ONE&lt;br /&gt;&amp;diams; 4-HYDROXY-3-METHOXYBENZYLIDENEACETONE</t>
  </si>
  <si>
    <t xml:space="preserve"> 977187-39-5</t>
  </si>
  <si>
    <t xml:space="preserve"> VEGETABLE GUM, OTHER THAN THOSE CFR LISTED</t>
  </si>
  <si>
    <t xml:space="preserve"> EMULSIFIER OR EMULSIFIER SALT,&lt;br /&gt; PROCESSING AID,&lt;br /&gt; STABILIZER OR THICKENER,&lt;br /&gt; SURFACE-FINISHING AGENT</t>
  </si>
  <si>
    <t xml:space="preserve"> 977010-58-4</t>
  </si>
  <si>
    <t xml:space="preserve"> VEGETABLE JUICE</t>
  </si>
  <si>
    <t xml:space="preserve"> &amp;diams; VEGETABLE JUICE&lt;br /&gt;&amp;diams; JUS DE LEGUMES&lt;br /&gt;&amp;diams; JUICE, VEGETABLE</t>
  </si>
  <si>
    <t xml:space="preserve"> 120-14-9</t>
  </si>
  <si>
    <t xml:space="preserve"> VERATRALDEHYDE</t>
  </si>
  <si>
    <t xml:space="preserve"> &amp;diams; VERATRALDEHYDE&lt;br /&gt;&amp;diams; 3,4-DIMETHOXYBENZALDEHYDE&lt;br /&gt;&amp;diams; 3,4-DIMETHOXYBENZENECARBONAL&lt;br /&gt;&amp;diams; PROTOCATECHUALDEHYDE DIMETHYL ETHER&lt;br /&gt;&amp;diams; BENZALDEHYDE, 3,4-DIMETHOXY-&lt;br /&gt;&amp;diams; METHYLVANILLIN&lt;br /&gt;&amp;diams; VANILLIN METHYL ETHER&lt;br /&gt;&amp;diams; VERATRIC ALDEHYDE&lt;br /&gt;&amp;diams; 4-O-METHYLVANILLIN&lt;br /&gt;&amp;diams; PROTOCATECHUIC ALDEHYDE DIMETHYL ETHER&lt;br /&gt;&amp;diams; VERATRAL&lt;br /&gt;&amp;diams; VERATRUM ALDEHYDE&lt;br /&gt;&amp;diams; VERATRYL ALDEHYDE</t>
  </si>
  <si>
    <t xml:space="preserve"> 473-67-6</t>
  </si>
  <si>
    <t xml:space="preserve"> VERBENOL</t>
  </si>
  <si>
    <t xml:space="preserve"> &amp;diams; VERBENOL&lt;br /&gt;&amp;diams; 2-PINEN-4-OL&lt;br /&gt;&amp;diams; 4-HYDROXY-2,6,6-TRIMETHYLBICYCLO(3.1.1)HEPT-2-ENE&lt;br /&gt;&amp;diams; BICYCLO(3.1.1)HEPT-3-EN-2-OL, 4,6,6-TRIMETHYL-&lt;br /&gt;&amp;diams; 4,6,6-TRIMETHYLBICYCLO(3.1.1)HEPT-3-EN-2-OL</t>
  </si>
  <si>
    <t xml:space="preserve"> 80-57-9</t>
  </si>
  <si>
    <t xml:space="preserve"> VERBENONE</t>
  </si>
  <si>
    <t xml:space="preserve"> &amp;diams; 2-PINEN-4-ONE&lt;br /&gt;&amp;diams; VERBENONE&lt;br /&gt;&amp;diams; BICYCLO(3.1.1)HEPT-3-EN-2-ONE, 4,6,6-TRIMETHYL-&lt;br /&gt;&amp;diams; 4,6,6-TRIMETHYLBICYCLO(3.1.1)HEPT-3-EN-2-ONE&lt;br /&gt;&amp;diams; InChI=1S/C10H14O/c1-6-4-9(11)8-5-7(6)10(8,2)3/h4,7-8H,5H2,1-3H3/t7-,8+/m1/s1&lt;br /&gt;&amp;diams; InChIKey: DCSCXTJOXBUFGB-SFYZADRCSA-N</t>
  </si>
  <si>
    <t xml:space="preserve"> 977000-83-1</t>
  </si>
  <si>
    <t xml:space="preserve"> VERONICA (VERONICA OFFICINALIS L.)</t>
  </si>
  <si>
    <t xml:space="preserve"> &amp;diams; SPEEDWELL&lt;br /&gt;&amp;diams; VERONICA OFFICINALIS&lt;br /&gt;&amp;diams; COMMON SPEEDWELL&lt;br /&gt;&amp;diams; GYPSYWEED&lt;br /&gt;&amp;diams; VERONICA</t>
  </si>
  <si>
    <t xml:space="preserve"> 977000-41-1</t>
  </si>
  <si>
    <t xml:space="preserve"> VERVAIN, EUROPEAN (VERBENA OFFICINALIS L.)</t>
  </si>
  <si>
    <t xml:space="preserve"> &amp;diams; VERVAIN, EUROPEAN&lt;br /&gt;&amp;diams; VERVAIN&lt;br /&gt;&amp;diams; VERBENA&lt;br /&gt;&amp;diams; VERBENA OFFICINALIS&lt;br /&gt;&amp;diams; COMMON VERVAIN&lt;br /&gt;&amp;diams; COMMON VERBENA&lt;br /&gt;&amp;diams; JUNO'S TEARS&lt;br /&gt;&amp;diams; EUROPEAN VERVAIN</t>
  </si>
  <si>
    <t xml:space="preserve"> 8016-96-4</t>
  </si>
  <si>
    <t xml:space="preserve"> VETIVER, OIL (VETIVERIA ZIZANIOIDES STAPF)</t>
  </si>
  <si>
    <t xml:space="preserve"> &amp;diams; VETIVER OIL&lt;br /&gt;&amp;diams; OILS, VETIVER</t>
  </si>
  <si>
    <t xml:space="preserve"> 68129-81-7</t>
  </si>
  <si>
    <t xml:space="preserve"> VETIVEROL</t>
  </si>
  <si>
    <t xml:space="preserve"> &amp;diams; VETIVEROL&lt;br /&gt;&amp;diams; VETIVENOL&lt;br /&gt;&amp;diams; VETIVOL&lt;br /&gt;&amp;diams; InChI=1S/C15H24O/c1-9(2)12-7-14-10(3)5-13(16)6-11(4)15(14)8-12/h5,11,13-16H,6-8H2,1-4H3&lt;br /&gt;&amp;diams; InChiKey=INIOTLARNNSXAE-UHFFFAOYSA-N</t>
  </si>
  <si>
    <t xml:space="preserve"> 977059-70-3</t>
  </si>
  <si>
    <t xml:space="preserve"> VETIVER (VETIVERIA ZIZANIODES STAPF)</t>
  </si>
  <si>
    <t xml:space="preserve"> &amp;diams; VETIVER&lt;br /&gt;&amp;diams; VETIVERIA ZIZANOIDES&lt;br /&gt;&amp;diams; KHUS-KHUS&lt;br /&gt;&amp;diams; KHUS-KHUS GRASS</t>
  </si>
  <si>
    <t xml:space="preserve"> 62563-80-8</t>
  </si>
  <si>
    <t xml:space="preserve"> VETIVERYL ACETATE</t>
  </si>
  <si>
    <t xml:space="preserve"> &amp;diams; VETIVERYL ACETATE&lt;br /&gt;&amp;diams; VETIVER ACETATE&lt;br /&gt;&amp;diams; VETIVERT ACETATE&lt;br /&gt;&amp;diams; VETIVEROL, ACETATE&lt;br /&gt;&amp;diams; InChI=1S/C17H26O2/c1-10(2)14-8-16-11(3)6-15(19-13(5)18)7-12(4)17(16)9-14/h6,12,15-17H,7-9H2,1-5H3&lt;br /&gt;&amp;diams; InChiKey=UAVFEMBKDRODDE-UHFFFAOYSA-N</t>
  </si>
  <si>
    <t xml:space="preserve"> 108-05-4</t>
  </si>
  <si>
    <t xml:space="preserve"> VINYL ACETATE</t>
  </si>
  <si>
    <t xml:space="preserve"> &amp;diams; VINYL ACETATE&lt;br /&gt;&amp;diams; ETHENYL ACETATE&lt;br /&gt;&amp;diams; ACETIC ACID ETHENYL ESTER&lt;br /&gt;&amp;diams; ACETIC ACID VINYL ESTER&lt;br /&gt;&amp;diams; 1-ACETOXYETHYLENE&lt;br /&gt;&amp;diams; ACETOXYETHENE</t>
  </si>
  <si>
    <t xml:space="preserve"> MASTICATORY SUBSTANCE,&lt;br /&gt; SOLVENT OR VEHICLE</t>
  </si>
  <si>
    <t xml:space="preserve"> 612-15-7</t>
  </si>
  <si>
    <t xml:space="preserve"> O-VINYLANISOLE--NLFG</t>
  </si>
  <si>
    <t xml:space="preserve"> &amp;diams; 2-VINYLANISOLE&lt;br /&gt;&amp;diams; 2-METHOXYSTYRENE&lt;br /&gt;&amp;diams; 1-METHOXY-2-VINYLBENZENE&lt;br /&gt;&amp;diams; BENZENE, 1-ETHENYL-2-METHOXY-&lt;br /&gt;&amp;diams; 1-ETHENYL-2-METHOXYBENZENE&lt;br /&gt;&amp;diams; ANISOLE, O-VINYL-&lt;br /&gt;&amp;diams; METHOXYSTYRENE, O-&lt;br /&gt;&amp;diams; VINYLANISOLE, O-</t>
  </si>
  <si>
    <t xml:space="preserve"> NLFG-3248</t>
  </si>
  <si>
    <t xml:space="preserve"> 4, 13</t>
  </si>
  <si>
    <t xml:space="preserve"> 9011-06-7</t>
  </si>
  <si>
    <t xml:space="preserve"> VINYL CHLORIDE-VINYLIDENE CHLORIDE COPOLYMER</t>
  </si>
  <si>
    <t xml:space="preserve"> &amp;diams; POLY(VINYL CHLORIDE-CO-VINYLIDENE CHLORIDE)&lt;br /&gt;&amp;diams; ETHENE, CHLORO-, POLYMER WITH 1,1-DICHLOROETHENE&lt;br /&gt;&amp;diams; ETHYLENE, 1,1-DICHLORO-, POLYMER WITH CHLOROETHYLENE&lt;br /&gt;&amp;diams; POLY(1,1-DICHLOROETHENE-CO-MONOCHLOROETHYLENE)&lt;br /&gt;&amp;diams; POLY(CHLOROETHENE-CO-1,1-DICHLOROETHENE)&lt;br /&gt;&amp;diams; POLY(CHLOROETHYLENE-CO-1,1-DICHLOROETHYLENE)&lt;br /&gt;&amp;diams; VINYL CHLORIDE-VINYLIDENE CHLORIDE COPOLYMER</t>
  </si>
  <si>
    <t xml:space="preserve"> 2628-17-3</t>
  </si>
  <si>
    <t xml:space="preserve"> P-VINYLPHENOL</t>
  </si>
  <si>
    <t xml:space="preserve"> &amp;diams; 4-VINYLPHENOL&lt;br /&gt;&amp;diams; VINYLPHENOL, P-&lt;br /&gt;&amp;diams; 4-ETHENYLPHENOL&lt;br /&gt;&amp;diams; 4-HYDROXYSTYRENE&lt;br /&gt;&amp;diams; PHENOL, 4-ETHENYL-&lt;br /&gt;&amp;diams; PHENOL, P-VINYL-&lt;br /&gt;&amp;diams; HYDROXYSTYRENE, P-</t>
  </si>
  <si>
    <t xml:space="preserve"> 8024-08-6</t>
  </si>
  <si>
    <t xml:space="preserve"> VIOLET LEAVES ABSOLUTE (VIOLA ODORATA L.)</t>
  </si>
  <si>
    <t xml:space="preserve"> &amp;diams; VIOLET LEAF OIL&lt;br /&gt;&amp;diams; VIOLET LEAF ABSOLUTE&lt;br /&gt;&amp;diams; OILS, VIOLET&lt;br /&gt;&amp;diams; VIOLA ODORATA LEAF ABSOLUTE</t>
  </si>
  <si>
    <t xml:space="preserve"> 977089-10-3</t>
  </si>
  <si>
    <t xml:space="preserve"> VIOLET, SWISS (VIOLA CALCARATA L.)</t>
  </si>
  <si>
    <t xml:space="preserve"> &amp;diams; VIOLET, SWISS&lt;br /&gt;&amp;diams; VIOLA CALCARATA</t>
  </si>
  <si>
    <t xml:space="preserve"> 68-26-8</t>
  </si>
  <si>
    <t xml:space="preserve"> VITAMIN A</t>
  </si>
  <si>
    <t xml:space="preserve"> &amp;diams; VITAMIN A&lt;br /&gt;&amp;diams; OLEOVITAMIN A&lt;br /&gt;&amp;diams; RETINOL, ALL-TRANS-&lt;br /&gt;&amp;diams; VITAMIN A ALCOHOL&lt;br /&gt;&amp;diams; RETINOL, BETA-&lt;br /&gt;&amp;diams; 3,7-DIMETHYL-9-(2,6,6-TRIMETHYL-1-CYCLOHEXEN-1-YL)-2,4,6,8-NONATETRAEN-1-OL, (ALL-E)-&lt;br /&gt;&amp;diams; VITAMIN A1</t>
  </si>
  <si>
    <t xml:space="preserve"> 101.14 ,  101.9 ,  107.100 ,  131.110 ,  131.111 ,  131.112 ,  131.123 ,  131.127 ,  131.135 ,  131.143 ,  131.147 ,  131.200 ,  131.203 ,  131.206 ,  133.102 ,  133.106 ,  133.111 ,  133.141 ,  133.165 ,  133.181 ,  133.183 ,  133.195 ,  135.130 ,  166.110</t>
  </si>
  <si>
    <t xml:space="preserve"> 127-47-9</t>
  </si>
  <si>
    <t xml:space="preserve"> VITAMIN A ACETATE</t>
  </si>
  <si>
    <t xml:space="preserve"> &amp;diams; VITAMIN A ACETATE&lt;br /&gt;&amp;diams; RETINYL ACETATE, BETA-&lt;br /&gt;&amp;diams; VITAMIN A ACETATE, TRANS-&lt;br /&gt;&amp;diams; RETINOL, ACETATE&lt;br /&gt;&amp;diams; RETINOL, ACETATE, ALL-TRANS-&lt;br /&gt;&amp;diams; RETINYL ACETATE, ALL-TRANS-&lt;br /&gt;&amp;diams; BETA-RETINYL ACETATE</t>
  </si>
  <si>
    <t xml:space="preserve"> 68-19-9</t>
  </si>
  <si>
    <t xml:space="preserve"> VITAMIN B-12</t>
  </si>
  <si>
    <t xml:space="preserve"> &amp;diams; CYANOCOBALAMIN&lt;br /&gt;&amp;diams; VITAMIN B12&lt;br /&gt;&amp;diams; 5,6-DIMETHYLBENZIMIDAZOLYL CYANOCOBAMIDE</t>
  </si>
  <si>
    <t xml:space="preserve"> 977154-08-7</t>
  </si>
  <si>
    <t xml:space="preserve"> VITAMIN B COMPLEX AND SYRUP</t>
  </si>
  <si>
    <t xml:space="preserve"> &amp;diams; VITAMIN B COMPLEX AND SYRUP</t>
  </si>
  <si>
    <t xml:space="preserve"> 1406-16-2</t>
  </si>
  <si>
    <t xml:space="preserve"> VITAMIN D</t>
  </si>
  <si>
    <t xml:space="preserve"> &amp;diams; VITAMIN D</t>
  </si>
  <si>
    <t xml:space="preserve"> 101.9 ,  107.10 ,  107.100 ,  131.110 ,  131.111 ,  131.112 ,  131.115 ,  131.123 ,  131.127 ,  131.135 ,  131.143 ,  131.147 ,  131.200 ,  131.203 ,  131.206 ,  137.260 ,  137.305 ,  137.350 ,  139.115 ,  139.155 ,  166.110</t>
  </si>
  <si>
    <t xml:space="preserve"> 50-14-6</t>
  </si>
  <si>
    <t xml:space="preserve"> VITAMIN D-2</t>
  </si>
  <si>
    <t xml:space="preserve"> &amp;diams; ERGOCALCIFEROL&lt;br /&gt;&amp;diams; ERGOSTEROL, IRRADIATED&lt;br /&gt;&amp;diams; OLEOVITAMIN D&lt;br /&gt;&amp;diams; VIOSTEROL&lt;br /&gt;&amp;diams; VITAMIN D2&lt;br /&gt;&amp;diams; CALCIFEROL&lt;br /&gt;&amp;diams; 9,10-SECO(5Z,7E,22E)-5,7,10(19),22-ERGOSTATETRAEN-3-OL&lt;br /&gt;&amp;diams; 9,10-SECOERGOSTA-5,7,10(19),22-TETRAEN-3-OL, (3BETA,5Z,7E,22E)-&lt;br /&gt;&amp;diams; ERGOSTEROL, ACTIVATED</t>
  </si>
  <si>
    <t xml:space="preserve"> 67-97-0</t>
  </si>
  <si>
    <t xml:space="preserve"> VITAMIN D-3</t>
  </si>
  <si>
    <t xml:space="preserve"> &amp;diams; CHOLECALCIFEROL&lt;br /&gt;&amp;diams; VITAMIN D3&lt;br /&gt;&amp;diams; 9,10-SECO(5Z,7E)-5,7,10(19)-CHOLESTATRIEN-3-OL&lt;br /&gt;&amp;diams; 9,10-SECOCHOLESTA-5,7,10(19)-TRIEN-3-OL, (3BETA,5Z,7E)-&lt;br /&gt;&amp;diams; 7-DEHYDROCHOLESTEROL, IRRADIATED&lt;br /&gt;&amp;diams; IRRADIATED 7-DEHYDROCHOLESTEROL&lt;br /&gt;&amp;diams; 9,10-secocholesta-5,7,10(19)-trien-3beta-ol&lt;br /&gt;&amp;diams; oleovitamin D3</t>
  </si>
  <si>
    <t xml:space="preserve"> 12001-79-5</t>
  </si>
  <si>
    <t xml:space="preserve"> VITAMIN K</t>
  </si>
  <si>
    <t xml:space="preserve"> &amp;diams; VITAMIN K</t>
  </si>
  <si>
    <t xml:space="preserve"> 79-81-2</t>
  </si>
  <si>
    <t xml:space="preserve"> VITAMIN A PALMITATE</t>
  </si>
  <si>
    <t xml:space="preserve"> &amp;diams; VITAMIN A PALMITATE&lt;br /&gt;&amp;diams; RETINOL, HEXADECANOATE&lt;br /&gt;&amp;diams; RETINOL, PALMITATE, ALL-TRANS-&lt;br /&gt;&amp;diams; RETINOL PALMITATE&lt;br /&gt;&amp;diams; RETINYL HEXADECANOATE</t>
  </si>
  <si>
    <t xml:space="preserve"> 977014-38-2</t>
  </si>
  <si>
    <t xml:space="preserve"> WALNUT HULL, EXTRACT (JUGLANS SPP.)</t>
  </si>
  <si>
    <t xml:space="preserve"> &amp;diams; WALNUT EXTRACT&lt;br /&gt;&amp;diams; WALNUT HULL EXTRACT</t>
  </si>
  <si>
    <t xml:space="preserve"> 977091-98-7</t>
  </si>
  <si>
    <t xml:space="preserve"> WALNUT LEAVES, EXTRACT (JUGLANS SPP.)</t>
  </si>
  <si>
    <t xml:space="preserve"> &amp;diams; WALNUT LEAF EXTRACT</t>
  </si>
  <si>
    <t xml:space="preserve"> 8002-80-0</t>
  </si>
  <si>
    <t xml:space="preserve"> WHEAT GLUTEN</t>
  </si>
  <si>
    <t xml:space="preserve"> &amp;diams; WHEAT GLUTEN&lt;br /&gt;&amp;diams; GLUTEN, WHEAT&lt;br /&gt;&amp;diams; WHEAT GLUTEN, VITAL&lt;br /&gt;&amp;diams; GLUTENS&lt;br /&gt;&amp;diams; VITAL WHEAT GLUTEN</t>
  </si>
  <si>
    <t xml:space="preserve"> FIRMING AGENT,&lt;br /&gt; FLAVOR ENHANCER,&lt;br /&gt; FLAVORING AGENT OR ADJUVANT,&lt;br /&gt; SOLVENT OR VEHICLE,&lt;br /&gt; STABILIZER OR THICKENER,&lt;br /&gt; TEXTURIZER</t>
  </si>
  <si>
    <t xml:space="preserve"> 977052-26-8</t>
  </si>
  <si>
    <t xml:space="preserve"> WHEAT STARCH</t>
  </si>
  <si>
    <t xml:space="preserve"> &amp;diams; STARCH, WHEAT</t>
  </si>
  <si>
    <t xml:space="preserve"> FLAVOR ENHANCER,&lt;br /&gt; FLAVORING AGENT OR ADJUVANT,&lt;br /&gt; FORMULATION AID,&lt;br /&gt; SOLVENT OR VEHICLE,&lt;br /&gt; STABILIZER OR THICKENER,&lt;br /&gt; TEXTURIZER</t>
  </si>
  <si>
    <t xml:space="preserve"> 92129-90-3</t>
  </si>
  <si>
    <t xml:space="preserve"> WHEY</t>
  </si>
  <si>
    <t xml:space="preserve"> &amp;diams; WHEY&lt;br /&gt;&amp;diams; MILK SERUM&lt;br /&gt;&amp;diams; CHEESE WHEY&lt;br /&gt;&amp;diams; WHEY, CHEESE&lt;br /&gt;&amp;diams; LACTOSERUM</t>
  </si>
  <si>
    <t xml:space="preserve"> COLOR OR COLORING ADJUNCT,&lt;br /&gt; FLAVOR ENHANCER,&lt;br /&gt; FORMULATION AID,&lt;br /&gt; MALTING OR FERMENTING AID,&lt;br /&gt; NUTRIENT SUPPLEMENT,&lt;br /&gt; PROCESSING AID,&lt;br /&gt; SOLVENT OR VEHICLE,&lt;br /&gt; STABILIZER OR THICKENER,&lt;br /&gt; SURFACE-FINISHING AGENT,&lt;br /&gt; TEXTURIZER</t>
  </si>
  <si>
    <t xml:space="preserve"> 101.4 ,  131.111 ,  131.112 ,  131.130 ,  131.170 ,  131.200 ,  131.203 ,  131.206 ,  133.111 ,  133.133 ,  133.147 ,  135.110 ,  135.140 ,  163.124 ,  166.110</t>
  </si>
  <si>
    <t xml:space="preserve"> 92129-93-6</t>
  </si>
  <si>
    <t xml:space="preserve"> WHEY, DELACTOSED</t>
  </si>
  <si>
    <t xml:space="preserve"> &amp;diams; WHEY, REDUCED LACTOSE&lt;br /&gt;&amp;diams; REDUCED LACTOSE WHEY&lt;br /&gt;&amp;diams; WHEY, DELACTOSED&lt;br /&gt;&amp;diams; WHEY, LACTOSE-LOW&lt;br /&gt;&amp;diams; WHEY, LACTOSE REDUCED</t>
  </si>
  <si>
    <t xml:space="preserve"> 135.110 ,  135.140 ,  166.110</t>
  </si>
  <si>
    <t xml:space="preserve"> 977085-88-3</t>
  </si>
  <si>
    <t xml:space="preserve"> WHEY, DEMINERALIZED</t>
  </si>
  <si>
    <t xml:space="preserve"> &amp;diams; WHEY, REDUCED MINERALS&lt;br /&gt;&amp;diams; DEMINERALIZED WHEY&lt;br /&gt;&amp;diams; REDUCED MINERALS WHEY&lt;br /&gt;&amp;diams; WHEY, DEMINERALIZED&lt;br /&gt;&amp;diams; WHEY, ELECTRODIALYZED</t>
  </si>
  <si>
    <t xml:space="preserve"> 135.110 ,  135.140 ,  163.124 ,  166.110</t>
  </si>
  <si>
    <t xml:space="preserve"> 977086-36-4</t>
  </si>
  <si>
    <t xml:space="preserve"> WHEY, PARTIALLY DIMINERALIZED AND PARTIALLY DELACTOSED</t>
  </si>
  <si>
    <t xml:space="preserve"> &amp;diams; WHEY, REDUCED MINERALS, REDUCED LACTOSE&lt;br /&gt;&amp;diams; DEMINERALIZED, DELACTOSED WHEY&lt;br /&gt;&amp;diams; REDUCED MINERALS, REDUCED LACTOSE WHEY&lt;br /&gt;&amp;diams; WHEY, DEMINERALIZED, DELACTOSED&lt;br /&gt;&amp;diams; WHEY, PARTIALLY DEMINERALIZED AND PARTIALLY DELACTOSED</t>
  </si>
  <si>
    <t xml:space="preserve"> 131.111 ,  131.112 ,  131.170 ,  131.200 ,  131.203 ,  131.206 ,  163.124 ,  166.110</t>
  </si>
  <si>
    <t xml:space="preserve"> 977102-05-8</t>
  </si>
  <si>
    <t xml:space="preserve"> WHEY PROTEIN CONCENTRATE</t>
  </si>
  <si>
    <t xml:space="preserve"> &amp;diams; WHEY PROTEIN CONCENTRATE</t>
  </si>
  <si>
    <t xml:space="preserve"> FLAVOR ENHANCER,&lt;br /&gt; FLAVORING AGENT OR ADJUVANT,&lt;br /&gt; NUTRIENT SUPPLEMENT,&lt;br /&gt; SOLVENT OR VEHICLE,&lt;br /&gt; STABILIZER OR THICKENER,&lt;br /&gt; TEXTURIZER</t>
  </si>
  <si>
    <t xml:space="preserve"> 135.110 ,  135.140 ,  163.124</t>
  </si>
  <si>
    <t xml:space="preserve"> 90045-28-6</t>
  </si>
  <si>
    <t xml:space="preserve"> WINTERGREEN, EXTRACT (GAULTHERIA PROCUMBENS L.)</t>
  </si>
  <si>
    <t xml:space="preserve"> &amp;diams; WINTERGREEN EXTRACT&lt;br /&gt;&amp;diams; GAULTHERIA EXTRACT&lt;br /&gt;&amp;diams; CHECKERBERRY EXTRACT&lt;br /&gt;&amp;diams; GAULTHERIA PROCUMBENS EXTRACT&lt;br /&gt;&amp;diams; GAULTHERIA PROCUMBENS, EXT.</t>
  </si>
  <si>
    <t xml:space="preserve"> 68917-75-9</t>
  </si>
  <si>
    <t xml:space="preserve"> WINTERGREEN, OIL (GAULTHERIA PROCUMBENS L.)</t>
  </si>
  <si>
    <t xml:space="preserve"> &amp;diams; WINTERGREEN OIL&lt;br /&gt;&amp;diams; BETULA OIL&lt;br /&gt;&amp;diams; CHECKERBERRY OIL&lt;br /&gt;&amp;diams; GAULTHERIA OIL&lt;br /&gt;&amp;diams; GAULTHERIA PROCUMBENS OIL&lt;br /&gt;&amp;diams; OILS, WINTERGREEN</t>
  </si>
  <si>
    <t xml:space="preserve"> 977070-09-9</t>
  </si>
  <si>
    <t xml:space="preserve"> WOODRUFF, SWEET (ASPERULA ODORATA L.)</t>
  </si>
  <si>
    <t xml:space="preserve"> &amp;diams; SWEET WOODRUFF&lt;br /&gt;&amp;diams; GALIUM ODORATUM&lt;br /&gt;&amp;diams; WALDMEISTER LEAF&lt;br /&gt;&amp;diams; ASPERULA ODORATA&lt;br /&gt;&amp;diams; ASPERULE&lt;br /&gt;&amp;diams; ASPERULA&lt;br /&gt;&amp;diams; QUINSYWORT&lt;br /&gt;&amp;diams; WOODRUFF, SWEET</t>
  </si>
  <si>
    <t xml:space="preserve"> 977042-62-8</t>
  </si>
  <si>
    <t xml:space="preserve"> WORT</t>
  </si>
  <si>
    <t xml:space="preserve"> &amp;diams; WORT</t>
  </si>
  <si>
    <t xml:space="preserve"> 11138-66-2</t>
  </si>
  <si>
    <t xml:space="preserve"> XANTHAN GUM</t>
  </si>
  <si>
    <t xml:space="preserve"> &amp;diams; XANTHAN GUM</t>
  </si>
  <si>
    <t xml:space="preserve"> ANTICAKING AGENT OR FREE-FLOW AGENT,&lt;br /&gt; COLOR OR COLORING ADJUNCT,&lt;br /&gt; DRYING AGENT,&lt;br /&gt; EMULSIFIER OR EMULSIFIER SALT,&lt;br /&gt; FORMULATION AID,&lt;br /&gt; PROCESSING AID,&lt;br /&gt; SOLVENT OR VEHICLE,&lt;br /&gt; STABILIZER OR THICKENER,&lt;br /&gt; SURFACE-FINISHING AGENT,&lt;br /&gt; TEXTURIZER</t>
  </si>
  <si>
    <t xml:space="preserve"> 127-40-2</t>
  </si>
  <si>
    <t xml:space="preserve"> XANTHOPHYLL</t>
  </si>
  <si>
    <t xml:space="preserve"> &amp;diams; XANTHOPHYLL&lt;br /&gt;&amp;diams; LUTEIN&lt;br /&gt;&amp;diams; VEGETABLE LUTEOL&lt;br /&gt;&amp;diams; BETA,EPSILON-CAROTENE-3,3'-DIOL, (3R,3'R,6'R)-&lt;br /&gt;&amp;diams; XANTHOPHYLL, ALL-TRANS-(+)-</t>
  </si>
  <si>
    <t xml:space="preserve"> 95-87-4</t>
  </si>
  <si>
    <t xml:space="preserve"> 2,5-XYLENOL</t>
  </si>
  <si>
    <t xml:space="preserve"> &amp;diams; 2,5-XYLENOL&lt;br /&gt;&amp;diams; XYLENOL, P-&lt;br /&gt;&amp;diams; 2,5-DIMETHYLPHENOL&lt;br /&gt;&amp;diams; 3,6-DIMETHYLPHENOL&lt;br /&gt;&amp;diams; 1-HYDROXY-2,5-DIMETHYLBENZENE&lt;br /&gt;&amp;diams; PHENOL, 2,5-DIMETHYL-&lt;br /&gt;&amp;diams; 1,2,5-XYLENOL</t>
  </si>
  <si>
    <t xml:space="preserve"> 576-26-1</t>
  </si>
  <si>
    <t xml:space="preserve"> 2,6-XYLENOL</t>
  </si>
  <si>
    <t xml:space="preserve"> &amp;diams; 2,6-XYLENOL&lt;br /&gt;&amp;diams; 2-HYDROXY-1,3-DIMETHYLBENZENE&lt;br /&gt;&amp;diams; 2,6-DIMETHYLPHENOL&lt;br /&gt;&amp;diams; PHENOL, 2,6-DIMETHYL-&lt;br /&gt;&amp;diams; 1-HYDROXY-2,6-DIMETHYLBENZENE</t>
  </si>
  <si>
    <t xml:space="preserve"> 95-65-8</t>
  </si>
  <si>
    <t xml:space="preserve"> 3,4-XYLENOL</t>
  </si>
  <si>
    <t xml:space="preserve"> &amp;diams; 3,4-XYLENOL&lt;br /&gt;&amp;diams; 3,4-DIMETHYLPHENOL&lt;br /&gt;&amp;diams; 1-HYDROXY-3,4-DIMETHYLBENZENE&lt;br /&gt;&amp;diams; PHENOL, 3,4-DIMETHYL-&lt;br /&gt;&amp;diams; 1,3,4-XYLENOL</t>
  </si>
  <si>
    <t xml:space="preserve"> 87-99-0</t>
  </si>
  <si>
    <t xml:space="preserve"> XYLITOL</t>
  </si>
  <si>
    <t xml:space="preserve"> &amp;diams; XYLITOL</t>
  </si>
  <si>
    <t xml:space="preserve"> HUMECTANT,&lt;br /&gt; NUTRITIVE SWEETENER</t>
  </si>
  <si>
    <t xml:space="preserve"> 101.80 ,  101.9</t>
  </si>
  <si>
    <t xml:space="preserve"> 58-86-6</t>
  </si>
  <si>
    <t xml:space="preserve"> D-XYLOSE</t>
  </si>
  <si>
    <t xml:space="preserve"> &amp;diams; XYLOSE, D-&lt;br /&gt;&amp;diams; WOOD SUGAR&lt;br /&gt;&amp;diams; XYLOSE, (+)-&lt;br /&gt;&amp;diams; D-XYLOSE&lt;br /&gt;&amp;diams; 2,3,4,5-TETRAHYDROXYPENTANAL&lt;br /&gt;&amp;diams; XYLOSE, D-(+)-</t>
  </si>
  <si>
    <t xml:space="preserve"> FLAVORING AGENT OR ADJUVANT,&lt;br /&gt; NUTRITIVE SWEETENER</t>
  </si>
  <si>
    <t xml:space="preserve"> 977000-16-0</t>
  </si>
  <si>
    <t xml:space="preserve"> YARROW, HERB (ACHILLEA MILLEFOLIUM L.)</t>
  </si>
  <si>
    <t xml:space="preserve"> &amp;diams; YARROW&lt;br /&gt;&amp;diams; ACHILLEA MILLEFOLIUM&lt;br /&gt;&amp;diams; ACHILLEA&lt;br /&gt;&amp;diams; YARROW HERB&lt;br /&gt;&amp;diams; ACHILLEE&lt;br /&gt;&amp;diams; HERBE AUX CHARPENTIERS&lt;br /&gt;&amp;diams; MILLEFEUILLE&lt;br /&gt;&amp;diams; GARBE&lt;br /&gt;&amp;diams; GEMEINE SCHAFGARBE&lt;br /&gt;&amp;diams; MILLEFOGLIO&lt;br /&gt;&amp;diams; CIENTOENRAMA&lt;br /&gt;&amp;diams; MILENRAMA&lt;br /&gt;&amp;diams; MILHOJAS</t>
  </si>
  <si>
    <t xml:space="preserve"> 8022-07-9</t>
  </si>
  <si>
    <t xml:space="preserve"> YARROW, OIL (ACHILLEA MILLEFOLIUM L.)</t>
  </si>
  <si>
    <t xml:space="preserve"> &amp;diams; YARROW OIL&lt;br /&gt;&amp;diams; OILS, YARROW&lt;br /&gt;&amp;diams; ACHILLEA MILLEFOLIUM OIL</t>
  </si>
  <si>
    <t xml:space="preserve"> 977046-75-5</t>
  </si>
  <si>
    <t xml:space="preserve"> YEAST AUTOLYSATE</t>
  </si>
  <si>
    <t xml:space="preserve"> &amp;diams; YEAST AUTOLYSATE&lt;br /&gt;&amp;diams; YEAST, AUTOLYZED</t>
  </si>
  <si>
    <t xml:space="preserve"> ANTICAKING AGENT OR FREE-FLOW AGENT,&lt;br /&gt; DRYING AGENT,&lt;br /&gt; FLAVOR ENHANCER,&lt;br /&gt; FLAVORING AGENT OR ADJUVANT,&lt;br /&gt; HUMECTANT,&lt;br /&gt; LEAVENING AGENT,&lt;br /&gt; MALTING OR FERMENTING AID,&lt;br /&gt; NUTRIENT SUPPLEMENT</t>
  </si>
  <si>
    <t xml:space="preserve"> 977052-70-2</t>
  </si>
  <si>
    <t xml:space="preserve"> YEAST, DRIED IRRADIATED</t>
  </si>
  <si>
    <t xml:space="preserve"> &amp;diams; YEAST, IRRADIATED DRIED&lt;br /&gt;&amp;diams; DRIED IRRADIATED YEAST&lt;br /&gt;&amp;diams; IRRADIATED DRIED YEAST&lt;br /&gt;&amp;diams; IRRADIATED YEAST&lt;br /&gt;&amp;diams; YEAST, IRRADIATED&lt;br /&gt;&amp;diams; YEAST, DRIED IRRADIATED</t>
  </si>
  <si>
    <t xml:space="preserve"> 977082-78-2</t>
  </si>
  <si>
    <t xml:space="preserve"> YEAST EXTRACT AUTOLYZED</t>
  </si>
  <si>
    <t xml:space="preserve"> &amp;diams; YEAST EXTRACT, AUTOLYZED&lt;br /&gt;&amp;diams; AUTOLYZED YEAST EXTRACT&lt;br /&gt;&amp;diams; EXTRACT, YEAST, AUTOLYZED&lt;br /&gt;&amp;diams; YEAST AUTOLYSATE EXTRACT</t>
  </si>
  <si>
    <t xml:space="preserve"> 977011-55-4</t>
  </si>
  <si>
    <t xml:space="preserve"> YEAST-MALT SPROUT EXTRACT</t>
  </si>
  <si>
    <t xml:space="preserve"> &amp;diams; YEAST-MALT SPROUT EXTRACT</t>
  </si>
  <si>
    <t xml:space="preserve"> 977030-39-9</t>
  </si>
  <si>
    <t xml:space="preserve"> YEASTS</t>
  </si>
  <si>
    <t xml:space="preserve"> &amp;diams; YEAST&lt;br /&gt;&amp;diams; LEVURE</t>
  </si>
  <si>
    <t xml:space="preserve"> 136.110 ,  160.105 ,  160.145 ,  160.185</t>
  </si>
  <si>
    <t xml:space="preserve"> 977009-36-1</t>
  </si>
  <si>
    <t xml:space="preserve"> YEASTS, DRIED</t>
  </si>
  <si>
    <t xml:space="preserve"> &amp;diams; YEAST, DRIED&lt;br /&gt;&amp;diams; DRIED YEAST&lt;br /&gt;&amp;diams; YEAST, ACTIVE DRY</t>
  </si>
  <si>
    <t xml:space="preserve"> FLAVOR ENHANCER,&lt;br /&gt; FLAVORING AGENT OR ADJUVANT,&lt;br /&gt; LEAVENING AGENT,&lt;br /&gt; MALTING OR FERMENTING AID,&lt;br /&gt; NUTRIENT SUPPLEMENT,&lt;br /&gt; SOLVENT OR VEHICLE</t>
  </si>
  <si>
    <t xml:space="preserve"> 137.260 ,  139.115 ,  139.122 ,  139.155</t>
  </si>
  <si>
    <t xml:space="preserve"> 14434-22-1</t>
  </si>
  <si>
    <t xml:space="preserve"> YELLOW PRUSSIATE OF SODA</t>
  </si>
  <si>
    <t xml:space="preserve"> &amp;diams; SODIUM FERROCYANIDE DECAHYDRATE&lt;br /&gt;&amp;diams; FERRATE(4-), HEXAKIS(CYANO-C)-, TETRASODIUM, DECAHYDRATE, (OC-6-11)-&lt;br /&gt;&amp;diams; FERRATE(4-), HEXACYANO-, TETRASODIUM, DECAHYDRATE&lt;br /&gt;&amp;diams; TETRASODIUM HEXAKIS(CYANO-C)FERRATE(4-) DECAHYDRATE, (OC-6-11)-&lt;br /&gt;&amp;diams; TETRASODIUM HEXACYANOFERRATE(4-) DECAHYDRATE&lt;br /&gt;&amp;diams; YELLOW PRUSSIATE OF SODA</t>
  </si>
  <si>
    <t xml:space="preserve"> 977092-73-1</t>
  </si>
  <si>
    <t xml:space="preserve"> YERBA SANTA, FLUID EXTRACT (ERIODICTYON CALIFORNICUM (HOOK AND ARN) TORR)</t>
  </si>
  <si>
    <t xml:space="preserve"> &amp;diams; YERBA SANTA FLUIDEXTRACT&lt;br /&gt;&amp;diams; ERIODICTYON FLUIDEXTRACT&lt;br /&gt;&amp;diams; ERIODICTYON CALIFORNICUM FLUIDEXTRACT</t>
  </si>
  <si>
    <t xml:space="preserve"> 8006-81-3</t>
  </si>
  <si>
    <t xml:space="preserve"> YLANG-YLANG, OIL (CANANGA ODORATA HOOK. F. AND THOMAS)</t>
  </si>
  <si>
    <t xml:space="preserve"> &amp;diams; YLANG-YLANG OIL&lt;br /&gt;&amp;diams; CANANGIUM ODORATUM GENUINA OIL&lt;br /&gt;&amp;diams; OILS, YLANG-YLANG</t>
  </si>
  <si>
    <t xml:space="preserve"> 977083-21-8</t>
  </si>
  <si>
    <t xml:space="preserve"> YUCCA, JOSHUA-TREE (YUCCA BREVIFOLIA ENGELM.)</t>
  </si>
  <si>
    <t xml:space="preserve"> &amp;diams; JOSHUA TREE&lt;br /&gt;&amp;diams; YUCCA BREVIFOLIA&lt;br /&gt;&amp;diams; YUCCA, JOSHUA-TREE</t>
  </si>
  <si>
    <t xml:space="preserve"> FLAVORING AGENT OR ADJUVANT,&lt;br /&gt; PROPELLANT</t>
  </si>
  <si>
    <t xml:space="preserve"> 977083-20-7</t>
  </si>
  <si>
    <t xml:space="preserve"> YUCCA, MOHAVE, EXTRACT (YUCCA SPP.)</t>
  </si>
  <si>
    <t xml:space="preserve"> &amp;diams; MOJAVE YUCCA EXTRACT&lt;br /&gt;&amp;diams; YUCCA EXTRACT, MOHAVE&lt;br /&gt;&amp;diams; YUCCA SCHIDIGERA EXTRACT</t>
  </si>
  <si>
    <t xml:space="preserve"> 1123751-39-2</t>
  </si>
  <si>
    <t xml:space="preserve"> YUZUNONE</t>
  </si>
  <si>
    <t xml:space="preserve"> &amp;diams; YUZUNONE&lt;br /&gt;&amp;diams; 6,8,10-undecatrien-3-one, (6Z,8E)-</t>
  </si>
  <si>
    <t xml:space="preserve"> 84961-49-9</t>
  </si>
  <si>
    <t xml:space="preserve"> ZEDOARY BARK, EXTRACT (CURCUMA ZEDOARIA (BERG.) ROSC.)</t>
  </si>
  <si>
    <t xml:space="preserve"> &amp;diams; ZEDOARY EXTRACT&lt;br /&gt;&amp;diams; ZEDOARY BARK EXTRACT&lt;br /&gt;&amp;diams; CURCUMA ZEDOARIA, EXT.&lt;br /&gt;&amp;diams; CURCUMA ZEDOARIA EXTRACT</t>
  </si>
  <si>
    <t xml:space="preserve"> 977052-57-5</t>
  </si>
  <si>
    <t xml:space="preserve"> ZEDOARY (CURCUMA ZEDOARIA (BERG.) ROSC.)</t>
  </si>
  <si>
    <t xml:space="preserve"> &amp;diams; ZEDOARY&lt;br /&gt;&amp;diams; CURCUMA ZEDOARIA&lt;br /&gt;&amp;diams; INDIAN ARROWROOT&lt;br /&gt;&amp;diams; SHOTI&lt;br /&gt;&amp;diams; KHA MIN KHAO&lt;br /&gt;&amp;diams; WHITE TURMERIC</t>
  </si>
  <si>
    <t xml:space="preserve"> 9010-66-6</t>
  </si>
  <si>
    <t xml:space="preserve"> ZEIN POWDER</t>
  </si>
  <si>
    <t xml:space="preserve"> &amp;diams; ZEIN&lt;br /&gt;&amp;diams; ZEIN RESIN&lt;br /&gt;&amp;diams; ZEIN POWDER&lt;br /&gt;&amp;diams; ZEINS</t>
  </si>
  <si>
    <t xml:space="preserve"> ANTICAKING AGENT OR FREE-FLOW AGENT,&lt;br /&gt; DRYING AGENT,&lt;br /&gt; HUMECTANT</t>
  </si>
  <si>
    <t xml:space="preserve"> 557-34-6</t>
  </si>
  <si>
    <t xml:space="preserve"> ZINC ACETATE</t>
  </si>
  <si>
    <t xml:space="preserve"> &amp;diams; ZINC ACETATE&lt;br /&gt;&amp;diams; ACETIC ACID, ZINC SALT&lt;br /&gt;&amp;diams; ZINC DIACETATE&lt;br /&gt;&amp;diams; ZINC(II) ACETATE</t>
  </si>
  <si>
    <t xml:space="preserve"> 3486-35-9</t>
  </si>
  <si>
    <t xml:space="preserve"> ZINC CARBONATE</t>
  </si>
  <si>
    <t xml:space="preserve"> &amp;diams; ZINC CARBONATE&lt;br /&gt;&amp;diams; CARBONIC ACID, ZINC SALT (1:1)&lt;br /&gt;&amp;diams; C.I. 77950&lt;br /&gt;&amp;diams; ZINC MONOCARBONATE</t>
  </si>
  <si>
    <t xml:space="preserve"> 7646-85-7</t>
  </si>
  <si>
    <t xml:space="preserve"> ZINC CHLORIDE</t>
  </si>
  <si>
    <t xml:space="preserve"> &amp;diams; ZINC CHLORIDE&lt;br /&gt;&amp;diams; BUTTER OF ZINC&lt;br /&gt;&amp;diams; ZINC CHLORIDE (ZNCL2)&lt;br /&gt;&amp;diams; ZINC(II) CHLORIDE&lt;br /&gt;&amp;diams; ZINC BUTTER</t>
  </si>
  <si>
    <t xml:space="preserve"> 7779-86-4</t>
  </si>
  <si>
    <t xml:space="preserve"> ZINC DITHIONITE</t>
  </si>
  <si>
    <t xml:space="preserve"> &amp;diams; ZINC DITHIONITE&lt;br /&gt;&amp;diams; ZINC HYDROSULFITE&lt;br /&gt;&amp;diams; DITHIONOUS ACID, ZINC SALT (1:1)</t>
  </si>
  <si>
    <t xml:space="preserve"> 4468-02-4</t>
  </si>
  <si>
    <t xml:space="preserve"> ZINC GLUCONATE</t>
  </si>
  <si>
    <t xml:space="preserve"> &amp;diams; ZINC GLUCONATE&lt;br /&gt;&amp;diams; ZINC, BIS(D-GLUCONATO-O1,O2)-&lt;br /&gt;&amp;diams; ZINC BIS(D-GLUCONATO-O1,O2)</t>
  </si>
  <si>
    <t xml:space="preserve"> 56329-42-1</t>
  </si>
  <si>
    <t xml:space="preserve"> ZINC METHIONINE SULFATE</t>
  </si>
  <si>
    <t xml:space="preserve"> &amp;diams; ZINC METHIONINE SULFATE&lt;br /&gt;&amp;diams; (L-METHIONINATO-N,O,S) HYDROGEN (SULFATO(2)-O) ZINCATE(1-), (T-4)-&lt;br /&gt;&amp;diams; ZINCATE(1-), (L-METHIONINATO-N,O.S)(SULFATO(2)-O)-, HYDROGEN, (T-4)-&lt;br /&gt;&amp;diams; ZINC METHIONINE BISULFATE</t>
  </si>
  <si>
    <t xml:space="preserve"> 1314-13-2</t>
  </si>
  <si>
    <t xml:space="preserve"> ZINC OXIDE</t>
  </si>
  <si>
    <t xml:space="preserve"> &amp;diams; ZINC OXIDE&lt;br /&gt;&amp;diams; FLOWERS OF ZINC&lt;br /&gt;&amp;diams; ZINC OXIDE (ZNO)</t>
  </si>
  <si>
    <t xml:space="preserve"> 557-05-1</t>
  </si>
  <si>
    <t xml:space="preserve"> ZINC STEARATE</t>
  </si>
  <si>
    <t xml:space="preserve"> &amp;diams; ZINC STEARATE&lt;br /&gt;&amp;diams; OCTADECANOIC ACID, ZINC SALT&lt;br /&gt;&amp;diams; ZINC OCTADECANOATE&lt;br /&gt;&amp;diams; STEARIC ACID, ZINC SALT&lt;br /&gt;&amp;diams; ZINC DISTEARATE</t>
  </si>
  <si>
    <t xml:space="preserve"> 7446-20-0</t>
  </si>
  <si>
    <t xml:space="preserve"> ZINC SULFATE</t>
  </si>
  <si>
    <t xml:space="preserve"> &amp;diams; ZINC SULFATE&lt;br /&gt;&amp;diams; ZINC SULFATE HEPTAHYDRATE&lt;br /&gt;&amp;diams; SULFURIC ACID, ZINC SALT (1:1), HEPTAHYDRATE&lt;br /&gt;&amp;diams; ZINC SULFATE (ZNSO4) HEPTAHYDRATE</t>
  </si>
  <si>
    <t xml:space="preserve"> MALTING OR FERMENTING AID,&lt;br /&gt; NUTRIENT SUPPLEMENT</t>
  </si>
  <si>
    <t xml:space="preserve"> 122-48-5</t>
  </si>
  <si>
    <t xml:space="preserve"> ZINGERONE</t>
  </si>
  <si>
    <t xml:space="preserve"> &amp;diams; ZINGERONE&lt;br /&gt;&amp;diams; (4-HYDROXY-3-METHOXYPHENYL)ETHYL METHYL KETONE&lt;br /&gt;&amp;diams; VANILLYLACETONE&lt;br /&gt;&amp;diams; ZINGIBERONE&lt;br /&gt;&amp;diams; 2-(4-HYDROXY-3-METHOXYPHENYL)ETHYL METHYL KETONE&lt;br /&gt;&amp;diams; 3-METHOXY-4-HYDROXYBENZYLACETONE&lt;br /&gt;&amp;diams; 4-(4-HYDROXY-3-METHOXYPHENYL)-2-BUTANONE&lt;br /&gt;&amp;diams; 4-HYDROXY-3-METHOXYBENZYLACETONE&lt;br /&gt;&amp;diams; 2-BUTANONE, 4-(4-HYDROXY-3-METHOXYPHENYL)-&lt;br /&gt;&amp;diams; GINGERONE</t>
  </si>
  <si>
    <t xml:space="preserve"> 119-61-9</t>
  </si>
  <si>
    <t xml:space="preserve"> BENZOPHENONE</t>
  </si>
  <si>
    <t xml:space="preserve"> &amp;diams; BENZOPHENONE&lt;br /&gt;&amp;diams; BENZOYLBENZENE&lt;br /&gt;&amp;diams; DIPHENYL KETONE&lt;br /&gt;&amp;diams; DIPHENYLMETHANONE&lt;br /&gt;&amp;diams; ALPHA-OXODIPHENYLMETHANE&lt;br /&gt;&amp;diams; PHENYL KETONE&lt;br /&gt;&amp;diams; METHANONE, DIPHENYL-</t>
  </si>
  <si>
    <t xml:space="preserve"> 140-88-5</t>
  </si>
  <si>
    <t xml:space="preserve"> ETHYL ACRYLATE</t>
  </si>
  <si>
    <t xml:space="preserve"> &amp;diams; ETHYL ACRYLATE&lt;br /&gt;&amp;diams; ETHYL PROPENOATE&lt;br /&gt;&amp;diams; ACRYLIC ACID ETHYL ESTER&lt;br /&gt;&amp;diams; 2-PROPENOIC ACID, ETHYL ESTER&lt;br /&gt;&amp;diams; ETHYL 2-PROPENOATE</t>
  </si>
  <si>
    <t xml:space="preserve"> 93-15-2</t>
  </si>
  <si>
    <t xml:space="preserve"> EUGENYL METHYL ETHER--NLFG</t>
  </si>
  <si>
    <t xml:space="preserve"> &amp;diams; EUGENYL METHYL ETHER&lt;br /&gt;&amp;diams; 4-ALLYLVERATROLE&lt;br /&gt;&amp;diams; 1,2-DIMETHOXY-4-ALLYLBENZENE&lt;br /&gt;&amp;diams; 3,4-DIMETHOXYALLYLBENZENE&lt;br /&gt;&amp;diams; 1,2-DIMETHOXY-4-(2-PROPEN-1-YL)BENZENE&lt;br /&gt;&amp;diams; 4-ALLYL-1,2-DIMETHOXYBENZENE&lt;br /&gt;&amp;diams; O-METHYL EUGENOL&lt;br /&gt;&amp;diams; METHYL EUGENYL ETHER&lt;br /&gt;&amp;diams; BENZENE, 1,2-DIMETHOXY-4-(2-PROPENYL)-&lt;br /&gt;&amp;diams; 1,2-DIMETHOXY-4-(2-PROPENYL)BENZENE&lt;br /&gt;&amp;diams; BENZENE, 4-ALLYL-1,2-DIMETHOXY-</t>
  </si>
  <si>
    <t xml:space="preserve"> NLFG-2475</t>
  </si>
  <si>
    <t xml:space="preserve"> 3, 25</t>
  </si>
  <si>
    <t xml:space="preserve"> No longer FEMA GRAS (GRAS Pub. 28, 2018)</t>
  </si>
  <si>
    <t xml:space="preserve"> 123-35-3</t>
  </si>
  <si>
    <t xml:space="preserve"> BETA-MYRCENE</t>
  </si>
  <si>
    <t xml:space="preserve"> &amp;diams; MYRCENE&lt;br /&gt;&amp;diams; 7-METHYL-3-METHYLENE-1,6-OCTADIENE&lt;br /&gt;&amp;diams; MYRCENE, BETA-&lt;br /&gt;&amp;diams; 2-METHYL-6-METHYLENE-2,7-OCTADIENE&lt;br /&gt;&amp;diams; 1,6-OCTADIENE, 7-METHYL-3-METHYLENE-&lt;br /&gt;&amp;diams; BETA-MYRCENE</t>
  </si>
  <si>
    <t xml:space="preserve"> 89-82-7</t>
  </si>
  <si>
    <t xml:space="preserve"> PULEGONE</t>
  </si>
  <si>
    <t xml:space="preserve"> &amp;diams; PULEGONE&lt;br /&gt;&amp;diams; P-MENTH-4(8)-EN-3-ONE&lt;br /&gt;&amp;diams; PULEGONE, D-&lt;br /&gt;&amp;diams; 1-METHYL-4-ISOPROPYLIDENE-3-CYCLOHEXANONE&lt;br /&gt;&amp;diams; 4(8)-P-MENTHEN-3-ONE, DELTA-&lt;br /&gt;&amp;diams; 1-ISOPROPYLIDENE-4-METHYL-2-CYCLOHEXANONE&lt;br /&gt;&amp;diams; CYCLOHEXANONE, 5-METHYL-2-(1-METHYLETHYLIDENE), (5R)-&lt;br /&gt;&amp;diams; 5-METHYL-2-(1-METHYLETHYLIDENE)CYCLOHEXANONE, (R)-&lt;br /&gt;&amp;diams; P-MENTH-4(8)-EN-3-ONE, (R)-(+)-&lt;br /&gt;&amp;diams; PULEGONE, (+)-</t>
  </si>
  <si>
    <t xml:space="preserve"> 110-86-1</t>
  </si>
  <si>
    <t xml:space="preserve"> PYRIDINE</t>
  </si>
  <si>
    <t xml:space="preserve"> &amp;diams; PYRIDINE&lt;br /&gt;&amp;diams; AZABENZENE&lt;br /&gt;&amp;diams; AZINE</t>
  </si>
  <si>
    <t xml:space="preserve"> 100-42-5</t>
  </si>
  <si>
    <t xml:space="preserve"> STYRENE--NLFG</t>
  </si>
  <si>
    <t xml:space="preserve"> &amp;diams; STYRENE&lt;br /&gt;&amp;diams; STYROL&lt;br /&gt;&amp;diams; PHENYLETHYLENE&lt;br /&gt;&amp;diams; VINYLBENZENE&lt;br /&gt;&amp;diams; ETHENYLBENZENE&lt;br /&gt;&amp;diams; PHENYLETHENE&lt;br /&gt;&amp;diams; VINYLBENZOL&lt;br /&gt;&amp;diams; BENZENE, ETHENYL-</t>
  </si>
  <si>
    <t xml:space="preserve"> NLFG-3233</t>
  </si>
  <si>
    <t xml:space="preserve"> 9002-18-0</t>
  </si>
  <si>
    <t xml:space="preserve"> AGAR (GELIDIUM SPP.)</t>
  </si>
  <si>
    <t xml:space="preserve"> &amp;diams; AGAR&lt;br /&gt;&amp;diams; AGAR-AGAR&lt;br /&gt;&amp;diams; JAPAN ISINGLASS&lt;br /&gt;&amp;diams; ISINGLASS, JAPANESE&lt;br /&gt;&amp;diams; AGAR-AGAR (GRACILARIA LICHENOIDES)</t>
  </si>
  <si>
    <t xml:space="preserve"> EMULSIFIER OR EMULSIFIER SALT,&lt;br /&gt; FLAVOR ENHANCER,&lt;br /&gt; PROCESSING AID,&lt;br /&gt; STABILIZER OR THICKENER,&lt;br /&gt; SURFACE-FINISHING AGENT,&lt;br /&gt; TEXTURIZER</t>
  </si>
  <si>
    <t xml:space="preserve"> 9005-38-3</t>
  </si>
  <si>
    <t xml:space="preserve"> ALGINATE, SODIUM</t>
  </si>
  <si>
    <t xml:space="preserve"> &amp;diams; SODIUM ALGINATE&lt;br /&gt;&amp;diams; ALGIN GUM&lt;br /&gt;&amp;diams; ALGINIC ACID, SODIUM SALT&lt;br /&gt;&amp;diams; ALGINATE, SODIUM</t>
  </si>
  <si>
    <t xml:space="preserve"> 50-81-7</t>
  </si>
  <si>
    <t xml:space="preserve"> ASCORBIC ACID</t>
  </si>
  <si>
    <t xml:space="preserve"> &amp;diams; ASCORBIC ACID&lt;br /&gt;&amp;diams; VITAMIN C&lt;br /&gt;&amp;diams; ASCORBIC ACID, L-&lt;br /&gt;&amp;diams; CEVITAMIC ACID&lt;br /&gt;&amp;diams; L-ASCORBIC ACID&lt;br /&gt;&amp;diams; XYLOASCORBIC ACID, L-&lt;br /&gt;&amp;diams; HEX-2-ENONIC ACID GAMMA-LACTONE, L-THREO-</t>
  </si>
  <si>
    <t xml:space="preserve"> ANTIMICROBIAL AGENT,&lt;br /&gt; ANTIOXIDANT,&lt;br /&gt; COLOR OR COLORING ADJUNCT,&lt;br /&gt; DOUGH STRENGTHENER,&lt;br /&gt; FLAVOR ENHANCER,&lt;br /&gt; FLAVORING AGENT OR ADJUVANT,&lt;br /&gt; NUTRIENT SUPPLEMENT,&lt;br /&gt; PH CONTROL AGENT,&lt;br /&gt; SEQUESTRANT,&lt;br /&gt; STABILIZER OR THICKENER</t>
  </si>
  <si>
    <t xml:space="preserve"> 101.14 ,  101.9 ,  107.100 ,  137.105 ,  137.200 ,  145.110 ,  145.115 ,  145.135 ,  145.170 ,  146.185 ,  146.187  ,  155.200 ,  155.201 ,  161.175</t>
  </si>
  <si>
    <t xml:space="preserve"> 65-85-0</t>
  </si>
  <si>
    <t xml:space="preserve"> BENZOIC ACID</t>
  </si>
  <si>
    <t xml:space="preserve"> &amp;diams; BENZOIC ACID&lt;br /&gt;&amp;diams; BENZENECARBOXYLIC ACID&lt;br /&gt;&amp;diams; BENZENEFORMIC ACID&lt;br /&gt;&amp;diams; CARBOXYBENZENE&lt;br /&gt;&amp;diams; DRACYLIC ACID&lt;br /&gt;&amp;diams; PHENYLCARBOXYLIC ACID&lt;br /&gt;&amp;diams; PHENYLFORMIC ACID&lt;br /&gt;&amp;diams; BENZENEMETHANOIC ACID</t>
  </si>
  <si>
    <t xml:space="preserve"> 10035-04-8</t>
  </si>
  <si>
    <t xml:space="preserve"> CALCIUM CHLORIDE</t>
  </si>
  <si>
    <t xml:space="preserve"> &amp;diams; CALCIUM CHLORIDE&lt;br /&gt;&amp;diams; CALCIUM CHLORIDE DIHYDRATE&lt;br /&gt;&amp;diams; CALCIUM DICHLORIDE&lt;br /&gt;&amp;diams; CALCIUM CHLORIDE (CACL2), DIHYDRATE&lt;br /&gt;&amp;diams; CALCIUM CHLORIDE, DIHYDRATE</t>
  </si>
  <si>
    <t xml:space="preserve"> ANTICAKING AGENT OR FREE-FLOW AGENT,&lt;br /&gt; DRYING AGENT,&lt;br /&gt; ENZYME,&lt;br /&gt; FIRMING AGENT,&lt;br /&gt; FREEZING OR COOLING AGENT,&lt;br /&gt; DIRECT CONTACT,&lt;br /&gt; FUMIGANT,&lt;br /&gt; HUMECTANT,&lt;br /&gt; MALTING OR FERMENTING AID,&lt;br /&gt; PH CONTROL AGENT,&lt;br /&gt; PROCESSING</t>
  </si>
  <si>
    <t xml:space="preserve"> 133.102 ,  133.108 ,  133.111 ,  133.113 ,  133.118 ,  133.127 ,  133.136 ,  133.138 ,  133.141 ,  133.144 ,  133.147 ,  133.149 ,  133.152 ,  133.153 ,  133.156 ,  133.157 ,  133.164 ,  133.165 ,  133.179 ,  133.182 ,  133.183 ,  133.185 ,  133.187 ,  133.188, 133.189, 133.190, 133.195, 145.145</t>
  </si>
  <si>
    <t xml:space="preserve"> 813-94-5</t>
  </si>
  <si>
    <t xml:space="preserve"> CALCIUM CITRATE</t>
  </si>
  <si>
    <t xml:space="preserve"> &amp;diams; CALCIUM CITRATE&lt;br /&gt;&amp;diams; TRICALCIUM CITRATE&lt;br /&gt;&amp;diams; CITRIC ACID, CALCIUM SALT (2:3)&lt;br /&gt;&amp;diams; TRICALCIUM DICITRATE&lt;br /&gt;&amp;diams; CALCIUM CITRATE, TRIBASIC&lt;br /&gt;&amp;diams; 1,2,3-PROPANETRICARBOXYLIC ACID, 2-HYDROXY-, CALCIUM SALT (2:3)&lt;br /&gt;&amp;diams; CALCIUM 2-HYDROXY-1,2,3-PROPANETRICARBOXYLATE (3:2)&lt;br /&gt;&amp;diams; calcium citrate (Ca3(O7C6H5)2)</t>
  </si>
  <si>
    <t xml:space="preserve"> FIRMING AGENT,&lt;br /&gt; NUTRIENT SUPPLEMENT,&lt;br /&gt; PH CONTROL AGENT,&lt;br /&gt; SEQUESTRANT</t>
  </si>
  <si>
    <t xml:space="preserve"> 299-28-5</t>
  </si>
  <si>
    <t xml:space="preserve"> CALCIUM GLUCONATE</t>
  </si>
  <si>
    <t xml:space="preserve"> &amp;diams; CALCIUM GLUCONATE&lt;br /&gt;&amp;diams; CALCIUM HEXAGLUCONATE&lt;br /&gt;&amp;diams; CALCIUM D-GLUCONATE (1:2)&lt;br /&gt;&amp;diams; D-GLUCONIC ACID, CALCIUM SALT (2:1)&lt;br /&gt;&amp;diams; GLUCONIC ACID, CALCIUM SALT (2:1), D-</t>
  </si>
  <si>
    <t xml:space="preserve"> FIRMING AGENT,&lt;br /&gt; FLAVOR ENHANCER,&lt;br /&gt; FLAVORING AGENT OR ADJUVANT,&lt;br /&gt; FORMULATION AID,&lt;br /&gt; NUTRIENT SUPPLEMENT,&lt;br /&gt; SEQUESTRANT,&lt;br /&gt; STABILIZER OR THICKENER,&lt;br /&gt; TEXTURIZER</t>
  </si>
  <si>
    <t xml:space="preserve"> 814-80-2</t>
  </si>
  <si>
    <t xml:space="preserve"> CALCIUM LACTATE</t>
  </si>
  <si>
    <t xml:space="preserve"> &amp;diams; CALCIUM LACTATE&lt;br /&gt;&amp;diams; CALCIUM 2-HYDROXYPROPANOATE (1:2)&lt;br /&gt;&amp;diams; PROPANOIC ACID, 2-HYDROXY-, CALCIUM SALT (2:1)&lt;br /&gt;&amp;diams; LACTIC ACID, CALCIUM SALT (2:1)&lt;br /&gt;&amp;diams; CALCIUM LACTATE (1:2)</t>
  </si>
  <si>
    <t xml:space="preserve"> DOUGH STRENGTHENER,&lt;br /&gt; FIRMING AGENT,&lt;br /&gt; FLAVOR ENHANCER,&lt;br /&gt; FLAVORING AGENT OR ADJUVANT,&lt;br /&gt; LEAVENING AGENT,&lt;br /&gt; MALTING OR FERMENTING AID,&lt;br /&gt; NUTRIENT SUPPLEMENT,&lt;br /&gt; PH CONTROL AGENT,&lt;br /&gt; STABILIZER OR THICKENER</t>
  </si>
  <si>
    <t xml:space="preserve"> 7758-23-8</t>
  </si>
  <si>
    <t xml:space="preserve"> CALCIUM PHOSPHATE, MONOBASIC</t>
  </si>
  <si>
    <t xml:space="preserve"> &amp;diams; CALCIUM PHOSPHATE, MONOBASIC&lt;br /&gt;&amp;diams; ACID CALCIUM PHOSPHATE&lt;br /&gt;&amp;diams; CALCIUM BIPHOSPHATE&lt;br /&gt;&amp;diams; CALCIUM PHOSPHATE (1:2)&lt;br /&gt;&amp;diams; CALCIUM DIHYDROGEN PHOSPHATE&lt;br /&gt;&amp;diams; CALCIUM TETRAHYDROGEN PHOSPHATE&lt;br /&gt;&amp;diams; MONOCALCIUM PHOSPHATE&lt;br /&gt;&amp;diams; MONOCALCIUM PHOSPHATE, ANHYDROUS&lt;br /&gt;&amp;diams; MONOBASIC CALCIUM PHOSPHATE&lt;br /&gt;&amp;diams; MONOCALCIUM ORTHOPHOSPHATE&lt;br /&gt;&amp;diams; MONOCALCIUM PHOSPHATE, MONOBASIC&lt;br /&gt;&amp;diams; PHOSPHORIC ACID, CALCIUM SALT (2:1)</t>
  </si>
  <si>
    <t xml:space="preserve"> DOUGH STRENGTHENER,&lt;br /&gt; FIRMING AGENT,&lt;br /&gt; FLOUR TREATING AGENT,&lt;br /&gt; LEAVENING AGENT,&lt;br /&gt; MALTING OR FERMENTING AID,&lt;br /&gt; NUTRIENT SUPPLEMENT,&lt;br /&gt; PH CONTROL AGENT,&lt;br /&gt; SEQUESTRANT,&lt;br /&gt; STABILIZER OR THICKENER</t>
  </si>
  <si>
    <t xml:space="preserve"> 136.110 ,  136.115 ,  137.165 ,  137.175 ,  137.180 ,  137.270</t>
  </si>
  <si>
    <t xml:space="preserve"> 4075-81-4</t>
  </si>
  <si>
    <t xml:space="preserve"> CALCIUM PROPIONATE</t>
  </si>
  <si>
    <t xml:space="preserve"> &amp;diams; CALCIUM PROPIONATE&lt;br /&gt;&amp;diams; PROPANOIC ACID, CALCIUM SALT&lt;br /&gt;&amp;diams; CALCIUM PROPANOATE&lt;br /&gt;&amp;diams; PROPIONIC ACID, CALCIUM SALT&lt;br /&gt;&amp;diams; CALCIUM DIPROPIONATE&lt;br /&gt;&amp;diams; PROPIONATE, CALCIUM</t>
  </si>
  <si>
    <t xml:space="preserve"> ANTIMICROBIAL AGENT,&lt;br /&gt; ANTIOXIDANT</t>
  </si>
  <si>
    <t xml:space="preserve"> 133.123 ,  133.124 ,  133.169 ,  133.173 ,  133.179 ,  136.110 ,  136.115</t>
  </si>
  <si>
    <t xml:space="preserve"> 7778-18-9</t>
  </si>
  <si>
    <t xml:space="preserve"> CALCIUM SULFATE</t>
  </si>
  <si>
    <t xml:space="preserve"> &amp;diams; CALCIUM SULFATE&lt;br /&gt;&amp;diams; CALCIUM SULFATE, ANHYDROUS&lt;br /&gt;&amp;diams; SULFURIC ACID, CALCIUM SALT (1:1)&lt;br /&gt;&amp;diams; CALCIUM SULFATE (1:1)</t>
  </si>
  <si>
    <t xml:space="preserve"> ANTICAKING AGENT OR FREE-FLOW AGENT,&lt;br /&gt; DRYING AGENT,&lt;br /&gt; FORMULATION AID,&lt;br /&gt; LEAVENING AGENT,&lt;br /&gt; LUBRICANT OR RELEASE AGENT,&lt;br /&gt; MALTING OR FERMENTING AID,&lt;br /&gt; NUTRIENT SUPPLEMENT,&lt;br /&gt; PH CONTROL AGENT,&lt;br /&gt; PROCESSING AID,&lt;br /&gt; STABILIZER OR THICKENER</t>
  </si>
  <si>
    <t xml:space="preserve"> 9004-32-4</t>
  </si>
  <si>
    <t xml:space="preserve"> CARBOXYMETHYL CELLULOSE, SODIUM SALT</t>
  </si>
  <si>
    <t xml:space="preserve"> &amp;diams; SODIUM CARBOXYMETHYL CELLULOSE&lt;br /&gt;&amp;diams; CARBOXYMETHYLCELLULOSE SODIUM&lt;br /&gt;&amp;diams; CELLULOSE, CARBOXYMETHYL ETHER, SODIUM SALT&lt;br /&gt;&amp;diams; SODIUM CELLULOSE GLYCOLATE&lt;br /&gt;&amp;diams; SODIUM CARBOXYMETHYLCELLULOSE</t>
  </si>
  <si>
    <t xml:space="preserve"> ANTICAKING AGENT OR FREE-FLOW AGENT,&lt;br /&gt; DRYING AGENT,&lt;br /&gt; EMULSIFIER OR EMULSIFIER SALT,&lt;br /&gt; FORMULATION AID,&lt;br /&gt; HUMECTANT,&lt;br /&gt; STABILIZER OR THICKENER,&lt;br /&gt; TEXTURIZER</t>
  </si>
  <si>
    <t xml:space="preserve"> 9000-07-1</t>
  </si>
  <si>
    <t xml:space="preserve"> CARRAGEENAN</t>
  </si>
  <si>
    <t xml:space="preserve"> &amp;diams; CARRAGEENAN&lt;br /&gt;&amp;diams; CARRAGEENIN&lt;br /&gt;&amp;diams; CHONDRUS EXTRACT&lt;br /&gt;&amp;diams; IRISH MOSS EXTRACT&lt;br /&gt;&amp;diams; CARRAGHEEN GUM&lt;br /&gt;&amp;diams; CARRAGEENAN, KAPPA,LAMBDA-&lt;br /&gt;&amp;diams; IRISH MOSS GELOSE</t>
  </si>
  <si>
    <t xml:space="preserve"> ANTICAKING AGENT OR FREE-FLOW AGENT,&lt;br /&gt; DRYING AGENT,&lt;br /&gt; EMULSIFIER OR EMULSIFIER SALT,&lt;br /&gt; FLAVOR ENHANCER,&lt;br /&gt; FLAVORING AGENT OR ADJUVANT,&lt;br /&gt; FORMULATION AID,&lt;br /&gt; HUMECTANT,&lt;br /&gt; PROCESSING AID,&lt;br /&gt; STABILIZER OR THICKENER,&lt;br /&gt; TEXTURIZER</t>
  </si>
  <si>
    <t xml:space="preserve"> 133.178 ,  133.179 ,  136.110 ,  139.121 ,  139.122</t>
  </si>
  <si>
    <t xml:space="preserve"> 977043-69-8</t>
  </si>
  <si>
    <t xml:space="preserve"> CARRAGEENAN AND SALTS OF CARRAGEENAN</t>
  </si>
  <si>
    <t xml:space="preserve"> &amp;diams; CARRAGEENAN/CARRAGEENAN SALT</t>
  </si>
  <si>
    <t xml:space="preserve"> 136.110 ,  139.121 ,  139.122</t>
  </si>
  <si>
    <t xml:space="preserve"> 9004-67-5</t>
  </si>
  <si>
    <t xml:space="preserve"> CELLULOSE, METHYL</t>
  </si>
  <si>
    <t xml:space="preserve"> &amp;diams; METHYLCELLULOSE&lt;br /&gt;&amp;diams; CELLULOSE METHYL ETHER&lt;br /&gt;&amp;diams; METHYL CELLULOSE&lt;br /&gt;&amp;diams; CELLULOSE, METHYL ETHER</t>
  </si>
  <si>
    <t xml:space="preserve"> EMULSIFIER OR EMULSIFIER SALT,&lt;br /&gt; FLAVOR ENHANCER,&lt;br /&gt; STABILIZER OR THICKENER</t>
  </si>
  <si>
    <t xml:space="preserve"> 977010-51-7</t>
  </si>
  <si>
    <t xml:space="preserve"> FRUIT JUICE</t>
  </si>
  <si>
    <t xml:space="preserve"> &amp;diams; FRUIT JUICE&lt;br /&gt;&amp;diams; JUS DE FRUITS&lt;br /&gt;&amp;diams; JUICE, FRUIT</t>
  </si>
  <si>
    <t xml:space="preserve"> 131.110 ,  131.115 ,  131.120 ,  131.122 ,  131.123 ,  131.124 ,  131.127 ,  131.130 ,  131.132 ,  131.135 ,  131.143 ,  131.147 ,  131.149 ,  131.150 ,  131.155 ,  131.157 ,  131.160 ,  131.162 ,  131.180 ,  131.185 ,  131.187 ,  135.110 ,  135.140 ,  145.3,  145.110, 145.120, 145.125, 145.135, 145.140, 145.145, 145.170, 145.175, 145.180, 145.185, 145.190, 146.126, 150.110, 150.140</t>
  </si>
  <si>
    <t xml:space="preserve"> 110-17-8</t>
  </si>
  <si>
    <t xml:space="preserve"> FUMARIC ACID</t>
  </si>
  <si>
    <t xml:space="preserve"> &amp;diams; FUMARIC ACID&lt;br /&gt;&amp;diams; BOLETIC ACID&lt;br /&gt;&amp;diams; BUTENEDIOIC ACID, TRANS-&lt;br /&gt;&amp;diams; ALLOMALEIC ACID&lt;br /&gt;&amp;diams; ALLOMALENIC ACID&lt;br /&gt;&amp;diams; ETHYLENE-1,2-DICARBOXYLIC ACID, TRANS-ALPHA,BETA-&lt;br /&gt;&amp;diams; 1,2-ETHYLENEDICARBOXYLIC ACID, TRANS-&lt;br /&gt;&amp;diams; 2-BUTENEDIOIC ACID (E)-</t>
  </si>
  <si>
    <t xml:space="preserve"> ANTIMICROBIAL AGENT,&lt;br /&gt; CURING OR PICKLING AGENT,&lt;br /&gt; FLAVORING AGENT OR ADJUVANT,&lt;br /&gt; LEAVENING AGENT,&lt;br /&gt; PH CONTROL AGENT</t>
  </si>
  <si>
    <t xml:space="preserve"> 9000-30-0</t>
  </si>
  <si>
    <t xml:space="preserve"> GUAR, GUM (CYAMOPSIS TETRAGONOLOBUS (L.))</t>
  </si>
  <si>
    <t xml:space="preserve"> &amp;diams; GUAR GUM&lt;br /&gt;&amp;diams; GUM GUAR&lt;br /&gt;&amp;diams; GUAR FLOUR&lt;br /&gt;&amp;diams; FLOUR, GUAR&lt;br /&gt;&amp;diams; GUM CYAMOPSIS</t>
  </si>
  <si>
    <t xml:space="preserve"> ANTICAKING AGENT OR FREE-FLOW AGENT,&lt;br /&gt; DRYING AGENT,&lt;br /&gt; EMULSIFIER OR EMULSIFIER SALT,&lt;br /&gt; FIRMING AGENT,&lt;br /&gt; FLAVOR ENHANCER,&lt;br /&gt; FORMULATION AID,&lt;br /&gt; HUMECTANT,&lt;br /&gt; STABILIZER OR THICKENER,&lt;br /&gt; TEXTURIZER</t>
  </si>
  <si>
    <t xml:space="preserve"> 9000-36-6</t>
  </si>
  <si>
    <t xml:space="preserve"> KARAYA, GUM (STERCULIA URENS ROXB.)</t>
  </si>
  <si>
    <t xml:space="preserve"> &amp;diams; KARAYA GUM&lt;br /&gt;&amp;diams; GUM KARAYA&lt;br /&gt;&amp;diams; STERCULIA GUM&lt;br /&gt;&amp;diams; KADAYA GUM&lt;br /&gt;&amp;diams; KULLO GUM&lt;br /&gt;&amp;diams; KATILO GUM&lt;br /&gt;&amp;diams; TRAGACANTH GUM, INDIAN&lt;br /&gt;&amp;diams; KUTEERAL GUM</t>
  </si>
  <si>
    <t xml:space="preserve"> EMULSIFIER OR EMULSIFIER SALT,&lt;br /&gt; FLAVOR ENHANCER,&lt;br /&gt; FORMULATION AID,&lt;br /&gt; STABILIZER OR THICKENER,&lt;br /&gt; TEXTURIZER</t>
  </si>
  <si>
    <t xml:space="preserve"> 50-21-5</t>
  </si>
  <si>
    <t xml:space="preserve"> LACTIC ACID</t>
  </si>
  <si>
    <t xml:space="preserve"> &amp;diams; LACTIC ACID&lt;br /&gt;&amp;diams; 2-HYDROXYPROPIONIC ACID&lt;br /&gt;&amp;diams; LACTIC ACID USP&lt;br /&gt;&amp;diams; ALPHA-HYDROXYPROPIONIC ACID&lt;br /&gt;&amp;diams; 2-HYDROXYPROPANOIC ACID&lt;br /&gt;&amp;diams; PROPANOIC ACID, 2-HYDROXY-</t>
  </si>
  <si>
    <t xml:space="preserve"> ANTIMICROBIAL AGENT,&lt;br /&gt; CURING OR PICKLING AGENT,&lt;br /&gt; FLAVOR ENHANCER,&lt;br /&gt; FLAVORING AGENT OR ADJUVANT,&lt;br /&gt; PH CONTROL AGENT,&lt;br /&gt; SOLVENT OR VEHICLE</t>
  </si>
  <si>
    <t xml:space="preserve"> 133.123 ,  133.124 ,  133.129 ,  133.169 ,  133.173 ,  133.178 ,  133.179</t>
  </si>
  <si>
    <t xml:space="preserve"> 9000-40-2</t>
  </si>
  <si>
    <t xml:space="preserve"> LOCUST (CAROB) BEAN GUM</t>
  </si>
  <si>
    <t xml:space="preserve"> &amp;diams; CAROB BEAN GUM&lt;br /&gt;&amp;diams; ALGAROBA&lt;br /&gt;&amp;diams; CAROB FLOUR&lt;br /&gt;&amp;diams; ST. JOHN'S BREAD GUM&lt;br /&gt;&amp;diams; LOCUST BEAN FLOUR&lt;br /&gt;&amp;diams; CAROB&lt;br /&gt;&amp;diams; CERATONIA SILIQUA GUM&lt;br /&gt;&amp;diams; CAROB GUM&lt;br /&gt;&amp;diams; CAROB BEAN FLOUR&lt;br /&gt;&amp;diams; LOCUST GUM</t>
  </si>
  <si>
    <t xml:space="preserve"> EMULSIFIER OR EMULSIFIER SALT,&lt;br /&gt; FLAVOR ENHANCER,&lt;br /&gt; FLAVORING AGENT OR ADJUVANT,&lt;br /&gt; SOLVENT OR VEHICLE,&lt;br /&gt; STABILIZER OR THICKENER,&lt;br /&gt; TEXTURIZER</t>
  </si>
  <si>
    <t xml:space="preserve"> 99-76-3</t>
  </si>
  <si>
    <t xml:space="preserve"> METHYL P-HYDROXYBENZOATE</t>
  </si>
  <si>
    <t xml:space="preserve"> &amp;diams; METHYLPARABEN&lt;br /&gt;&amp;diams; METHYL P-HYDROXYBENZOATE&lt;br /&gt;&amp;diams; BENZOIC ACID, 4-HYDROXY-, METHYL ESTER&lt;br /&gt;&amp;diams; METHYL 4-HYDROXYBENZOATE&lt;br /&gt;&amp;diams; BENZOIC ACID, P-HYDROXY-, METHYL ESTER</t>
  </si>
  <si>
    <t xml:space="preserve"> 9000-69-5</t>
  </si>
  <si>
    <t xml:space="preserve"> PECTIN</t>
  </si>
  <si>
    <t xml:space="preserve"> &amp;diams; PECTIN&lt;br /&gt;&amp;diams; PECTINIC ACID&lt;br /&gt;&amp;diams; METHOXYPECTIN&lt;br /&gt;&amp;diams; METHYL PECTINATE&lt;br /&gt;&amp;diams; PECTINE&lt;br /&gt;&amp;diams; PECTIN, FRUIT&lt;br /&gt;&amp;diams; FRUIT PECTIN</t>
  </si>
  <si>
    <t xml:space="preserve"> 135.140 ,  145.116 ,  145.126 ,  145.131 ,  145.136 ,  145.171 ,  145.181 ,  150.110 ,  150.140 ,  150.160</t>
  </si>
  <si>
    <t xml:space="preserve"> 868-14-4</t>
  </si>
  <si>
    <t xml:space="preserve"> POTASSIUM ACID TARTRATE</t>
  </si>
  <si>
    <t xml:space="preserve"> &amp;diams; POTASSIUM BITARTRATE&lt;br /&gt;&amp;diams; CREAM OF TARTAR&lt;br /&gt;&amp;diams; POTASSIUM ACID TARTRATE&lt;br /&gt;&amp;diams; BUTANEDIOIC ACID, 2,3-DIHYDROXY- (R-(R*,R*))-, MONOPOTASSIUM SALT&lt;br /&gt;&amp;diams; MONOPOTASSIUM 2,3-DIHYDROXYBUTANEDIOATE, (R-(R*,R*))-&lt;br /&gt;&amp;diams; TARTARIC ACID, MONOPOTASSIUM SALT&lt;br /&gt;&amp;diams; MONOPOTASSIUM TARTRATE&lt;br /&gt;&amp;diams; POTASSIUM HYDROGEN TARTRATE&lt;br /&gt;&amp;diams; POTASSIUM L-BITARTRATE&lt;br /&gt;&amp;diams; POTASSIUM L-TARTRATE (KC4H5O6)&lt;br /&gt;&amp;diams; TARTRATE, POTASSIUM ACID</t>
  </si>
  <si>
    <t xml:space="preserve"> EMULSIFIER OR EMULSIFIER SALT,&lt;br /&gt; NUTRIENT SUPPLEMENT,&lt;br /&gt; PH CONTROL AGENT</t>
  </si>
  <si>
    <t xml:space="preserve"> 7447-40-7</t>
  </si>
  <si>
    <t xml:space="preserve"> POTASSIUM CHLORIDE</t>
  </si>
  <si>
    <t xml:space="preserve"> &amp;diams; POTASSIUM CHLORIDE&lt;br /&gt;&amp;diams; CHLORURE DE POTASSIUM&lt;br /&gt;&amp;diams; POTASSIUM CHLORIDE (KCL)&lt;br /&gt;&amp;diams; InChI=1S/ClH.K/h1H&lt;br /&gt;&amp;diams; /q&lt;br /&gt;&amp;diams; +1/p-1&lt;br /&gt;&amp;diams; InChIKey: WCUXLLCKKVVCTQ-UHFFFAOYSA-M</t>
  </si>
  <si>
    <t xml:space="preserve"> ENZYME,&lt;br /&gt; FLAVOR ENHANCER,&lt;br /&gt; FLAVORING AGENT OR ADJUVANT,&lt;br /&gt; MALTING OR FERMENTING AID,&lt;br /&gt; NUTRIENT SUPPLEMENT,&lt;br /&gt; PH CONTROL AGENT,&lt;br /&gt; PROCESSING AID,&lt;br /&gt; STABILIZER OR THICKENER</t>
  </si>
  <si>
    <t xml:space="preserve"> 6100-05-6</t>
  </si>
  <si>
    <t xml:space="preserve"> POTASSIUM CITRATE</t>
  </si>
  <si>
    <t xml:space="preserve"> &amp;diams; POTASSIUM CITRATE&lt;br /&gt;&amp;diams; POTASSIUM CITRATE MONOHYDRATE&lt;br /&gt;&amp;diams; TRIPOTASSIUM CITRATE MONOHYDRATE&lt;br /&gt;&amp;diams; CITRIC ACID, TRIPOTASSIUM SALT, MONOHYDRATE&lt;br /&gt;&amp;diams; 1,2,3-PROPANETRICARBOXYLIC ACID, 2-HYDROXY-, TRIPOTASSIUM SALT, MONOHYDRATE&lt;br /&gt;&amp;diams; TRIPOTASSIUM 2-HYDROXY-1,2,3-PROPANETRICARBOXYLATE MONOHYDRATE&lt;br /&gt;&amp;diams; CITRATE, POTASSIUM</t>
  </si>
  <si>
    <t xml:space="preserve"> EMULSIFIER OR EMULSIFIER SALT,&lt;br /&gt; FLAVOR ENHANCER,&lt;br /&gt; FLAVORING AGENT OR ADJUVANT,&lt;br /&gt; NUTRIENT SUPPLEMENT,&lt;br /&gt; PH CONTROL AGENT,&lt;br /&gt; SEQUESTRANT</t>
  </si>
  <si>
    <t xml:space="preserve"> 24634-61-5</t>
  </si>
  <si>
    <t xml:space="preserve"> POTASSIUM SORBATE</t>
  </si>
  <si>
    <t xml:space="preserve"> &amp;diams; POTASSIUM SORBATE&lt;br /&gt;&amp;diams; POTASSIUM 2,4-HEXADIENOATE, (E,E)-&lt;br /&gt;&amp;diams; 2,4-HEXADIENOIC ACID, POTASSIUM SALT, (E,E)-&lt;br /&gt;&amp;diams; SORBIC ACID, POTASSIUM SALT</t>
  </si>
  <si>
    <t xml:space="preserve"> ANTIMICROBIAL AGENT,&lt;br /&gt; ANTIOXIDANT,&lt;br /&gt; COLOR OR COLORING ADJUNCT,&lt;br /&gt; FLAVOR ENHANCER,&lt;br /&gt; FLAVORING AGENT OR ADJUVANT,&lt;br /&gt; NUTRIENT SUPPLEMENT,&lt;br /&gt; PH CONTROL AGENT</t>
  </si>
  <si>
    <t xml:space="preserve"> 133.118 ,  133.123 ,  133.124 ,  133.169 ,  133.173 ,  133.179 ,  133.187 ,  133.188 ,  166.110</t>
  </si>
  <si>
    <t xml:space="preserve"> 94-13-3</t>
  </si>
  <si>
    <t xml:space="preserve"> PROPYL P-HYDROXYBENZOATE</t>
  </si>
  <si>
    <t xml:space="preserve"> &amp;diams; PROPYLPARABEN&lt;br /&gt;&amp;diams; PROPYL P-HYDROXYBENZOATE&lt;br /&gt;&amp;diams; BENZOIC ACID, 4-HYDROXY-, PROPYL ESTER&lt;br /&gt;&amp;diams; PROPYL 4-HYDROXYBENZOATE&lt;br /&gt;&amp;diams; BENZOIC ACID, P-HYDROXY-, PROPYL ESTER</t>
  </si>
  <si>
    <t xml:space="preserve"> 81-07-2</t>
  </si>
  <si>
    <t xml:space="preserve"> SACCHARIN</t>
  </si>
  <si>
    <t xml:space="preserve"> &amp;diams; SACCHARIN&lt;br /&gt;&amp;diams; 1,2-BENZISOTHIAZOLIN-3-ONE 1,1-DIOXIDE&lt;br /&gt;&amp;diams; BENZOSULFIMIDE, O-&lt;br /&gt;&amp;diams; SACCHARIN INSOLUBLE&lt;br /&gt;&amp;diams; BENZOIC SULFIMIDE&lt;br /&gt;&amp;diams; SACCHARIMIDE&lt;br /&gt;&amp;diams; ANHYDRO-O-SULFAMINEBENZOIC ACID&lt;br /&gt;&amp;diams; 1,2-DIHYDRO-2-KETOBENZISOSULFONAZOLE&lt;br /&gt;&amp;diams; 2,3-DIHYDRO-3-OXOBENZISOSULFONAZOLE&lt;br /&gt;&amp;diams; SULFOBENZIMIDE, O-&lt;br /&gt;&amp;diams; 1,2-BENZISOTHIAZOLIN-3-ONE, 1,1-DIOXIDE&lt;br /&gt;&amp;diams; 1,2-BENZISOTHIAZOL-3(2H)-ONE, 1,1-DIOXIDE&lt;br /&gt;&amp;diams; BENZOIC ACID SULFIMIDE</t>
  </si>
  <si>
    <t xml:space="preserve"> 145.116 ,  145.126 ,  145.131 ,  145.136 ,  145.171 ,  145.176 ,  145.181</t>
  </si>
  <si>
    <t xml:space="preserve"> 6381-91-5</t>
  </si>
  <si>
    <t xml:space="preserve"> SACCHARIN, CALCIUM SALT</t>
  </si>
  <si>
    <t xml:space="preserve"> &amp;diams; CALCIUM SACCHARIN&lt;br /&gt;&amp;diams; CALCIUM O-BENZOSULFIMIDE HYDRATE&lt;br /&gt;&amp;diams; SACCHARIN CALCIUM&lt;br /&gt;&amp;diams; CALCIUM SACCHARIN HYDRATE&lt;br /&gt;&amp;diams; CALCIUM 1,2-BENZISOTHIAZOLIN-3-ONE 1,1-DIOXIDE HYDRATE&lt;br /&gt;&amp;diams; 1,2-BENZISOTHIAZOL-3(2H)-ONE, 1,1-DIOXIDE, CALCIUM SALT, HYDRATE (4:7)&lt;br /&gt;&amp;diams; BENZOIC ACID SULFIMIDE, CALCIUM&lt;br /&gt;&amp;diams; SACCHARIN, CALCIUM SALT</t>
  </si>
  <si>
    <t xml:space="preserve"> 128-44-9</t>
  </si>
  <si>
    <t xml:space="preserve"> SACCHARIN, SODIUM SALT</t>
  </si>
  <si>
    <t xml:space="preserve"> &amp;diams; SODIUM SACCHARIN&lt;br /&gt;&amp;diams; SACCHARIN SODIUM, ANHYDROUS&lt;br /&gt;&amp;diams; SODIUM O-BENZOSULFIMIDE&lt;br /&gt;&amp;diams; 1,2-BENZISOTHIAZOL-3(2H)-ONE, 1,1-DIOXIDE, SODIUM SALT&lt;br /&gt;&amp;diams; 1,2-BENZISOTHIAZOLIN-3-ONE, 1,1-DIOXIDE, SODIUM SALT&lt;br /&gt;&amp;diams; SODIUM 1,2-BENZISOTHIAZOLIN-3-ONE 1,1-DIOXIDE&lt;br /&gt;&amp;diams; SODIUM 1,2-BENZISOTHIAZOL-3(2H)-ONE 1,1-DIOXIDE&lt;br /&gt;&amp;diams; SODIUM SACCHARIN, ANHYDROUS&lt;br /&gt;&amp;diams; SACCHARIN SODIUM&lt;br /&gt;&amp;diams; BENZOIC ACID SULFIMIDE, SODIUM&lt;br /&gt;&amp;diams; SACCHARIN, SODIUM SALT&lt;br /&gt;&amp;diams; SACCHARIN, SODIUM SALT (C7H5NO3S.XNA)</t>
  </si>
  <si>
    <t xml:space="preserve"> ANTIMICROBIAL AGENT,&lt;br /&gt; FLAVOR ENHANCER,&lt;br /&gt; FLAVORING AGENT OR ADJUVANT,&lt;br /&gt; NON-NUTRITIVE SWEETENER,&lt;br /&gt; SOLVENT OR VEHICLE</t>
  </si>
  <si>
    <t xml:space="preserve"> 977127-84-6</t>
  </si>
  <si>
    <t xml:space="preserve"> SODIUM ACETATE</t>
  </si>
  <si>
    <t xml:space="preserve"> &amp;diams; SODIUM ACETATE, ANHYDROUS OR TRIHYDRATE</t>
  </si>
  <si>
    <t xml:space="preserve"> 532-32-1</t>
  </si>
  <si>
    <t xml:space="preserve"> SODIUM BENZOATE</t>
  </si>
  <si>
    <t xml:space="preserve"> &amp;diams; SODIUM BENZOATE&lt;br /&gt;&amp;diams; BENZOIC ACID, SODIUM SALT</t>
  </si>
  <si>
    <t xml:space="preserve"> ANTIMICROBIAL AGENT,&lt;br /&gt; ANTIOXIDANT,&lt;br /&gt; COLOR OR COLORING ADJUNCT,&lt;br /&gt; FLAVOR ENHANCER,&lt;br /&gt; FLAVORING AGENT OR ADJUVANT,&lt;br /&gt; FUMIGANT,&lt;br /&gt; PH CONTROL AGENT,&lt;br /&gt; SURFACE-ACTIVE AGENT</t>
  </si>
  <si>
    <t xml:space="preserve"> 7558-79-4</t>
  </si>
  <si>
    <t xml:space="preserve"> SODIUM PHOSPHATE, DIBASIC</t>
  </si>
  <si>
    <t xml:space="preserve"> &amp;diams; SODIUM PHOSPHATE, DIBASIC&lt;br /&gt;&amp;diams; DISODIUM PHOSPHATE, ANHYDROUS&lt;br /&gt;&amp;diams; DISODIUM PHOSPHATE&lt;br /&gt;&amp;diams; DISODIUM ORTHOPHOSPHATE&lt;br /&gt;&amp;diams; DISODIUM HYDROGEN PHOSPHATE, ANHYDROUS&lt;br /&gt;&amp;diams; DISODIUM HYDROGEN PHOSPHATE&lt;br /&gt;&amp;diams; PHOSPHORIC ACID, DISODIUM SALT&lt;br /&gt;&amp;diams; SODIUM ACID PHOSPHATE, ANHYDROUS&lt;br /&gt;&amp;diams; SODIUM PHOSPHATE, EXSICCATED</t>
  </si>
  <si>
    <t xml:space="preserve"> ANTICAKING AGENT OR FREE-FLOW AGENT,&lt;br /&gt; ANTIMICROBIAL AGENT,&lt;br /&gt; DRYING AGENT,&lt;br /&gt; EMULSIFIER OR EMULSIFIER SALT,&lt;br /&gt; FLAVOR ENHANCER,&lt;br /&gt; FLAVORING AGENT OR ADJUVANT,&lt;br /&gt; MALTING OR FERMENTING AID,&lt;br /&gt; PH CONTROL AGENT,&lt;br /&gt; STABILIZER OR THICKENER,&lt;br /&gt; TEXTURIZER</t>
  </si>
  <si>
    <t xml:space="preserve"> 133.169 ,  133.173 ,  133.179 ,  135.110 ,  137.305 ,  139.110</t>
  </si>
  <si>
    <t xml:space="preserve"> 7558-80-7</t>
  </si>
  <si>
    <t xml:space="preserve"> SODIUM PHOSPHATE, MONOBASIC</t>
  </si>
  <si>
    <t xml:space="preserve"> &amp;diams; SODIUM PHOSPHATE, MONOBASIC&lt;br /&gt;&amp;diams; MONOSODIUM PHOSPHATE&lt;br /&gt;&amp;diams; MONOSODIUM PHOSPHATE, ANHYDROUS&lt;br /&gt;&amp;diams; MONOSODIUM ORTHOPHOSPHATE&lt;br /&gt;&amp;diams; MONOSODIUM DIHYDROGEN PHOSPHATE&lt;br /&gt;&amp;diams; MONOSODIUM MONOPHOSPHATE&lt;br /&gt;&amp;diams; PHOSPHORIC ACID, MONOSODIUM SALT&lt;br /&gt;&amp;diams; SODIUM DIHYDROGEN PHOSPHATE, ANHYDROUS&lt;br /&gt;&amp;diams; SODIUM BIPHOSPHATE&lt;br /&gt;&amp;diams; SODIUM DIHYDROGEN PHOSPHATE&lt;br /&gt;&amp;diams; SODIUM ACID PHOSPHATE&lt;br /&gt;&amp;diams; SODIUM PHOSPHATE (NAH2PO4)</t>
  </si>
  <si>
    <t xml:space="preserve"> ANTICAKING AGENT OR FREE-FLOW AGENT,&lt;br /&gt; ANTIMICROBIAL AGENT,&lt;br /&gt; DRYING AGENT,&lt;br /&gt; EMULSIFIER OR EMULSIFIER SALT,&lt;br /&gt; FLAVOR ENHANCER,&lt;br /&gt; FLAVORING AGENT OR ADJUVANT,&lt;br /&gt; HUMECTANT,&lt;br /&gt; LEAVENING AGENT,&lt;br /&gt; PH CONTROL AGENT</t>
  </si>
  <si>
    <t xml:space="preserve"> 133.169 ,  133.173 ,  133.179 ,  160.110</t>
  </si>
  <si>
    <t xml:space="preserve"> 7601-54-9</t>
  </si>
  <si>
    <t xml:space="preserve"> SODIUM PHOSPHATE, TRIBASIC</t>
  </si>
  <si>
    <t xml:space="preserve"> &amp;diams; SODIUM PHOSPHATE, TRIBASIC&lt;br /&gt;&amp;diams; PHOSPHORIC ACID, TRISODIUM SALT&lt;br /&gt;&amp;diams; SODIUM ORTHOPHOSPHATE&lt;br /&gt;&amp;diams; SODIUM PHOSPHATE (NA3PO4)&lt;br /&gt;&amp;diams; SODIUM ORTHOPHOSPHATE, TRIBASIC&lt;br /&gt;&amp;diams; TRISODIUM ORTHOPHOSPHATE</t>
  </si>
  <si>
    <t xml:space="preserve"> ANTICAKING AGENT OR FREE-FLOW AGENT,&lt;br /&gt; DRYING AGENT,&lt;br /&gt; EMULSIFIER OR EMULSIFIER SALT,&lt;br /&gt; FORMULATION AID,&lt;br /&gt; HUMECTANT,&lt;br /&gt; NUTRIENT SUPPLEMENT,&lt;br /&gt; PH CONTROL AGENT,&lt;br /&gt; SEQUESTRANT</t>
  </si>
  <si>
    <t xml:space="preserve"> 304-59-6</t>
  </si>
  <si>
    <t xml:space="preserve"> SODIUM POTASSIUM TARTRATE</t>
  </si>
  <si>
    <t xml:space="preserve"> &amp;diams; POTASSIUM SODIUM TARTRATE&lt;br /&gt;&amp;diams; BUTANEDIOIC ACID, 2,3-DIHYDROXY- (R-(R*,R*))-, MONOPOTASSIUM MONOSODIUM SALT&lt;br /&gt;&amp;diams; MONOPOTASSIUM MONOSODIUM 2,3-DIHYDROXYBUTANEDIOATE, (R-(R*,R*))-&lt;br /&gt;&amp;diams; MONOPOTASSIUM MONOSODIUM TARTRATE&lt;br /&gt;&amp;diams; POTASSIUM SODIUM L(+)-TARTRATE&lt;br /&gt;&amp;diams; SODIUM POTASSIUM TARTRATE&lt;br /&gt;&amp;diams; TARTARIC ACID, MONOPOTASSIUM MONOSODIUM SALT&lt;br /&gt;&amp;diams; SODIUM POTASSIUM L-TARTRATE</t>
  </si>
  <si>
    <t xml:space="preserve"> EMULSIFIER OR EMULSIFIER SALT,&lt;br /&gt; PH CONTROL AGENT,&lt;br /&gt; SEQUESTRANT</t>
  </si>
  <si>
    <t xml:space="preserve"> 137-40-6</t>
  </si>
  <si>
    <t xml:space="preserve"> SODIUM PROPIONATE</t>
  </si>
  <si>
    <t xml:space="preserve"> &amp;diams; SODIUM PROPIONATE&lt;br /&gt;&amp;diams; SODIUM PROPANOATE&lt;br /&gt;&amp;diams; PROPANOIC ACID, SODIUM SALT&lt;br /&gt;&amp;diams; PROPIONIC ACID, SODIUM SALT&lt;br /&gt;&amp;diams; PROPIONATE, SODIUM</t>
  </si>
  <si>
    <t xml:space="preserve"> 133.123 ,  133.124 ,  133.169 ,  133.173 ,  133.179</t>
  </si>
  <si>
    <t xml:space="preserve"> 7757-81-5</t>
  </si>
  <si>
    <t xml:space="preserve"> SODIUM SORBATE</t>
  </si>
  <si>
    <t xml:space="preserve"> &amp;diams; SODIUM SORBATE&lt;br /&gt;&amp;diams; 2,4-HEXADIENOIC ACID, SODIUM SALT, (E,E)-&lt;br /&gt;&amp;diams; SODIUM 2,4-HEXADIENOATE, (E,E)-&lt;br /&gt;&amp;diams; SORBIC ACID, SODIUM SALT</t>
  </si>
  <si>
    <t xml:space="preserve"> 133.118 ,  133.121 ,  133.123 ,  133.124 ,  133.169 ,  133.173 ,  133.179 ,  133.187 ,  133.188 ,  166.110</t>
  </si>
  <si>
    <t xml:space="preserve"> 868-18-8</t>
  </si>
  <si>
    <t xml:space="preserve"> SODIUM TARTRATE</t>
  </si>
  <si>
    <t xml:space="preserve"> &amp;diams; SODIUM TARTRATE&lt;br /&gt;&amp;diams; SODIUM L-TARTRATE&lt;br /&gt;&amp;diams; BUTANEDIOIC ACID, 2,3-DIHYDROXY- (R-(R*,R*))-, DISODIUM SALT&lt;br /&gt;&amp;diams; DISODIUM 2,3-DIHYDROXYBUTANEDIOATE, (R-(R*,R*))-&lt;br /&gt;&amp;diams; TARTARIC ACID, DISODIUM SALT&lt;br /&gt;&amp;diams; DISODIUM L-TARTRATE&lt;br /&gt;&amp;diams; SODIUM L(+)-TARTRATE</t>
  </si>
  <si>
    <t xml:space="preserve"> 110-44-1</t>
  </si>
  <si>
    <t xml:space="preserve"> SORBIC ACID</t>
  </si>
  <si>
    <t xml:space="preserve"> &amp;diams; SORBIC ACID&lt;br /&gt;&amp;diams; 2,4-HEXADIENOIC ACID, (2E,4E)-&lt;br /&gt;&amp;diams; 1,3-PENTADIENE-1-CARBOXYLIC ACID, (E,E)-&lt;br /&gt;&amp;diams; 2,4-HEXADIENOIC ACID, (E,E)-</t>
  </si>
  <si>
    <t xml:space="preserve"> 87-69-4</t>
  </si>
  <si>
    <t xml:space="preserve"> TARTARIC ACID, L</t>
  </si>
  <si>
    <t xml:space="preserve"> &amp;diams; TARTARIC ACID, L-&lt;br /&gt;&amp;diams; BUTANEDIOIC ACID, 2,3-DIHYDROXY-, (R-(R*,R*))-&lt;br /&gt;&amp;diams; 2,3-DIHYDROXYBUTANEDIOIC ACID, (R-(R*,R*))-&lt;br /&gt;&amp;diams; DEXTROTARTARIC ACID&lt;br /&gt;&amp;diams; ALPHA,BETA-DIHYDROXYSUCCINIC ACID, D-&lt;br /&gt;&amp;diams; TARTARIC ACID, L-(+)-</t>
  </si>
  <si>
    <t xml:space="preserve"> ANTICAKING AGENT OR FREE-FLOW AGENT,&lt;br /&gt; DRYING AGENT,&lt;br /&gt; FIRMING AGENT,&lt;br /&gt; FLAVOR ENHANCER,&lt;br /&gt; FLAVORING AGENT OR ADJUVANT,&lt;br /&gt; HUMECTANT,&lt;br /&gt; LEAVENING AGENT,&lt;br /&gt; PH CONTROL AGENT</t>
  </si>
  <si>
    <t xml:space="preserve"> 9000-65-1</t>
  </si>
  <si>
    <t xml:space="preserve"> TRAGACANTH, GUM (ASTRAGALUS SPP.)</t>
  </si>
  <si>
    <t xml:space="preserve"> &amp;diams; TRAGACANTH&lt;br /&gt;&amp;diams; GUM TRAGACANTH&lt;br /&gt;&amp;diams; ASTRAGALUS GUM</t>
  </si>
  <si>
    <t xml:space="preserve"> EMULSIFIER OR EMULSIFIER SALT,&lt;br /&gt; FLAVOR ENHANCER,&lt;br /&gt; FLAVORING AGENT OR ADJUVANT,&lt;br /&gt; PROCESSING AID,&lt;br /&gt; SOLVENT OR VEHICLE,&lt;br /&gt; STABILIZER OR THICKENER,&lt;br /&gt; SURFACE-FINISHING AGENT</t>
  </si>
  <si>
    <t xml:space="preserve"> 68-04-2</t>
  </si>
  <si>
    <t xml:space="preserve"> TRISODIUM CITRATE</t>
  </si>
  <si>
    <t xml:space="preserve"> &amp;diams; SODIUM CITRATE&lt;br /&gt;&amp;diams; TRISODIUM CITRATE, ANHYDROUS&lt;br /&gt;&amp;diams; TRISODIUM CITRATE&lt;br /&gt;&amp;diams; 1,2,3-PROPANETRICARBOXYLIC ACID, 2-HYDROXY-, TRISODIUM SALT&lt;br /&gt;&amp;diams; TRISODIUM 2-HYDROXY-1,2,3-PROPANETRICARBOXYLATE&lt;br /&gt;&amp;diams; CITRIC ACID, TRISODIUM SALT</t>
  </si>
  <si>
    <t xml:space="preserve"> COLOR OR COLORING ADJUNCT,&lt;br /&gt; EMULSIFIER OR EMULSIFIER SALT,&lt;br /&gt; FLAVORING AGENT OR ADJUVANT,&lt;br /&gt; MALTING OR FERMENTING AID,&lt;br /&gt; NUTRIENT SUPPLEMENT,&lt;br /&gt; PH CONTROL AGENT,&lt;br /&gt; SEQUESTRANT,&lt;br /&gt; STABILIZER OR THICKENER,&lt;br /&gt; SURFACE-ACTIVE AGENT</t>
  </si>
  <si>
    <t xml:space="preserve"> 131.111 ,  131.112 ,  131.160 ,  131.185 ,  133.169 ,  133.173 ,  133.179</t>
  </si>
  <si>
    <t xml:space="preserve"> 977157-28-0</t>
  </si>
  <si>
    <t xml:space="preserve"> ANNATTO, SEED (BIXA ORELLANA L.)</t>
  </si>
  <si>
    <t xml:space="preserve"> &amp;diams; ANNATTO (PLANT)&lt;br /&gt;&amp;diams; ANNATTO SEED&lt;br /&gt;&amp;diams; ANNOTTA&lt;br /&gt;&amp;diams; ANNOTTA SEED&lt;br /&gt;&amp;diams; ARNOTTA SEED&lt;br /&gt;&amp;diams; BIXA ORELLANA&lt;br /&gt;&amp;diams; SEED, ANNATTO&lt;br /&gt;&amp;diams; LIPSTICK TREE&lt;br /&gt;&amp;diams; ACHIOTE</t>
  </si>
  <si>
    <t xml:space="preserve"> 6358-53-8</t>
  </si>
  <si>
    <t xml:space="preserve"> CITRUS RED NO. 2</t>
  </si>
  <si>
    <t xml:space="preserve"> &amp;diams; CITRUS RED NO. 2&lt;br /&gt;&amp;diams; 1-(2,5-DIMETHOXYPHENYLAZO)-2-NAPHTHOL&lt;br /&gt;&amp;diams; C.I. 12156&lt;br /&gt;&amp;diams; C.I. SOLVENT RED 80&lt;br /&gt;&amp;diams; 2-NAPHTHALENOL, 1-((2,5-DIMETHOXYPHENYL)AZO)-&lt;br /&gt;&amp;diams; 2-NAPHTHOL, 1-(2,5-DIMETHOXYPHENYLAZO)-&lt;br /&gt;&amp;diams; 2,5-DIMETHOXYBENZENEAZO-BETA-NAPHTHOL&lt;br /&gt;&amp;diams; SOLVENT RED 80&lt;br /&gt;&amp;diams; 1-((2,5-DIMETHOXYPHENYL)AZO)-2-NAPHTHALENOL</t>
  </si>
  <si>
    <t xml:space="preserve"> 10222-01-2</t>
  </si>
  <si>
    <t xml:space="preserve"> 2,2-DIBROMO-3-NITRILOPROPIONAMIDE</t>
  </si>
  <si>
    <t xml:space="preserve"> &amp;diams; 2,2-DIBROMO-3-NITRILOPROPIONAMIDE&lt;br /&gt;&amp;diams; ACETAMIDE, 2,2-DIBROMO-2-CYANO-&lt;br /&gt;&amp;diams; DIBROMOCYANOACETAMIDE&lt;br /&gt;&amp;diams; 2,2-DIBROMO-2-CYANOACETAMIDE</t>
  </si>
  <si>
    <t xml:space="preserve"> 16521-38-3</t>
  </si>
  <si>
    <t xml:space="preserve"> FD&amp;C BLUE NO. 2, ALUMINUM LAKE</t>
  </si>
  <si>
    <t xml:space="preserve"> &amp;diams; FD&amp;C BLUE NO. 2-ALUMINUM LAKE&lt;br /&gt;&amp;diams; (DELTA2,2-BIINDOLINE)-5,5'-DISULFONIC ACID, 3,3'-DIOXO-, ALUMINUM SALT&lt;br /&gt;&amp;diams; ALUMINUM 3,3'-DIOXO-(DELTA2,2-BIINDOLINE)-5,5'DISULFONATE&lt;br /&gt;&amp;diams; ACID BLUE 74-ALUMINUM LAKE&lt;br /&gt;&amp;diams; C.I. PIGMENT BLUE 63&lt;br /&gt;&amp;diams; CERTOLAKE INDIGO CARMINE&lt;br /&gt;&amp;diams; C.I. 73015-ALUMINUM LAKE&lt;br /&gt;&amp;diams; C.I. FOOD BLUE 1-ALUMINUM LAKE&lt;br /&gt;&amp;diams; FOOD BLUE NO. 2-ALUMINUM LAKE&lt;br /&gt;&amp;diams; C.I. ACID BLUE 74-ALUMINUM LAKE&lt;br /&gt;&amp;diams; INDIGOTINE-ALUMINUM LAKE&lt;br /&gt;&amp;diams; INDIGO CARMINE-ALUMINUM LAKE&lt;br /&gt;&amp;diams; PIGMENT BLUE 63</t>
  </si>
  <si>
    <t xml:space="preserve"> 111-66-0</t>
  </si>
  <si>
    <t xml:space="preserve"> 1-OCTENE</t>
  </si>
  <si>
    <t xml:space="preserve"> &amp;diams; 1-OCTENE&lt;br /&gt;&amp;diams; CAPRYLENE&lt;br /&gt;&amp;diams; alpha-octene</t>
  </si>
  <si>
    <t xml:space="preserve"> 27029-57-8</t>
  </si>
  <si>
    <t xml:space="preserve"> POLY(ALKYL(C16-22)ACRYLATE)</t>
  </si>
  <si>
    <t xml:space="preserve"> &amp;diams; POLY(ARACHIDYL ACRYLATE-CO-BEHENYL ACRYLATE-CO-STEARYL ACRYLATE)&lt;br /&gt;&amp;diams; POLY(ALKYL(C16-22) ACRYLATE)&lt;br /&gt;&amp;diams; POLY(DOCOSYL 2-PROPENOATE-CO-EICOSYL 2-PROPENOATE-CO-OCTADECYL ACRYLATE)&lt;br /&gt;&amp;diams; POLY(1-DOCOSANYL ACRYLATE-CO-EICOSYL ACRYLATE-CO-OCTADECYL ACRYLATE)&lt;br /&gt;&amp;diams; 2-PROPENOIC ACID, DOCOSYL ESTER, POLYMER WITH EICOSYL 2-PROPENOATE AND OCTADECYL 2-PROPENOATE&lt;br /&gt;&amp;diams; 1-DOCOSANOL, ACRYLATE, POLYMER WITH EICOSYL ACRYLATE AND OCTADECYL ACRYLATE</t>
  </si>
  <si>
    <t xml:space="preserve"> 977051-75-4</t>
  </si>
  <si>
    <t xml:space="preserve"> POLYETHYLENE GLYCOL (400) DIOLEATE</t>
  </si>
  <si>
    <t xml:space="preserve"> &amp;diams; PEG-8 DIOLEATE&lt;br /&gt;&amp;diams; POLYETHYLENE GLYCOL 400 DIOLEATE</t>
  </si>
  <si>
    <t xml:space="preserve"> 977137-78-2</t>
  </si>
  <si>
    <t xml:space="preserve"> POLYOXYETHYLENE (600) MONORICINOLEATE</t>
  </si>
  <si>
    <t xml:space="preserve"> &amp;diams; PEG-12 RICINOLEATE&lt;br /&gt;&amp;diams; PEG-12 MONORICINOLEATE&lt;br /&gt;&amp;diams; POLYETHYLENE GLYCOL 600 MONORICINOLEATE&lt;br /&gt;&amp;diams; POLYOXYETHYLENE 600 MONORICINOLEATE</t>
  </si>
  <si>
    <t xml:space="preserve"> 126-92-1</t>
  </si>
  <si>
    <t xml:space="preserve"> SODIUM 2-ETHYLHEXYL SULFATE</t>
  </si>
  <si>
    <t xml:space="preserve"> &amp;diams; SODIUM ETHASULFATE&lt;br /&gt;&amp;diams; SODIUM 2-ETHYLHEXYL SULFATE&lt;br /&gt;&amp;diams; 2-ETHYLHEXYL SODIUM SULFATE&lt;br /&gt;&amp;diams; SULFURIC ACID, MONO(2-ETHYLHEXYL) ESTER, SODIUM SALT&lt;br /&gt;&amp;diams; SODIUM MONO(2-ETHYLHEXYL) SULFATE&lt;br /&gt;&amp;diams; SODIUM ETHYLHEXYL SULFATE</t>
  </si>
  <si>
    <t xml:space="preserve"> 6184-17-4</t>
  </si>
  <si>
    <t xml:space="preserve"> SODIUM RIBOFLAVIN 5'-PHOSPHATE DIHYDRATE</t>
  </si>
  <si>
    <t xml:space="preserve"> &amp;diams; monosodium riboflavin 5'-(dihydrogen phosphate) dihydrate&lt;/br &gt;&amp;diams; monosodium riboflavine 5'-(dihydrogen phosphate) dihydrate&lt;/br &gt;&amp;diams; riboflavin 5'-(dihydrogen phosphate), monosodium salt, dihydrate&lt;/br &gt;&amp;diams; riboflavine 5'-(dihydrogen phosphate), monosodium salt, dihydrate&lt;/br &gt;&amp;diams; vitamin B2 phosphate (sodium salt) dihydrate</t>
  </si>
  <si>
    <t xml:space="preserve"> 67028-40-4</t>
  </si>
  <si>
    <t xml:space="preserve"> ETHYL (P-TOLYLOXY)ACETATE</t>
  </si>
  <si>
    <t xml:space="preserve"> &amp;diams; ETHYL (P-TOLYLOXY)ACETATE&lt;br /&gt;&amp;diams; ACETIC ACID, (4-METHYLPHENOXY)-, ETHYL ESTER&lt;br /&gt;&amp;diams; ACETIC ACID, P-TOLYLOXY-, ETHYL ESTER&lt;br /&gt;&amp;diams; ETHYL P-CRESOXYACETATE&lt;br /&gt;&amp;diams; ETHYL (4-METHYLPHENOXY)ACETATE&lt;br /&gt;&amp;diams; ETHYL P-TOLYLOXYACETATE_x000D_
</t>
  </si>
  <si>
    <t xml:space="preserve"> 67-03-8</t>
  </si>
  <si>
    <t xml:space="preserve"> THIAMINE HYDROCHLORIDE</t>
  </si>
  <si>
    <t xml:space="preserve"> &amp;diams; THIAMINE HYDROCHLORIDE&lt;br /&gt;&amp;diams; ANEURINE HYDROCHLORIDE&lt;br /&gt;&amp;diams; THIAMINE CHLORIDE&lt;br /&gt;&amp;diams; THIAMINE CHLORIDE HYDROCHLORIDE&lt;br /&gt;&amp;diams; THIAMINE DICHLORIDE&lt;br /&gt;&amp;diams; THIAMINE, MONOHYDROCHLORIDE&lt;br /&gt;&amp;diams; THIAZOLIUM, 3-((4-AMINO-2-METHYL-5-PYRIMIDINYL)METHYL)-5-(2-HYDROXYETHYL)-4-METHYL- CHLORIDE, MONOHYDROCHLORIDE&lt;br /&gt;&amp;diams; VITAMIN B1 HYDROCHLORIDE&lt;br /&gt;&amp;diams; 3-((4-AMINO-2-METHYL-5-PYRIMIDINYL)METHYL)-5-(2-HYDROXYETHYL)-4-METHYLTHIAZOLIUM CHLORIDE MONOHYDROCHLORIDE</t>
  </si>
  <si>
    <t xml:space="preserve"> 68113-55-3</t>
  </si>
  <si>
    <t xml:space="preserve"> 1-HYDROXY-4-METHYL-2-PENTANONE</t>
  </si>
  <si>
    <t xml:space="preserve"> &amp;diams; 1-HYDROXY-4-METHYL-2-PENTANONE&lt;br /&gt;&amp;diams; 2-pentanone, 1-hydroxy-4-methyl-</t>
  </si>
  <si>
    <t xml:space="preserve"> 471-34-1</t>
  </si>
  <si>
    <t xml:space="preserve"> CALCIUM CARBONATE</t>
  </si>
  <si>
    <t xml:space="preserve"> &amp;diams; CALCIUM CARBONATE&lt;br /&gt;&amp;diams; CALCIUM CARBONATE, PRECIPITATED&lt;br /&gt;&amp;diams; PRECIPITATED CHALK&lt;br /&gt;&amp;diams; CARBONIC ACID CALCIUM SALT (1:1)&lt;br /&gt;&amp;diams; C.I. 77220&lt;br /&gt;&amp;diams; C.I. PIGMENT WHITE 18&lt;br /&gt;&amp;diams; PIGMENT WHITE 18</t>
  </si>
  <si>
    <t xml:space="preserve"> ANTICAKING AGENT OR FREE-FLOW AGENT,&lt;br /&gt; COLOR OR COLORING ADJUNCT,&lt;br /&gt; DRYING AGENT,&lt;br /&gt; FORMULATION AID,&lt;br /&gt; HUMECTANT,&lt;br /&gt; LEAVENING AGENT,&lt;br /&gt; LUBRICANT OR RELEASE AGENT,&lt;br /&gt; MASTICATORY SUBSTANCE,&lt;br /&gt; NUTRIENT SUPPLEMENT,&lt;br /&gt; PH CONTROL AGENT,&lt;br /&gt; PROCESSING AID</t>
  </si>
  <si>
    <t xml:space="preserve"> 137.105 ,  137.185, 137.350</t>
  </si>
  <si>
    <t xml:space="preserve"> 124-38-9</t>
  </si>
  <si>
    <t xml:space="preserve"> CARBON DIOXIDE</t>
  </si>
  <si>
    <t xml:space="preserve"> &amp;diams; CARBON DIOXIDE&lt;br /&gt;&amp;diams; CARBONIC ACID GAS&lt;br /&gt;&amp;diams; CARBONIC ANHYDRIDE&lt;br /&gt;&amp;diams; InChI=1S/CO2/c2-1-3&lt;br /&gt;&amp;diams; InChIKey: CURLTUGMZLYLDI-UHFFFAOYSA-N</t>
  </si>
  <si>
    <t xml:space="preserve"> ANTIMICROBIAL AGENT,&lt;br /&gt; ANTIOXIDANT,&lt;br /&gt; FLAVOR ENHANCER,&lt;br /&gt; FLAVORING AGENT OR ADJUVANT,&lt;br /&gt; FORMULATION AID,&lt;br /&gt; FREEZING OR COOLING AGENT,&lt;br /&gt; DIRECT CONTACT,&lt;br /&gt; PH CONTROL AGENT,&lt;br /&gt; PROCESSING AID,&lt;br /&gt; PROPELLANT,&lt;br /&gt; SOLVENT</t>
  </si>
  <si>
    <t xml:space="preserve"> 165.110 , 169.140 ,  169.150</t>
  </si>
  <si>
    <t xml:space="preserve"> 77-92-9</t>
  </si>
  <si>
    <t xml:space="preserve"> CITRIC ACID</t>
  </si>
  <si>
    <t xml:space="preserve"> &amp;diams; CITRIC ACID&lt;br /&gt;&amp;diams; CITRIC ACID, ANHYDROUS&lt;br /&gt;&amp;diams; 2-HYDROXY-1,2,3-PROPANETRICARBOXYLIC ACID&lt;br /&gt;&amp;diams; BETA-HYDROXYTRICARBALLYLIC ACID&lt;br /&gt;&amp;diams; 1,2,3-PROPANETRICARBOXYLIC ACID, 2-HYDROXY-&lt;br /&gt;&amp;diams; ACIDE CITRIQUE</t>
  </si>
  <si>
    <t xml:space="preserve"> ANTIMICROBIAL AGENT,&lt;br /&gt; ANTIOXIDANT,&lt;br /&gt; ENZYME,&lt;br /&gt; FLAVOR ENHANCER,&lt;br /&gt; FLAVORING AGENT OR ADJUVANT,&lt;br /&gt; LEAVENING AGENT,&lt;br /&gt; PH CONTROL AGENT,&lt;br /&gt; SEQUESTRANT,&lt;br /&gt; SOLVENT OR VEHICLE,&lt;br /&gt; SURFACE-ACTIVE AGENT</t>
  </si>
  <si>
    <t xml:space="preserve"> 131.111,  131.112,  133.123,  133.124,  133.129,  133.169, 133.173,  133.178,  133.179,  145.134,  145.145,  146.187,  155.130,  161.190,  163.110,  163.111,  163.112,  169.140,  169.150</t>
  </si>
  <si>
    <t xml:space="preserve"> 577-11-7</t>
  </si>
  <si>
    <t xml:space="preserve"> DIOCTYL SODIUM SULFOSUCCINATE</t>
  </si>
  <si>
    <t xml:space="preserve"> &amp;diams; DOCUSATE SODIUM&lt;br /&gt;&amp;diams; SODIUM DIOCTYL SULFOSUCCINATE, ISO&lt;br /&gt;&amp;diams; SODIUM BIS(2-ETHYLHEXYL) SULFOSUCCINATE&lt;br /&gt;&amp;diams; SODIUM DI(2-ETHYLHEXYL) SULFOSUCCINATE&lt;br /&gt;&amp;diams; BUTANEDIOIC ACID, SULFO-, 1,4-BIS(2-ETHYLHEXYL) ESTER, SODIUM SALT&lt;br /&gt;&amp;diams; SUCCINIC ACID, SULFO-, 1,4-BIS(2-ETHYLHEXYL) ESTER, SODIUM SALT&lt;br /&gt;&amp;diams; SODIUM 1,4-BIS(2-ETHYLHEXYL) SULFOBUTANEDIOATE&lt;br /&gt;&amp;diams; SODIUM 1,4-BIS(2-ETHYLHEXYL) SULFOSUCCINATE&lt;br /&gt;&amp;diams; DIOCTYL SODIUM SULFOSUCCINATE, ISO&lt;br /&gt;&amp;diams; DSS&lt;br /&gt;&amp;diams; SODIUM DOCUSATE&lt;br /&gt;&amp;diams; SODIUM DIOCTYL SULFOSUCCINATE&lt;br /&gt;&amp;diams; DIETHYLHEXYL SODIUM SULFOSUCCINATE</t>
  </si>
  <si>
    <t xml:space="preserve"> EMULSIFIER OR EMULSIFIER SALT,&lt;br /&gt; PROCESSING AID,&lt;br /&gt; STABILIZER OR THICKENER,&lt;br /&gt; SURFACE-ACTIVE AGENT</t>
  </si>
  <si>
    <t xml:space="preserve"> 131.130 , 131.132 , 133.124 , 133.133 , 133.134 , 133.162 , 133.178 , 133.179 , 163.117 ,  169.150</t>
  </si>
  <si>
    <t xml:space="preserve"> 62-33-9</t>
  </si>
  <si>
    <t xml:space="preserve"> EDTA, CALCIUM DISODIUM</t>
  </si>
  <si>
    <t xml:space="preserve"> &amp;diams; CALCIUM DISODIUM ETHYLENEDIAMINETETRAACETATE&lt;br /&gt;&amp;diams; CALCIUM DISODIUM EDTA&lt;br /&gt;&amp;diams; CALCIUM DISODIUM EDATHAMIL&lt;br /&gt;&amp;diams; DISODIUM CALCIUM EDTA&lt;br /&gt;&amp;diams; CALCIUM DISODIUM EDETATE&lt;br /&gt;&amp;diams; CALCIATE(2-), ((N,N'-1,2-ETHANEDIYLBIS(N-(CARBOXYMETHYL)GLYCINATO))(4-)-N,N',O,O',ON,ON'), DISODIUM, (OC-6-21)-&lt;br /&gt;&amp;diams; CALCIATE(2-), ((ETHYLENEDINITRILO)TETRAACETATO)-, DISODIUM&lt;br /&gt;&amp;diams; DISODIUM ((ETHYLENEDINITRILO)TETRAACETATO)CALCIATE&lt;br /&gt;&amp;diams; EDETATE CALCIUM DISODIUM&lt;br /&gt;&amp;diams; CALCIUM DISODIUM (ETHYLENEDINITRILO)TETRAACETATE&lt;br /&gt;&amp;diams; EDTA CALCIUM DISODIUM SALT&lt;br /&gt;&amp;diams; EDTA DISODIUM CALCIUM SALT</t>
  </si>
  <si>
    <t xml:space="preserve"> ANTIOXIDANT,&lt;br /&gt; COLOR OR COLORING ADJUNCT,&lt;br /&gt; FLAVOR ENHANCER,&lt;br /&gt; FUMIGANT,&lt;br /&gt; SEQUESTRANT</t>
  </si>
  <si>
    <t xml:space="preserve"> 155.200 , 155.201 , 161.173 , 166.110 , 169.140 , 169.150</t>
  </si>
  <si>
    <t xml:space="preserve"> 139-33-3</t>
  </si>
  <si>
    <t xml:space="preserve"> EDTA, DISODIUM</t>
  </si>
  <si>
    <t xml:space="preserve"> &amp;diams; DISODIUM ETHYLENEDIAMINETETRAACETATE&lt;br /&gt;&amp;diams; ACETIC ACID, (ETHYLENEDINITRILO)TETRA-, DISODIUM SALT&lt;br /&gt;&amp;diams; DISODIUM EDETATE&lt;br /&gt;&amp;diams; EDTA DISODIUM SALT&lt;br /&gt;&amp;diams; DISODIUM EDTA, ANHYDROUS&lt;br /&gt;&amp;diams; EDETATE DISODIUM&lt;br /&gt;&amp;diams; DISODIUM (ETHYLENEDINITRILO)TETRAACETATE&lt;br /&gt;&amp;diams; DISODIUM N,N'-1,2-ETHANEDIYLBIS(N-(CARBOXYMETHYL))GLYCINE&lt;br /&gt;&amp;diams; GLYCINE, N,N'-1,2-ETHANEDIYLBIS(N-(CARBOXYMETHYL)-, DISODIUM SALT</t>
  </si>
  <si>
    <t xml:space="preserve"> 155.200 ,  169.140 ,  169.150</t>
  </si>
  <si>
    <t xml:space="preserve"> 8002-43-5</t>
  </si>
  <si>
    <t xml:space="preserve"> LECITHIN</t>
  </si>
  <si>
    <t xml:space="preserve"> &amp;diams; LECITHIN&lt;br /&gt;&amp;diams; LECITHINS</t>
  </si>
  <si>
    <t xml:space="preserve"> ANTICAKING AGENT OR FREE-FLOW AGENT,&lt;br /&gt; ANTIOXIDANT,&lt;br /&gt; DRYING AGENT,&lt;br /&gt; EMULSIFIER OR EMULSIFIER SALT,&lt;br /&gt; HUMECTANT,&lt;br /&gt; LUBRICANT OR RELEASE AGENT,&lt;br /&gt; MASTICATORY SUBSTANCE,&lt;br /&gt; NUTRIENT SUPPLEMENT,&lt;br /&gt; SURFACE-ACTIVE AGENT,&lt;br /&gt; TEXTURIZER</t>
  </si>
  <si>
    <t xml:space="preserve"> 133.169 , 133.173 , 133.179 , 136.110 , 169.140 , 169.150</t>
  </si>
  <si>
    <t xml:space="preserve"> 68916-88-1</t>
  </si>
  <si>
    <t xml:space="preserve"> LEMON, JUICE</t>
  </si>
  <si>
    <t xml:space="preserve"> &amp;diams; LEMON JUICE&lt;br /&gt;&amp;diams; JUICE, LEMON&lt;br /&gt;&amp;diams; OILS, LEMON, PECTIN-FREE&lt;br /&gt;&amp;diams; LEMON OIL, PECTIN FREE</t>
  </si>
  <si>
    <t xml:space="preserve"> 145.115 , 145.125 , 145.130 ,  145.134 , 145.135 , 145.140 ,  145.145 , 145.170 , 145.175 , 145.185 , 145.190 , 146.114 , 146.120 , 146.187, 155.120 , 155.130 , 155.170 ,  155.191 , 155.194 , 155.200 ,  169.140, 169.150</t>
  </si>
  <si>
    <t xml:space="preserve"> 977026-98-4</t>
  </si>
  <si>
    <t xml:space="preserve"> LIME, JUICE</t>
  </si>
  <si>
    <t xml:space="preserve"> &amp;diams; LIME JUICE&lt;br /&gt;&amp;diams; JUICE, LIME</t>
  </si>
  <si>
    <t xml:space="preserve"> 146.187 ,  169.140 , 169.150</t>
  </si>
  <si>
    <t xml:space="preserve"> 97-67-6</t>
  </si>
  <si>
    <t xml:space="preserve"> L-MALIC ACID</t>
  </si>
  <si>
    <t xml:space="preserve"> &amp;diams; MALIC ACID, L-&lt;br /&gt;&amp;diams; APPLE ACID&lt;br /&gt;&amp;diams; HYDROXYSUCCINIC ACID, (-)-&lt;br /&gt;&amp;diams; 2-HYDROXYBUTANEDIOIC ACID, (S)-&lt;br /&gt;&amp;diams; BUTANEDIOIC ACID, HYDROXY-, (S)-&lt;br /&gt;&amp;diams; HYDROXYBUTANEDIOIC ACID, (S)-</t>
  </si>
  <si>
    <t xml:space="preserve"> ANTIMICROBIAL AGENT,&lt;br /&gt; FLAVOR ENHANCER,&lt;br /&gt; FLAVORING AGENT OR ADJUVANT,&lt;br /&gt; PH CONTROL AGENT,&lt;br /&gt; SYNERGIST</t>
  </si>
  <si>
    <t xml:space="preserve"> 169.140 ,  169.150</t>
  </si>
  <si>
    <t xml:space="preserve"> 142-47-2</t>
  </si>
  <si>
    <t xml:space="preserve"> MONOSODIUM GLUTAMATE</t>
  </si>
  <si>
    <t xml:space="preserve"> &amp;diams; MONOSODIUM GLUTAMATE&lt;br /&gt;&amp;diams; MSG&lt;br /&gt;&amp;diams; MONOSODIUM L-GLUTAMATE&lt;br /&gt;&amp;diams; GLUTAMATE DE SODIUM&lt;br /&gt;&amp;diams; L-GLUTAMIC ACID, MONOSODIUM SALT&lt;br /&gt;&amp;diams; GLUTAMIC ACID, MONOSODIUM SALT, L-&lt;br /&gt;&amp;diams; GLUTAMIC ACID, L-, SODIUM SALT&lt;br /&gt;&amp;diams; SODIUM L-GLUTAMATE&lt;br /&gt;&amp;diams; MONOSODIUM GLUTAMATE, L-</t>
  </si>
  <si>
    <t xml:space="preserve"> FLAVOR ENHANCER,&lt;br /&gt; NUTRIENT SUPPLEMENT,&lt;br /&gt; PH CONTROL AGENT,&lt;br /&gt; STABILIZER OR THICKENER</t>
  </si>
  <si>
    <t xml:space="preserve"> 101.22 , 155.120 , 155.130 , 155.170 , 155.200 , 155.201 , 158.170 , 161.190 ,  169.140 , 169.150</t>
  </si>
  <si>
    <t xml:space="preserve"> 7727-37-9</t>
  </si>
  <si>
    <t xml:space="preserve"> NITROGEN</t>
  </si>
  <si>
    <t xml:space="preserve"> &amp;diams; NITROGEN</t>
  </si>
  <si>
    <t xml:space="preserve"> ANTIOXIDANT,&lt;br /&gt; FORMULATION AID,&lt;br /&gt; PROPELLANT</t>
  </si>
  <si>
    <t xml:space="preserve"> 169.140 , 169.150</t>
  </si>
  <si>
    <t xml:space="preserve"> 8028-45-3</t>
  </si>
  <si>
    <t xml:space="preserve"> OXYSTEARIN</t>
  </si>
  <si>
    <t xml:space="preserve"> &amp;diams; OXYSTEARIN&lt;br /&gt;&amp;diams; GLYCERIDES, OXIDIZED&lt;br /&gt;&amp;diams; OXIDIZED GLYCERIDE</t>
  </si>
  <si>
    <t xml:space="preserve"> PROCESSING AID,&lt;br /&gt; SEQUESTRANT,&lt;br /&gt; SURFACE-ACTIVE AGENT,&lt;br /&gt; SURFACE-FINISHING AGENT</t>
  </si>
  <si>
    <t xml:space="preserve"> 977050-69-3</t>
  </si>
  <si>
    <t xml:space="preserve"> POLYGLYCEROL ESTERS OF FATTY ACIDS</t>
  </si>
  <si>
    <t xml:space="preserve"> &amp;diams; FATTY ACIDS, POLYGLYCEROL ESTERS&lt;br /&gt;&amp;diams; POLYGLYCEROL ESTERS OF FATTY ACIDS</t>
  </si>
  <si>
    <t xml:space="preserve"> EMULSIFIER OR EMULSIFIER SALT,&lt;br /&gt; SOLVENT OR VEHICLE,&lt;br /&gt; STABILIZER OR THICKENER,&lt;br /&gt; SURFACE-ACTIVE AGENT</t>
  </si>
  <si>
    <t xml:space="preserve"> 7647-14-5</t>
  </si>
  <si>
    <t xml:space="preserve"> SODIUM CHLORIDE</t>
  </si>
  <si>
    <t xml:space="preserve"> &amp;diams; SODIUM CHLORIDE&lt;br /&gt;&amp;diams; COMMON SALT&lt;br /&gt;&amp;diams; SALT (INGREDIENT)&lt;br /&gt;&amp;diams; CHLORURE DE SODIUM&lt;br /&gt;&amp;diams; SALT (NACL)</t>
  </si>
  <si>
    <t xml:space="preserve"> ANTICAKING AGENT OR FREE-FLOW AGENT,&lt;br /&gt; ANTIMICROBIAL AGENT,&lt;br /&gt; COLOR OR COLORING ADJUNCT,&lt;br /&gt; EMULSIFIER OR EMULSIFIER SALT,&lt;br /&gt; FIRMING AGENT,&lt;br /&gt; FLAVORING AGENT OR ADJUVANT,&lt;br /&gt; FORMULATION AID,&lt;br /&gt; NUTRIENT SUPPLEMENT,&lt;br /&gt; SOLVENT OR VEHICLE,&lt;br /&gt; STABILIZER OR THICKENER</t>
  </si>
  <si>
    <t xml:space="preserve"> 100.155, 101.22, 101.61, 131.111, 131.112, 131.160, 131.162, 131.170, 133.106, 133.113, 133.121, 133.123, 133.124, 133.127, 133.129, 133.133, 133.136, 133.138, 133.141, 133.147, 133.150, 133.153, 133.155, 133.156, 133.162, 133.165, 133.169, 133.173, 133.179, 133.181, 133.182, 133.183, 133.184, 133.186, 133.187, 133.188, 133.189, 133.190, 133.195, 136.110, 137.180, 139.110, 139.150, 145.110, 145.130, 150.110, 155.3, 155.120, 155.130, 155.190, 155.191, 155.194, 155.200, 155.201, 156.3, 156.145, 158.170, 161.130, 161.145, 161.170, 161.173, 161.190, 163.111, 163.112, 163.123, 163.130, 166.110, 168.130, 168.140, 168.160, 168.180, 169.140, 169.150</t>
  </si>
  <si>
    <t xml:space="preserve"> 50813-16-6</t>
  </si>
  <si>
    <t xml:space="preserve"> SODIUM METAPHOSPHATE</t>
  </si>
  <si>
    <t xml:space="preserve"> &amp;diams; SODIUM METAPHOSPHATE&lt;br /&gt;&amp;diams; SODIUM POLYPHOSPHATE&lt;br /&gt;&amp;diams; SODIUM POLYMETAPHOSPHATE&lt;br /&gt;&amp;diams; METAPHOSPHORIC ACID, SODIUM SALT&lt;br /&gt;&amp;diams; SODIUM METAPOLYPHOSPHATE</t>
  </si>
  <si>
    <t xml:space="preserve"> EMULSIFIER OR EMULSIFIER SALT,&lt;br /&gt; FLAVOR ENHANCER,&lt;br /&gt; FLAVORING AGENT OR ADJUVANT,&lt;br /&gt; PH CONTROL AGENT,&lt;br /&gt; SEQUESTRANT,&lt;br /&gt; STABILIZER OR THICKENER,&lt;br /&gt; SURFACE-ACTIVE AGENT,&lt;br /&gt; TEXTURIZER</t>
  </si>
  <si>
    <t xml:space="preserve"> vitamin D&lt;sub&gt;2&lt;/sub&gt; mushroom powder</t>
  </si>
  <si>
    <t xml:space="preserve"> &amp;diams; vitamin D2 mushroom powder</t>
  </si>
  <si>
    <t xml:space="preserve"> 1673586-07-6</t>
  </si>
  <si>
    <t xml:space="preserve"> soy leghemoglobin</t>
  </si>
  <si>
    <t xml:space="preserve"> &amp;diams; soy leghemoglobin&lt;br /&gt;&amp;diams; leghemoglobin (Glycine max gene LGB2)&lt;br /&gt;&amp;diams; leghemoglobin C2&lt;br /&gt;&amp;diams; soy leghemoglobin (gene LGB2)&lt;br /&gt;&amp;diams; soy leghemoglobin protein&lt;br /&gt;</t>
  </si>
  <si>
    <t xml:space="preserve"> butterfly pea flower extract</t>
  </si>
  <si>
    <t xml:space="preserve"> &amp;diams; butterfly pea flower extract&lt;br /&gt;&amp;diams; butterfly pea (Clitoria ternatea) flower extract&lt;br /&gt;&amp;diams; Clitoria ternatea flower extract</t>
  </si>
  <si>
    <t xml:space="preserve"> 515-69-5</t>
  </si>
  <si>
    <t xml:space="preserve"> ALPHA-BISABOLOL</t>
  </si>
  <si>
    <t xml:space="preserve"> &amp;diams; alpha-bisabolol&lt;br /&gt;&amp;diams; 5-hepten-2-ol, 6-methyl-2-(4-methyl-3-cyclohexen-1-yl)-&lt;br /&gt;&amp;diams; 6-methyl-2-(4-methyl-3-cyclohexen-1-yl)-5-hepten-2-ol&lt;br /&gt;&amp;diams; 3-cyclohexene-1-methanol, alpha,4-dimethyl-alpha-(4-methyl-3-pentenyl)-, (alpha R, 1R)-rel-&lt;br /&gt;&amp;diams; alpha,4-dimethyl-alpha-(4-methyl-3-pentenyl)-, (alpha R, 1R)-rel-3-cyclohexene-1-methanol&lt;br /&gt;&amp;diams; 3-cyclohexene-1-methanol, alpha, 4-dimethyl-alpha-(4-methyl-3-penten-1-yl)- (alpha R,1R)-rel-&lt;br /&gt;&amp;diams; alpha, 4-dimethyl-alpha-(4-methyl-3-penten-1-yl)- (alpha R,1R)-rel-3-cyclohexene-1-methanol&lt;br /&gt;&amp;diams; alpha-bisabolol, (+-)-&amp;diams; alpha-bisabolol, (dl)-&lt;br /&gt;&amp;diams; bisabolol</t>
  </si>
  <si>
    <t>Name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</si>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</sst>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976"/>
  <sheetViews>
    <sheetView tabSelected="1" workbookViewId="0">
      <selection activeCell="D10" sqref="D10"/>
    </sheetView>
  </sheetViews>
  <sheetFormatPr defaultRowHeight="14.4" x14ac:dyDescent="0.3"/>
  <cols>
    <col min="1" max="1" width="63.21875" customWidth="1"/>
    <col min="3" max="3" width="44" customWidth="1"/>
    <col min="4" max="4" width="31" customWidth="1"/>
  </cols>
  <sheetData>
    <row r="1" spans="1:37" x14ac:dyDescent="0.3">
      <c r="B1" t="s">
        <v>12419</v>
      </c>
      <c r="D1" t="s">
        <v>12420</v>
      </c>
    </row>
    <row r="2" spans="1:37" x14ac:dyDescent="0.3">
      <c r="A2" t="s">
        <v>0</v>
      </c>
      <c r="B2" t="s">
        <v>1</v>
      </c>
      <c r="C2" t="s">
        <v>2</v>
      </c>
      <c r="D2" t="s">
        <v>3</v>
      </c>
      <c r="K2" t="str">
        <f>T("172.780")</f>
        <v>172.780</v>
      </c>
      <c r="L2" t="str">
        <f>T("184.1330")</f>
        <v>184.1330</v>
      </c>
      <c r="AF2" t="str">
        <f>T("169.179")</f>
        <v>169.179</v>
      </c>
      <c r="AG2" t="str">
        <f>T("2001")</f>
        <v>2001</v>
      </c>
      <c r="AH2" t="str">
        <f>T("3")</f>
        <v>3</v>
      </c>
    </row>
    <row r="3" spans="1:37" x14ac:dyDescent="0.3">
      <c r="A3" t="s">
        <v>4</v>
      </c>
      <c r="B3" t="s">
        <v>5</v>
      </c>
      <c r="C3" t="s">
        <v>6</v>
      </c>
      <c r="D3" t="s">
        <v>7</v>
      </c>
      <c r="AG3" t="str">
        <f>T("4547")</f>
        <v>4547</v>
      </c>
      <c r="AH3" t="str">
        <f>T("24")</f>
        <v>24</v>
      </c>
    </row>
    <row r="4" spans="1:37" x14ac:dyDescent="0.3">
      <c r="A4" t="s">
        <v>8</v>
      </c>
      <c r="B4" t="s">
        <v>9</v>
      </c>
      <c r="C4" t="s">
        <v>10</v>
      </c>
      <c r="D4" t="s">
        <v>11</v>
      </c>
      <c r="K4" t="str">
        <f>T("172.800")</f>
        <v>172.800</v>
      </c>
    </row>
    <row r="5" spans="1:37" x14ac:dyDescent="0.3">
      <c r="A5" t="s">
        <v>12</v>
      </c>
      <c r="B5" t="s">
        <v>13</v>
      </c>
      <c r="C5" t="s">
        <v>14</v>
      </c>
      <c r="D5" t="s">
        <v>15</v>
      </c>
      <c r="K5" t="str">
        <f>T("172.515")</f>
        <v>172.515</v>
      </c>
      <c r="AG5" t="str">
        <f>T("2002")</f>
        <v>2002</v>
      </c>
      <c r="AH5" t="str">
        <f>T("3")</f>
        <v>3</v>
      </c>
      <c r="AK5" t="str">
        <f>T("941")</f>
        <v>941</v>
      </c>
    </row>
    <row r="6" spans="1:37" x14ac:dyDescent="0.3">
      <c r="A6" t="s">
        <v>16</v>
      </c>
      <c r="B6" t="s">
        <v>17</v>
      </c>
      <c r="C6" t="s">
        <v>18</v>
      </c>
      <c r="D6" t="s">
        <v>7</v>
      </c>
      <c r="K6" t="str">
        <f>T("177.2410")</f>
        <v>177.2410</v>
      </c>
      <c r="L6" t="str">
        <f>T("182.60")</f>
        <v>182.60</v>
      </c>
      <c r="AG6" t="str">
        <f>T("2003")</f>
        <v>2003</v>
      </c>
      <c r="AH6" t="str">
        <f>T("3")</f>
        <v>3</v>
      </c>
      <c r="AI6" t="str">
        <f>T("25")</f>
        <v>25</v>
      </c>
      <c r="AK6" t="str">
        <f>T("80")</f>
        <v>80</v>
      </c>
    </row>
    <row r="7" spans="1:37" x14ac:dyDescent="0.3">
      <c r="A7" t="s">
        <v>19</v>
      </c>
      <c r="B7" t="s">
        <v>20</v>
      </c>
      <c r="C7" t="s">
        <v>21</v>
      </c>
      <c r="D7" t="s">
        <v>7</v>
      </c>
      <c r="AG7" t="str">
        <f>T("3125")</f>
        <v>3125</v>
      </c>
      <c r="AH7" t="str">
        <f>T("4")</f>
        <v>4</v>
      </c>
      <c r="AK7" t="str">
        <f>T("1001")</f>
        <v>1001</v>
      </c>
    </row>
    <row r="8" spans="1:37" x14ac:dyDescent="0.3">
      <c r="A8" t="s">
        <v>22</v>
      </c>
      <c r="B8" t="s">
        <v>23</v>
      </c>
      <c r="C8" t="s">
        <v>24</v>
      </c>
      <c r="D8" t="s">
        <v>7</v>
      </c>
      <c r="AG8" t="str">
        <f>T("4381")</f>
        <v>4381</v>
      </c>
      <c r="AH8" t="str">
        <f>T("23")</f>
        <v>23</v>
      </c>
      <c r="AK8" t="str">
        <f>T("1747")</f>
        <v>1747</v>
      </c>
    </row>
    <row r="9" spans="1:37" x14ac:dyDescent="0.3">
      <c r="A9" t="s">
        <v>25</v>
      </c>
      <c r="B9" t="s">
        <v>26</v>
      </c>
      <c r="C9" t="s">
        <v>27</v>
      </c>
      <c r="D9" t="s">
        <v>7</v>
      </c>
      <c r="AG9" t="str">
        <f>T("4024")</f>
        <v>4024</v>
      </c>
      <c r="AH9" t="str">
        <f>T("21")</f>
        <v>21</v>
      </c>
      <c r="AK9" t="str">
        <f>T("1729")</f>
        <v>1729</v>
      </c>
    </row>
    <row r="10" spans="1:37" x14ac:dyDescent="0.3">
      <c r="A10" t="s">
        <v>28</v>
      </c>
      <c r="B10" t="s">
        <v>29</v>
      </c>
      <c r="C10" t="s">
        <v>30</v>
      </c>
      <c r="D10" t="s">
        <v>7</v>
      </c>
      <c r="AG10" t="str">
        <f>T("4527")</f>
        <v>4527</v>
      </c>
      <c r="AH10" t="str">
        <f>T("24")</f>
        <v>24</v>
      </c>
    </row>
    <row r="11" spans="1:37" x14ac:dyDescent="0.3">
      <c r="A11" t="s">
        <v>31</v>
      </c>
      <c r="B11" t="s">
        <v>32</v>
      </c>
      <c r="C11" t="s">
        <v>33</v>
      </c>
      <c r="D11" t="s">
        <v>7</v>
      </c>
      <c r="AG11" t="str">
        <f>T("3775")</f>
        <v>3775</v>
      </c>
      <c r="AH11" t="str">
        <f>T("16")</f>
        <v>16</v>
      </c>
      <c r="AK11" t="str">
        <f>T("943")</f>
        <v>943</v>
      </c>
    </row>
    <row r="12" spans="1:37" x14ac:dyDescent="0.3">
      <c r="A12" t="s">
        <v>34</v>
      </c>
      <c r="B12" t="s">
        <v>35</v>
      </c>
      <c r="C12" t="s">
        <v>36</v>
      </c>
      <c r="D12" t="s">
        <v>7</v>
      </c>
      <c r="AG12" t="str">
        <f>T("4528")</f>
        <v>4528</v>
      </c>
      <c r="AH12" t="str">
        <f>T("24")</f>
        <v>24</v>
      </c>
    </row>
    <row r="13" spans="1:37" x14ac:dyDescent="0.3">
      <c r="A13" t="s">
        <v>37</v>
      </c>
      <c r="B13" t="s">
        <v>38</v>
      </c>
      <c r="C13" t="s">
        <v>39</v>
      </c>
      <c r="D13" t="s">
        <v>7</v>
      </c>
      <c r="AG13" t="str">
        <f>T("4432")</f>
        <v>4432</v>
      </c>
      <c r="AH13" t="str">
        <f>T("24")</f>
        <v>24</v>
      </c>
    </row>
    <row r="14" spans="1:37" x14ac:dyDescent="0.3">
      <c r="A14" t="s">
        <v>40</v>
      </c>
      <c r="B14" t="s">
        <v>41</v>
      </c>
      <c r="C14" t="s">
        <v>42</v>
      </c>
      <c r="D14" t="s">
        <v>7</v>
      </c>
      <c r="AG14" t="str">
        <f>T("4365")</f>
        <v>4365</v>
      </c>
      <c r="AH14" t="str">
        <f>T("23")</f>
        <v>23</v>
      </c>
      <c r="AK14" t="str">
        <f>T("1727")</f>
        <v>1727</v>
      </c>
    </row>
    <row r="15" spans="1:37" x14ac:dyDescent="0.3">
      <c r="A15" t="s">
        <v>43</v>
      </c>
      <c r="B15" t="s">
        <v>44</v>
      </c>
      <c r="C15" t="s">
        <v>45</v>
      </c>
      <c r="D15" t="s">
        <v>7</v>
      </c>
      <c r="AG15" t="str">
        <f>T("4376")</f>
        <v>4376</v>
      </c>
      <c r="AH15" t="str">
        <f>T("23")</f>
        <v>23</v>
      </c>
      <c r="AK15" t="str">
        <f>T("1749")</f>
        <v>1749</v>
      </c>
    </row>
    <row r="16" spans="1:37" x14ac:dyDescent="0.3">
      <c r="A16" t="s">
        <v>46</v>
      </c>
      <c r="B16" t="s">
        <v>47</v>
      </c>
      <c r="C16" t="s">
        <v>48</v>
      </c>
      <c r="D16" t="s">
        <v>15</v>
      </c>
      <c r="K16" t="str">
        <f>T("172.515")</f>
        <v>172.515</v>
      </c>
      <c r="AG16" t="str">
        <f>T("2004")</f>
        <v>2004</v>
      </c>
      <c r="AH16" t="str">
        <f>T("3")</f>
        <v>3</v>
      </c>
      <c r="AI16" t="str">
        <f>T("25")</f>
        <v>25</v>
      </c>
      <c r="AK16" t="str">
        <f>T("1000")</f>
        <v>1000</v>
      </c>
    </row>
    <row r="17" spans="1:37" x14ac:dyDescent="0.3">
      <c r="A17" t="s">
        <v>49</v>
      </c>
      <c r="B17" t="s">
        <v>50</v>
      </c>
      <c r="C17" t="s">
        <v>51</v>
      </c>
      <c r="D17" t="s">
        <v>7</v>
      </c>
      <c r="AG17" t="s">
        <v>52</v>
      </c>
      <c r="AH17" t="str">
        <f>T("22")</f>
        <v>22</v>
      </c>
      <c r="AI17" t="str">
        <f>T("24")</f>
        <v>24</v>
      </c>
      <c r="AJ17" t="s">
        <v>53</v>
      </c>
    </row>
    <row r="18" spans="1:37" x14ac:dyDescent="0.3">
      <c r="A18" t="s">
        <v>54</v>
      </c>
      <c r="B18" t="s">
        <v>55</v>
      </c>
      <c r="C18" t="s">
        <v>56</v>
      </c>
      <c r="D18" t="s">
        <v>7</v>
      </c>
      <c r="K18" t="str">
        <f>T("172.515")</f>
        <v>172.515</v>
      </c>
      <c r="AG18" t="str">
        <f>T("2005")</f>
        <v>2005</v>
      </c>
      <c r="AH18" t="str">
        <f>T("3")</f>
        <v>3</v>
      </c>
      <c r="AI18" t="str">
        <f>T("25")</f>
        <v>25</v>
      </c>
      <c r="AK18" t="str">
        <f>T("810")</f>
        <v>810</v>
      </c>
    </row>
    <row r="19" spans="1:37" x14ac:dyDescent="0.3">
      <c r="A19" t="s">
        <v>57</v>
      </c>
      <c r="B19" t="s">
        <v>58</v>
      </c>
      <c r="C19" t="s">
        <v>59</v>
      </c>
      <c r="D19" t="s">
        <v>60</v>
      </c>
      <c r="E19" t="str">
        <f>T("73.85")</f>
        <v>73.85</v>
      </c>
      <c r="K19" t="str">
        <f>T("172.814")</f>
        <v>172.814</v>
      </c>
      <c r="L19" t="str">
        <f>T("173.370")</f>
        <v>173.370</v>
      </c>
      <c r="M19" t="str">
        <f>T("184.1005")</f>
        <v>184.1005</v>
      </c>
      <c r="AF19" t="s">
        <v>61</v>
      </c>
      <c r="AG19" t="str">
        <f>T("2006")</f>
        <v>2006</v>
      </c>
      <c r="AH19" t="str">
        <f>T("3")</f>
        <v>3</v>
      </c>
      <c r="AI19" t="str">
        <f>T("25")</f>
        <v>25</v>
      </c>
      <c r="AK19" t="str">
        <f>T("81")</f>
        <v>81</v>
      </c>
    </row>
    <row r="20" spans="1:37" x14ac:dyDescent="0.3">
      <c r="A20" t="s">
        <v>62</v>
      </c>
      <c r="B20" t="s">
        <v>63</v>
      </c>
      <c r="C20" t="s">
        <v>64</v>
      </c>
      <c r="D20" t="s">
        <v>7</v>
      </c>
      <c r="K20" t="str">
        <f>T("172.892")</f>
        <v>172.892</v>
      </c>
    </row>
    <row r="21" spans="1:37" x14ac:dyDescent="0.3">
      <c r="A21" t="s">
        <v>65</v>
      </c>
      <c r="B21" t="s">
        <v>66</v>
      </c>
      <c r="C21" t="s">
        <v>67</v>
      </c>
      <c r="D21" t="s">
        <v>7</v>
      </c>
      <c r="K21" t="str">
        <f>T("182.60")</f>
        <v>182.60</v>
      </c>
      <c r="AG21" t="str">
        <f>T("2008")</f>
        <v>2008</v>
      </c>
      <c r="AH21" t="str">
        <f>T("3")</f>
        <v>3</v>
      </c>
      <c r="AI21" t="str">
        <f>T("25")</f>
        <v>25</v>
      </c>
      <c r="AK21" t="str">
        <f>T("405")</f>
        <v>405</v>
      </c>
    </row>
    <row r="22" spans="1:37" x14ac:dyDescent="0.3">
      <c r="A22" t="s">
        <v>68</v>
      </c>
      <c r="B22" t="s">
        <v>69</v>
      </c>
      <c r="C22" t="s">
        <v>70</v>
      </c>
      <c r="D22" t="s">
        <v>7</v>
      </c>
      <c r="AG22" t="str">
        <f>T("4532")</f>
        <v>4532</v>
      </c>
      <c r="AH22" t="str">
        <f>T("24")</f>
        <v>24</v>
      </c>
      <c r="AK22" t="str">
        <f>T("2033")</f>
        <v>2033</v>
      </c>
    </row>
    <row r="23" spans="1:37" x14ac:dyDescent="0.3">
      <c r="A23" t="s">
        <v>71</v>
      </c>
      <c r="B23" t="s">
        <v>72</v>
      </c>
      <c r="C23" t="s">
        <v>73</v>
      </c>
      <c r="D23" t="s">
        <v>74</v>
      </c>
      <c r="K23" t="str">
        <f>T("173.115")</f>
        <v>173.115</v>
      </c>
    </row>
    <row r="24" spans="1:37" x14ac:dyDescent="0.3">
      <c r="A24" t="s">
        <v>75</v>
      </c>
      <c r="B24" t="s">
        <v>76</v>
      </c>
      <c r="C24" t="s">
        <v>77</v>
      </c>
    </row>
    <row r="25" spans="1:37" x14ac:dyDescent="0.3">
      <c r="A25" t="s">
        <v>78</v>
      </c>
      <c r="B25" t="s">
        <v>79</v>
      </c>
      <c r="C25" t="s">
        <v>80</v>
      </c>
      <c r="D25" t="s">
        <v>81</v>
      </c>
      <c r="E25" t="str">
        <f>T("73.1")</f>
        <v>73.1</v>
      </c>
      <c r="F25" t="str">
        <f>T("73.30")</f>
        <v>73.30</v>
      </c>
      <c r="G25" t="str">
        <f>T("73.345")</f>
        <v>73.345</v>
      </c>
      <c r="H25" t="str">
        <f>T("73.615")</f>
        <v>73.615</v>
      </c>
      <c r="K25" t="str">
        <f>T("173.210")</f>
        <v>173.210</v>
      </c>
      <c r="L25" t="str">
        <f>T("175.105")</f>
        <v>175.105</v>
      </c>
      <c r="M25" t="str">
        <f>T("175.320")</f>
        <v>175.320</v>
      </c>
      <c r="N25" t="str">
        <f>T("176.180")</f>
        <v>176.180</v>
      </c>
      <c r="O25" t="str">
        <f>T("176.300")</f>
        <v>176.300</v>
      </c>
      <c r="P25" t="str">
        <f>T("177.2600")</f>
        <v>177.2600</v>
      </c>
      <c r="AG25" t="str">
        <f>T("3326")</f>
        <v>3326</v>
      </c>
      <c r="AH25" t="str">
        <f>T("6")</f>
        <v>6</v>
      </c>
      <c r="AK25" t="str">
        <f>T("139")</f>
        <v>139</v>
      </c>
    </row>
    <row r="26" spans="1:37" x14ac:dyDescent="0.3">
      <c r="A26" t="s">
        <v>82</v>
      </c>
      <c r="B26" t="s">
        <v>83</v>
      </c>
      <c r="C26" t="s">
        <v>84</v>
      </c>
      <c r="K26" t="str">
        <f>T("172.802")</f>
        <v>172.802</v>
      </c>
      <c r="AF26" t="str">
        <f>T("137.105")</f>
        <v>137.105</v>
      </c>
    </row>
    <row r="27" spans="1:37" x14ac:dyDescent="0.3">
      <c r="A27" t="s">
        <v>85</v>
      </c>
      <c r="B27" t="s">
        <v>86</v>
      </c>
      <c r="C27" t="s">
        <v>87</v>
      </c>
      <c r="D27" t="s">
        <v>88</v>
      </c>
      <c r="K27" t="str">
        <f>T("172.515")</f>
        <v>172.515</v>
      </c>
      <c r="AG27" t="str">
        <f>T("2009")</f>
        <v>2009</v>
      </c>
      <c r="AH27" t="str">
        <f>T("3")</f>
        <v>3</v>
      </c>
      <c r="AK27" t="str">
        <f>T("806")</f>
        <v>806</v>
      </c>
    </row>
    <row r="28" spans="1:37" x14ac:dyDescent="0.3">
      <c r="A28" t="s">
        <v>89</v>
      </c>
      <c r="B28" t="s">
        <v>90</v>
      </c>
      <c r="C28" t="s">
        <v>91</v>
      </c>
    </row>
    <row r="29" spans="1:37" x14ac:dyDescent="0.3">
      <c r="A29" t="s">
        <v>92</v>
      </c>
      <c r="B29" t="s">
        <v>93</v>
      </c>
      <c r="C29" t="s">
        <v>94</v>
      </c>
      <c r="D29" t="s">
        <v>7</v>
      </c>
      <c r="AG29" t="str">
        <f>T("3651")</f>
        <v>3651</v>
      </c>
      <c r="AH29" t="str">
        <f>T("13")</f>
        <v>13</v>
      </c>
      <c r="AK29" t="str">
        <f>T("1647")</f>
        <v>1647</v>
      </c>
    </row>
    <row r="30" spans="1:37" x14ac:dyDescent="0.3">
      <c r="A30" t="s">
        <v>95</v>
      </c>
      <c r="B30" t="s">
        <v>96</v>
      </c>
      <c r="C30" t="s">
        <v>97</v>
      </c>
      <c r="D30" t="s">
        <v>7</v>
      </c>
      <c r="AG30" t="str">
        <f>T("3797")</f>
        <v>3797</v>
      </c>
      <c r="AH30" t="str">
        <f>T("17")</f>
        <v>17</v>
      </c>
      <c r="AK30" t="str">
        <f>T("1456")</f>
        <v>1456</v>
      </c>
    </row>
    <row r="31" spans="1:37" x14ac:dyDescent="0.3">
      <c r="A31" t="s">
        <v>98</v>
      </c>
      <c r="B31" t="s">
        <v>99</v>
      </c>
      <c r="C31" t="s">
        <v>100</v>
      </c>
      <c r="D31" t="s">
        <v>7</v>
      </c>
      <c r="AG31" t="str">
        <f>T("4069")</f>
        <v>4069</v>
      </c>
      <c r="AH31" t="str">
        <f>T("22")</f>
        <v>22</v>
      </c>
      <c r="AK31" t="str">
        <f>T("1726")</f>
        <v>1726</v>
      </c>
    </row>
    <row r="32" spans="1:37" x14ac:dyDescent="0.3">
      <c r="A32" t="s">
        <v>101</v>
      </c>
      <c r="B32" t="s">
        <v>102</v>
      </c>
      <c r="C32" t="s">
        <v>103</v>
      </c>
      <c r="D32" t="s">
        <v>7</v>
      </c>
      <c r="AG32" t="str">
        <f>T("3652")</f>
        <v>3652</v>
      </c>
      <c r="AH32" t="str">
        <f>T("13")</f>
        <v>13</v>
      </c>
      <c r="AK32" t="str">
        <f>T("731")</f>
        <v>731</v>
      </c>
    </row>
    <row r="33" spans="1:37" x14ac:dyDescent="0.3">
      <c r="A33" t="s">
        <v>104</v>
      </c>
      <c r="B33" t="s">
        <v>105</v>
      </c>
      <c r="C33" t="s">
        <v>106</v>
      </c>
      <c r="D33" t="s">
        <v>7</v>
      </c>
      <c r="AG33" t="str">
        <f>T("4296")</f>
        <v>4296</v>
      </c>
      <c r="AH33" t="str">
        <f>T("23")</f>
        <v>23</v>
      </c>
      <c r="AK33" t="str">
        <f>T("1766")</f>
        <v>1766</v>
      </c>
    </row>
    <row r="34" spans="1:37" x14ac:dyDescent="0.3">
      <c r="A34" t="s">
        <v>107</v>
      </c>
      <c r="B34" t="s">
        <v>108</v>
      </c>
      <c r="C34" t="s">
        <v>109</v>
      </c>
      <c r="D34" t="s">
        <v>7</v>
      </c>
      <c r="AG34" t="str">
        <f>T("4071")</f>
        <v>4071</v>
      </c>
      <c r="AH34" t="str">
        <f>T("22")</f>
        <v>22</v>
      </c>
      <c r="AK34" t="str">
        <f>T("1505")</f>
        <v>1505</v>
      </c>
    </row>
    <row r="35" spans="1:37" x14ac:dyDescent="0.3">
      <c r="A35" t="s">
        <v>110</v>
      </c>
      <c r="B35" t="s">
        <v>111</v>
      </c>
      <c r="C35" t="s">
        <v>112</v>
      </c>
      <c r="D35" t="s">
        <v>7</v>
      </c>
      <c r="AG35" t="str">
        <f>T("3391")</f>
        <v>3391</v>
      </c>
      <c r="AH35" t="str">
        <f>T("7")</f>
        <v>7</v>
      </c>
      <c r="AK35" t="str">
        <f>T("1506")</f>
        <v>1506</v>
      </c>
    </row>
    <row r="36" spans="1:37" x14ac:dyDescent="0.3">
      <c r="A36" t="s">
        <v>113</v>
      </c>
      <c r="B36" t="s">
        <v>114</v>
      </c>
      <c r="C36" t="s">
        <v>115</v>
      </c>
      <c r="D36" t="s">
        <v>7</v>
      </c>
      <c r="AG36" t="str">
        <f>T("4070")</f>
        <v>4070</v>
      </c>
      <c r="AH36" t="str">
        <f>T("22")</f>
        <v>22</v>
      </c>
    </row>
    <row r="37" spans="1:37" x14ac:dyDescent="0.3">
      <c r="A37" t="s">
        <v>116</v>
      </c>
      <c r="B37" t="s">
        <v>117</v>
      </c>
      <c r="C37" t="s">
        <v>118</v>
      </c>
      <c r="D37" t="s">
        <v>15</v>
      </c>
      <c r="AG37" t="str">
        <f>T("3327")</f>
        <v>3327</v>
      </c>
      <c r="AH37" t="str">
        <f>T("6")</f>
        <v>6</v>
      </c>
      <c r="AI37" t="str">
        <f>T("25")</f>
        <v>25</v>
      </c>
      <c r="AK37" t="str">
        <f>T("786")</f>
        <v>786</v>
      </c>
    </row>
    <row r="38" spans="1:37" x14ac:dyDescent="0.3">
      <c r="A38" t="s">
        <v>119</v>
      </c>
      <c r="B38" t="s">
        <v>120</v>
      </c>
      <c r="C38" t="s">
        <v>121</v>
      </c>
      <c r="D38" t="s">
        <v>15</v>
      </c>
      <c r="AG38" t="str">
        <f>T("3250")</f>
        <v>3250</v>
      </c>
      <c r="AH38" t="str">
        <f>T("5")</f>
        <v>5</v>
      </c>
      <c r="AK38" t="str">
        <f>T("785")</f>
        <v>785</v>
      </c>
    </row>
    <row r="39" spans="1:37" x14ac:dyDescent="0.3">
      <c r="A39" t="s">
        <v>122</v>
      </c>
      <c r="B39" t="s">
        <v>123</v>
      </c>
      <c r="C39" t="s">
        <v>124</v>
      </c>
      <c r="D39" t="s">
        <v>7</v>
      </c>
      <c r="AG39" t="str">
        <f>T("4636")</f>
        <v>4636</v>
      </c>
      <c r="AH39" t="str">
        <f>T("24")</f>
        <v>24</v>
      </c>
      <c r="AK39" t="str">
        <f>T("2153")</f>
        <v>2153</v>
      </c>
    </row>
    <row r="40" spans="1:37" x14ac:dyDescent="0.3">
      <c r="A40" t="s">
        <v>125</v>
      </c>
      <c r="B40" t="s">
        <v>126</v>
      </c>
      <c r="C40" t="s">
        <v>127</v>
      </c>
      <c r="D40" t="s">
        <v>7</v>
      </c>
      <c r="AG40" t="str">
        <f>T("4637")</f>
        <v>4637</v>
      </c>
      <c r="AH40" t="str">
        <f>T("24")</f>
        <v>24</v>
      </c>
      <c r="AK40" t="str">
        <f>T("2154")</f>
        <v>2154</v>
      </c>
    </row>
    <row r="41" spans="1:37" x14ac:dyDescent="0.3">
      <c r="A41" t="s">
        <v>128</v>
      </c>
      <c r="B41" t="s">
        <v>129</v>
      </c>
      <c r="C41" t="s">
        <v>130</v>
      </c>
      <c r="D41" t="s">
        <v>7</v>
      </c>
      <c r="AG41" t="str">
        <f>T("4638")</f>
        <v>4638</v>
      </c>
      <c r="AH41" t="str">
        <f>T("24")</f>
        <v>24</v>
      </c>
      <c r="AK41" t="str">
        <f>T("2155")</f>
        <v>2155</v>
      </c>
    </row>
    <row r="42" spans="1:37" x14ac:dyDescent="0.3">
      <c r="A42" t="s">
        <v>131</v>
      </c>
      <c r="B42" t="s">
        <v>132</v>
      </c>
      <c r="C42" t="s">
        <v>133</v>
      </c>
      <c r="D42" t="s">
        <v>7</v>
      </c>
      <c r="AG42" t="str">
        <f>T("3816")</f>
        <v>3816</v>
      </c>
      <c r="AH42" t="str">
        <f>T("18")</f>
        <v>18</v>
      </c>
      <c r="AK42" t="str">
        <f>T("494")</f>
        <v>494</v>
      </c>
    </row>
    <row r="43" spans="1:37" x14ac:dyDescent="0.3">
      <c r="A43" t="s">
        <v>134</v>
      </c>
      <c r="B43" t="s">
        <v>135</v>
      </c>
      <c r="C43" t="s">
        <v>136</v>
      </c>
      <c r="D43" t="s">
        <v>137</v>
      </c>
      <c r="K43" t="str">
        <f>T("172.372")</f>
        <v>172.372</v>
      </c>
    </row>
    <row r="44" spans="1:37" x14ac:dyDescent="0.3">
      <c r="A44" t="s">
        <v>138</v>
      </c>
      <c r="B44" t="s">
        <v>139</v>
      </c>
      <c r="C44" t="s">
        <v>140</v>
      </c>
      <c r="D44" t="s">
        <v>7</v>
      </c>
      <c r="AG44" t="str">
        <f>T("3526")</f>
        <v>3526</v>
      </c>
      <c r="AH44" t="str">
        <f>T("11")</f>
        <v>11</v>
      </c>
      <c r="AK44" t="str">
        <f>T("406")</f>
        <v>406</v>
      </c>
    </row>
    <row r="45" spans="1:37" x14ac:dyDescent="0.3">
      <c r="A45" t="s">
        <v>141</v>
      </c>
      <c r="B45" t="s">
        <v>142</v>
      </c>
      <c r="C45" t="s">
        <v>143</v>
      </c>
      <c r="D45" t="s">
        <v>15</v>
      </c>
      <c r="AG45" t="str">
        <f>T("3609")</f>
        <v>3609</v>
      </c>
      <c r="AH45" t="str">
        <f>T("12")</f>
        <v>12</v>
      </c>
      <c r="AI45" t="str">
        <f>T("25")</f>
        <v>25</v>
      </c>
      <c r="AK45" t="str">
        <f>T("1504")</f>
        <v>1504</v>
      </c>
    </row>
    <row r="46" spans="1:37" x14ac:dyDescent="0.3">
      <c r="A46" t="s">
        <v>144</v>
      </c>
      <c r="B46" t="s">
        <v>145</v>
      </c>
      <c r="C46" t="s">
        <v>146</v>
      </c>
      <c r="D46" t="s">
        <v>7</v>
      </c>
      <c r="AG46" t="str">
        <f>T("3964")</f>
        <v>3964</v>
      </c>
      <c r="AH46" t="str">
        <f>T("20")</f>
        <v>20</v>
      </c>
      <c r="AK46" t="str">
        <f>T("950")</f>
        <v>950</v>
      </c>
    </row>
    <row r="47" spans="1:37" x14ac:dyDescent="0.3">
      <c r="A47" t="s">
        <v>147</v>
      </c>
      <c r="B47" t="s">
        <v>148</v>
      </c>
      <c r="C47" t="s">
        <v>149</v>
      </c>
      <c r="D47" t="s">
        <v>7</v>
      </c>
      <c r="AG47" t="str">
        <f>T("3654")</f>
        <v>3654</v>
      </c>
      <c r="AH47" t="str">
        <f>T("13")</f>
        <v>13</v>
      </c>
      <c r="AK47" t="str">
        <f>T("1565")</f>
        <v>1565</v>
      </c>
    </row>
    <row r="48" spans="1:37" x14ac:dyDescent="0.3">
      <c r="A48" t="s">
        <v>150</v>
      </c>
      <c r="B48" t="s">
        <v>151</v>
      </c>
      <c r="C48" t="s">
        <v>152</v>
      </c>
      <c r="D48" t="s">
        <v>7</v>
      </c>
      <c r="AG48" t="str">
        <f>T("4643")</f>
        <v>4643</v>
      </c>
      <c r="AH48" t="str">
        <f>T("24")</f>
        <v>24</v>
      </c>
      <c r="AK48" t="str">
        <f>T("2107")</f>
        <v>2107</v>
      </c>
    </row>
    <row r="49" spans="1:37" x14ac:dyDescent="0.3">
      <c r="A49" t="s">
        <v>153</v>
      </c>
      <c r="B49" t="s">
        <v>154</v>
      </c>
      <c r="C49" t="s">
        <v>155</v>
      </c>
      <c r="D49" t="s">
        <v>7</v>
      </c>
      <c r="AG49" t="str">
        <f>T("3126")</f>
        <v>3126</v>
      </c>
      <c r="AH49" t="str">
        <f>T("4")</f>
        <v>4</v>
      </c>
      <c r="AK49" t="str">
        <f>T("784")</f>
        <v>784</v>
      </c>
    </row>
    <row r="50" spans="1:37" x14ac:dyDescent="0.3">
      <c r="A50" t="s">
        <v>156</v>
      </c>
      <c r="B50" t="s">
        <v>157</v>
      </c>
      <c r="C50" t="s">
        <v>158</v>
      </c>
      <c r="D50" t="s">
        <v>15</v>
      </c>
      <c r="AG50" t="str">
        <f>T("3251")</f>
        <v>3251</v>
      </c>
      <c r="AH50" t="str">
        <f>T("5")</f>
        <v>5</v>
      </c>
      <c r="AI50" t="str">
        <f>T("25")</f>
        <v>25</v>
      </c>
      <c r="AK50" t="str">
        <f>T("1309")</f>
        <v>1309</v>
      </c>
    </row>
    <row r="51" spans="1:37" x14ac:dyDescent="0.3">
      <c r="A51" t="s">
        <v>159</v>
      </c>
      <c r="B51" t="s">
        <v>160</v>
      </c>
      <c r="C51" t="s">
        <v>161</v>
      </c>
      <c r="D51" t="s">
        <v>15</v>
      </c>
      <c r="AG51" t="str">
        <f>T("3424")</f>
        <v>3424</v>
      </c>
      <c r="AH51" t="str">
        <f>T("8")</f>
        <v>8</v>
      </c>
      <c r="AI51" t="str">
        <f>T("25")</f>
        <v>25</v>
      </c>
      <c r="AK51" t="str">
        <f>T("1316")</f>
        <v>1316</v>
      </c>
    </row>
    <row r="52" spans="1:37" x14ac:dyDescent="0.3">
      <c r="A52" t="s">
        <v>162</v>
      </c>
      <c r="B52" t="s">
        <v>163</v>
      </c>
      <c r="C52" t="s">
        <v>164</v>
      </c>
      <c r="D52" t="s">
        <v>7</v>
      </c>
      <c r="AG52" t="str">
        <f>T("4249")</f>
        <v>4249</v>
      </c>
      <c r="AH52" t="str">
        <f>T("22")</f>
        <v>22</v>
      </c>
      <c r="AK52" t="str">
        <f>T("1604")</f>
        <v>1604</v>
      </c>
    </row>
    <row r="53" spans="1:37" x14ac:dyDescent="0.3">
      <c r="A53" t="s">
        <v>165</v>
      </c>
      <c r="B53" t="s">
        <v>166</v>
      </c>
      <c r="C53" t="s">
        <v>167</v>
      </c>
      <c r="D53" t="s">
        <v>7</v>
      </c>
      <c r="AG53" t="str">
        <f>T("3653")</f>
        <v>3653</v>
      </c>
      <c r="AH53" t="str">
        <f>T("13")</f>
        <v>13</v>
      </c>
      <c r="AK53" t="str">
        <f>T("812")</f>
        <v>812</v>
      </c>
    </row>
    <row r="54" spans="1:37" x14ac:dyDescent="0.3">
      <c r="A54" t="s">
        <v>168</v>
      </c>
      <c r="B54" t="s">
        <v>169</v>
      </c>
      <c r="C54" t="s">
        <v>170</v>
      </c>
      <c r="D54" t="s">
        <v>171</v>
      </c>
      <c r="AG54" t="str">
        <f>T("3328")</f>
        <v>3328</v>
      </c>
      <c r="AH54" t="str">
        <f>T("6")</f>
        <v>6</v>
      </c>
      <c r="AI54" t="str">
        <f>T("25")</f>
        <v>25</v>
      </c>
      <c r="AK54" t="str">
        <f>T("1041")</f>
        <v>1041</v>
      </c>
    </row>
    <row r="55" spans="1:37" x14ac:dyDescent="0.3">
      <c r="A55" t="s">
        <v>172</v>
      </c>
      <c r="B55" t="s">
        <v>173</v>
      </c>
      <c r="C55" t="s">
        <v>174</v>
      </c>
      <c r="D55" t="s">
        <v>7</v>
      </c>
      <c r="AG55" t="str">
        <f>T("3817")</f>
        <v>3817</v>
      </c>
      <c r="AH55" t="str">
        <f>T("18")</f>
        <v>18</v>
      </c>
      <c r="AK55" t="str">
        <f>T("1759")</f>
        <v>1759</v>
      </c>
    </row>
    <row r="56" spans="1:37" x14ac:dyDescent="0.3">
      <c r="A56" t="s">
        <v>175</v>
      </c>
      <c r="B56" t="s">
        <v>176</v>
      </c>
      <c r="C56" t="s">
        <v>177</v>
      </c>
      <c r="D56" t="s">
        <v>7</v>
      </c>
      <c r="AG56" t="str">
        <f>T("3973")</f>
        <v>3973</v>
      </c>
      <c r="AH56" t="str">
        <f>T("20")</f>
        <v>20</v>
      </c>
      <c r="AI56" t="str">
        <f>T("21")</f>
        <v>21</v>
      </c>
      <c r="AK56" t="str">
        <f>T("1069")</f>
        <v>1069</v>
      </c>
    </row>
    <row r="57" spans="1:37" x14ac:dyDescent="0.3">
      <c r="A57" t="s">
        <v>178</v>
      </c>
      <c r="B57" t="s">
        <v>179</v>
      </c>
      <c r="C57" t="s">
        <v>180</v>
      </c>
      <c r="D57" t="s">
        <v>7</v>
      </c>
      <c r="K57" t="str">
        <f>T("184.1007")</f>
        <v>184.1007</v>
      </c>
      <c r="AG57" t="str">
        <f>T("2010")</f>
        <v>2010</v>
      </c>
      <c r="AH57" t="str">
        <f>T("3")</f>
        <v>3</v>
      </c>
      <c r="AK57" t="str">
        <f>T("627")</f>
        <v>627</v>
      </c>
    </row>
    <row r="58" spans="1:37" x14ac:dyDescent="0.3">
      <c r="A58" t="s">
        <v>181</v>
      </c>
      <c r="B58" t="s">
        <v>182</v>
      </c>
      <c r="C58" t="s">
        <v>183</v>
      </c>
      <c r="D58" t="s">
        <v>184</v>
      </c>
      <c r="K58" t="str">
        <f>T("172.892")</f>
        <v>172.892</v>
      </c>
      <c r="L58" t="str">
        <f>T("176.300")</f>
        <v>176.300</v>
      </c>
    </row>
    <row r="59" spans="1:37" x14ac:dyDescent="0.3">
      <c r="A59" t="s">
        <v>185</v>
      </c>
      <c r="B59" t="s">
        <v>186</v>
      </c>
      <c r="C59" t="s">
        <v>187</v>
      </c>
      <c r="D59" t="s">
        <v>188</v>
      </c>
      <c r="K59" t="str">
        <f>T("173.5")</f>
        <v>173.5</v>
      </c>
      <c r="L59" t="str">
        <f>T("175.105")</f>
        <v>175.105</v>
      </c>
      <c r="M59" t="str">
        <f>T("176.110")</f>
        <v>176.110</v>
      </c>
      <c r="N59" t="str">
        <f>T("176.180")</f>
        <v>176.180</v>
      </c>
    </row>
    <row r="60" spans="1:37" x14ac:dyDescent="0.3">
      <c r="A60" t="s">
        <v>189</v>
      </c>
      <c r="B60" t="s">
        <v>190</v>
      </c>
      <c r="C60" t="s">
        <v>191</v>
      </c>
      <c r="D60" t="s">
        <v>192</v>
      </c>
      <c r="K60" t="str">
        <f>T("172.710")</f>
        <v>172.710</v>
      </c>
      <c r="L60" t="str">
        <f>T("173.310")</f>
        <v>173.310</v>
      </c>
      <c r="M60" t="str">
        <f>T("173.5")</f>
        <v>173.5</v>
      </c>
    </row>
    <row r="61" spans="1:37" x14ac:dyDescent="0.3">
      <c r="A61" t="s">
        <v>193</v>
      </c>
      <c r="B61" t="s">
        <v>194</v>
      </c>
      <c r="C61" t="s">
        <v>195</v>
      </c>
      <c r="D61" t="s">
        <v>192</v>
      </c>
      <c r="K61" t="str">
        <f>T("173.310")</f>
        <v>173.310</v>
      </c>
      <c r="L61" t="str">
        <f>T("176.170")</f>
        <v>176.170</v>
      </c>
    </row>
    <row r="62" spans="1:37" x14ac:dyDescent="0.3">
      <c r="A62" t="s">
        <v>196</v>
      </c>
      <c r="B62" t="s">
        <v>197</v>
      </c>
      <c r="C62" t="s">
        <v>198</v>
      </c>
      <c r="D62" t="s">
        <v>199</v>
      </c>
      <c r="K62" t="str">
        <f>T("177.1210")</f>
        <v>177.1210</v>
      </c>
    </row>
    <row r="63" spans="1:37" x14ac:dyDescent="0.3">
      <c r="A63" t="s">
        <v>200</v>
      </c>
      <c r="B63" t="s">
        <v>201</v>
      </c>
      <c r="C63" t="s">
        <v>202</v>
      </c>
      <c r="D63" t="s">
        <v>203</v>
      </c>
      <c r="K63" t="str">
        <f>T("175.300")</f>
        <v>175.300</v>
      </c>
      <c r="L63" t="str">
        <f>T("175.320")</f>
        <v>175.320</v>
      </c>
      <c r="M63" t="str">
        <f>T("176.170")</f>
        <v>176.170</v>
      </c>
      <c r="N63" t="str">
        <f>T("176.180")</f>
        <v>176.180</v>
      </c>
      <c r="O63" t="str">
        <f>T("177.1200")</f>
        <v>177.1200</v>
      </c>
      <c r="P63" t="str">
        <f>T("177.1390")</f>
        <v>177.1390</v>
      </c>
      <c r="Q63" t="str">
        <f>T("177.1500")</f>
        <v>177.1500</v>
      </c>
      <c r="R63" t="str">
        <f>T("177.1630")</f>
        <v>177.1630</v>
      </c>
      <c r="S63" t="str">
        <f>T("177.1680")</f>
        <v>177.1680</v>
      </c>
      <c r="T63" t="str">
        <f>T("177.2420")</f>
        <v>177.2420</v>
      </c>
      <c r="U63" t="str">
        <f>T("177.2600")</f>
        <v>177.2600</v>
      </c>
      <c r="V63" t="str">
        <f>T("184.1009")</f>
        <v>184.1009</v>
      </c>
      <c r="AG63" t="str">
        <f>T("2011")</f>
        <v>2011</v>
      </c>
      <c r="AH63" t="str">
        <f>T("3")</f>
        <v>3</v>
      </c>
      <c r="AI63" t="str">
        <f>T("25")</f>
        <v>25</v>
      </c>
      <c r="AK63" t="str">
        <f>T("623")</f>
        <v>623</v>
      </c>
    </row>
    <row r="64" spans="1:37" x14ac:dyDescent="0.3">
      <c r="A64" t="s">
        <v>204</v>
      </c>
      <c r="B64" t="s">
        <v>205</v>
      </c>
      <c r="C64" t="s">
        <v>206</v>
      </c>
      <c r="D64" t="s">
        <v>203</v>
      </c>
      <c r="K64" t="str">
        <f>T("172.892")</f>
        <v>172.892</v>
      </c>
    </row>
    <row r="65" spans="1:37" x14ac:dyDescent="0.3">
      <c r="A65" t="s">
        <v>207</v>
      </c>
      <c r="B65" t="s">
        <v>208</v>
      </c>
      <c r="C65" t="s">
        <v>209</v>
      </c>
      <c r="D65" t="s">
        <v>11</v>
      </c>
      <c r="K65" t="str">
        <f>T("172.803")</f>
        <v>172.803</v>
      </c>
      <c r="AG65" t="str">
        <f>T("4716")</f>
        <v>4716</v>
      </c>
      <c r="AH65" t="str">
        <f>T("25")</f>
        <v>25</v>
      </c>
    </row>
    <row r="66" spans="1:37" x14ac:dyDescent="0.3">
      <c r="A66" t="s">
        <v>210</v>
      </c>
      <c r="B66" t="s">
        <v>211</v>
      </c>
      <c r="C66" t="s">
        <v>212</v>
      </c>
      <c r="D66" t="s">
        <v>213</v>
      </c>
      <c r="AG66" t="str">
        <f>T("3252")</f>
        <v>3252</v>
      </c>
      <c r="AH66" t="str">
        <f>T("5")</f>
        <v>5</v>
      </c>
      <c r="AK66" t="str">
        <f>T("1418")</f>
        <v>1418</v>
      </c>
    </row>
    <row r="67" spans="1:37" x14ac:dyDescent="0.3">
      <c r="A67" t="s">
        <v>214</v>
      </c>
      <c r="B67" t="s">
        <v>215</v>
      </c>
      <c r="C67" t="s">
        <v>216</v>
      </c>
      <c r="D67" t="s">
        <v>7</v>
      </c>
      <c r="K67" t="str">
        <f>T("172.540")</f>
        <v>172.540</v>
      </c>
      <c r="AG67" t="str">
        <f>T("3818")</f>
        <v>3818</v>
      </c>
      <c r="AH67" t="str">
        <f>T("18")</f>
        <v>18</v>
      </c>
      <c r="AI67" t="str">
        <f>T("25")</f>
        <v>25</v>
      </c>
      <c r="AK67" t="str">
        <f>T("1437")</f>
        <v>1437</v>
      </c>
    </row>
    <row r="68" spans="1:37" x14ac:dyDescent="0.3">
      <c r="A68" t="s">
        <v>217</v>
      </c>
      <c r="B68" t="s">
        <v>218</v>
      </c>
      <c r="C68" t="s">
        <v>219</v>
      </c>
      <c r="D68" t="s">
        <v>137</v>
      </c>
      <c r="K68" t="str">
        <f>T("172.320")</f>
        <v>172.320</v>
      </c>
      <c r="AG68" t="str">
        <f>T("3818")</f>
        <v>3818</v>
      </c>
      <c r="AH68" t="str">
        <f>T("18")</f>
        <v>18</v>
      </c>
      <c r="AI68" t="str">
        <f>T("25")</f>
        <v>25</v>
      </c>
      <c r="AK68" t="str">
        <f>T("1437")</f>
        <v>1437</v>
      </c>
    </row>
    <row r="69" spans="1:37" x14ac:dyDescent="0.3">
      <c r="A69" t="s">
        <v>220</v>
      </c>
      <c r="B69" t="s">
        <v>221</v>
      </c>
      <c r="C69" t="s">
        <v>222</v>
      </c>
      <c r="D69" t="s">
        <v>7</v>
      </c>
      <c r="AG69" t="str">
        <f>T("4712")</f>
        <v>4712</v>
      </c>
      <c r="AH69" t="str">
        <f>T("25")</f>
        <v>25</v>
      </c>
      <c r="AK69" t="str">
        <f>T("2121")</f>
        <v>2121</v>
      </c>
    </row>
    <row r="70" spans="1:37" x14ac:dyDescent="0.3">
      <c r="A70" t="s">
        <v>223</v>
      </c>
      <c r="B70" t="s">
        <v>224</v>
      </c>
      <c r="C70" t="s">
        <v>225</v>
      </c>
      <c r="D70" t="s">
        <v>226</v>
      </c>
      <c r="AF70" t="s">
        <v>227</v>
      </c>
    </row>
    <row r="71" spans="1:37" x14ac:dyDescent="0.3">
      <c r="A71" t="s">
        <v>228</v>
      </c>
      <c r="B71" t="s">
        <v>229</v>
      </c>
      <c r="C71" t="s">
        <v>230</v>
      </c>
      <c r="D71" t="s">
        <v>199</v>
      </c>
      <c r="E71" t="str">
        <f>T("73.1")</f>
        <v>73.1</v>
      </c>
    </row>
    <row r="72" spans="1:37" x14ac:dyDescent="0.3">
      <c r="A72" t="s">
        <v>231</v>
      </c>
      <c r="B72" t="s">
        <v>232</v>
      </c>
      <c r="C72" t="s">
        <v>233</v>
      </c>
      <c r="D72" t="s">
        <v>199</v>
      </c>
      <c r="E72" t="str">
        <f>T("73.1")</f>
        <v>73.1</v>
      </c>
    </row>
    <row r="73" spans="1:37" x14ac:dyDescent="0.3">
      <c r="A73" t="s">
        <v>234</v>
      </c>
      <c r="B73" t="s">
        <v>235</v>
      </c>
      <c r="C73" t="s">
        <v>236</v>
      </c>
      <c r="D73" t="s">
        <v>15</v>
      </c>
      <c r="K73" t="str">
        <f>T("182.20")</f>
        <v>182.20</v>
      </c>
      <c r="AG73" t="str">
        <f>T("2013")</f>
        <v>2013</v>
      </c>
      <c r="AH73" t="str">
        <f>T("3")</f>
        <v>3</v>
      </c>
    </row>
    <row r="74" spans="1:37" x14ac:dyDescent="0.3">
      <c r="A74" t="s">
        <v>237</v>
      </c>
      <c r="B74" t="s">
        <v>238</v>
      </c>
      <c r="C74" t="s">
        <v>239</v>
      </c>
      <c r="D74" t="s">
        <v>15</v>
      </c>
      <c r="K74" t="str">
        <f>T("182.10")</f>
        <v>182.10</v>
      </c>
    </row>
    <row r="75" spans="1:37" x14ac:dyDescent="0.3">
      <c r="A75" t="s">
        <v>240</v>
      </c>
      <c r="B75" t="s">
        <v>241</v>
      </c>
      <c r="C75" t="s">
        <v>242</v>
      </c>
      <c r="D75" t="s">
        <v>15</v>
      </c>
      <c r="K75" t="str">
        <f>T("184.1120")</f>
        <v>184.1120</v>
      </c>
      <c r="AG75" t="str">
        <f>T("2014")</f>
        <v>2014</v>
      </c>
      <c r="AH75" t="str">
        <f>T("3")</f>
        <v>3</v>
      </c>
    </row>
    <row r="76" spans="1:37" x14ac:dyDescent="0.3">
      <c r="A76" t="s">
        <v>243</v>
      </c>
      <c r="B76" t="s">
        <v>244</v>
      </c>
      <c r="C76" t="s">
        <v>245</v>
      </c>
      <c r="D76" t="s">
        <v>15</v>
      </c>
      <c r="K76" t="str">
        <f>T("184.1121")</f>
        <v>184.1121</v>
      </c>
      <c r="AG76" t="str">
        <f>T("2405")</f>
        <v>2405</v>
      </c>
      <c r="AH76" t="str">
        <f>T("3")</f>
        <v>3</v>
      </c>
    </row>
    <row r="77" spans="1:37" x14ac:dyDescent="0.3">
      <c r="A77" t="s">
        <v>246</v>
      </c>
      <c r="B77" t="s">
        <v>247</v>
      </c>
      <c r="C77" t="s">
        <v>248</v>
      </c>
      <c r="D77" t="s">
        <v>15</v>
      </c>
      <c r="K77" t="str">
        <f>T("184.1121")</f>
        <v>184.1121</v>
      </c>
    </row>
    <row r="78" spans="1:37" x14ac:dyDescent="0.3">
      <c r="A78" t="s">
        <v>249</v>
      </c>
      <c r="B78" t="s">
        <v>250</v>
      </c>
      <c r="C78" t="s">
        <v>251</v>
      </c>
      <c r="D78" t="s">
        <v>252</v>
      </c>
      <c r="K78" t="str">
        <f>T("173.310")</f>
        <v>173.310</v>
      </c>
      <c r="L78" t="str">
        <f>T("178.3900")</f>
        <v>178.3900</v>
      </c>
      <c r="M78" t="str">
        <f>T("184.1133")</f>
        <v>184.1133</v>
      </c>
      <c r="AG78" t="str">
        <f>T("2015")</f>
        <v>2015</v>
      </c>
      <c r="AH78" t="str">
        <f>T("3")</f>
        <v>3</v>
      </c>
    </row>
    <row r="79" spans="1:37" x14ac:dyDescent="0.3">
      <c r="A79" t="s">
        <v>253</v>
      </c>
      <c r="B79" t="s">
        <v>254</v>
      </c>
      <c r="C79" t="s">
        <v>255</v>
      </c>
      <c r="D79" t="s">
        <v>252</v>
      </c>
      <c r="K79" t="str">
        <f>T("184.1187")</f>
        <v>184.1187</v>
      </c>
      <c r="AG79" t="str">
        <f>T("2015")</f>
        <v>2015</v>
      </c>
      <c r="AH79" t="str">
        <f>T("3")</f>
        <v>3</v>
      </c>
    </row>
    <row r="80" spans="1:37" x14ac:dyDescent="0.3">
      <c r="A80" t="s">
        <v>256</v>
      </c>
      <c r="B80" t="s">
        <v>257</v>
      </c>
      <c r="C80" t="s">
        <v>258</v>
      </c>
      <c r="D80" t="s">
        <v>252</v>
      </c>
      <c r="K80" t="str">
        <f>T("184.1610")</f>
        <v>184.1610</v>
      </c>
    </row>
    <row r="81" spans="1:37" x14ac:dyDescent="0.3">
      <c r="A81" t="s">
        <v>259</v>
      </c>
      <c r="B81" t="s">
        <v>260</v>
      </c>
      <c r="C81" t="s">
        <v>261</v>
      </c>
      <c r="D81" t="s">
        <v>252</v>
      </c>
    </row>
    <row r="82" spans="1:37" x14ac:dyDescent="0.3">
      <c r="A82" t="s">
        <v>262</v>
      </c>
      <c r="B82" t="s">
        <v>263</v>
      </c>
      <c r="C82" t="s">
        <v>264</v>
      </c>
      <c r="D82" t="s">
        <v>265</v>
      </c>
      <c r="K82" t="str">
        <f>T("184.1011")</f>
        <v>184.1011</v>
      </c>
    </row>
    <row r="83" spans="1:37" x14ac:dyDescent="0.3">
      <c r="A83" t="s">
        <v>266</v>
      </c>
      <c r="B83" t="s">
        <v>267</v>
      </c>
      <c r="C83" t="s">
        <v>268</v>
      </c>
      <c r="AG83" t="s">
        <v>269</v>
      </c>
      <c r="AH83" t="str">
        <f>T("3")</f>
        <v>3</v>
      </c>
      <c r="AI83" t="str">
        <f>T("4")</f>
        <v>4</v>
      </c>
      <c r="AJ83" t="s">
        <v>270</v>
      </c>
    </row>
    <row r="84" spans="1:37" x14ac:dyDescent="0.3">
      <c r="A84" t="s">
        <v>271</v>
      </c>
      <c r="B84" t="s">
        <v>272</v>
      </c>
      <c r="C84" t="s">
        <v>273</v>
      </c>
      <c r="D84" t="s">
        <v>199</v>
      </c>
      <c r="K84" t="str">
        <f>T("173.322")</f>
        <v>173.322</v>
      </c>
      <c r="L84" t="str">
        <f>T("176.180")</f>
        <v>176.180</v>
      </c>
      <c r="M84" t="str">
        <f>T("176.210")</f>
        <v>176.210</v>
      </c>
      <c r="N84" t="str">
        <f>T("177.2800")</f>
        <v>177.2800</v>
      </c>
    </row>
    <row r="85" spans="1:37" x14ac:dyDescent="0.3">
      <c r="A85" t="s">
        <v>274</v>
      </c>
      <c r="B85" t="s">
        <v>275</v>
      </c>
      <c r="C85" t="s">
        <v>276</v>
      </c>
      <c r="K85" t="str">
        <f>T("173.315")</f>
        <v>173.315</v>
      </c>
    </row>
    <row r="86" spans="1:37" x14ac:dyDescent="0.3">
      <c r="A86" t="s">
        <v>277</v>
      </c>
      <c r="B86" t="s">
        <v>278</v>
      </c>
      <c r="C86" t="s">
        <v>279</v>
      </c>
      <c r="K86" t="str">
        <f>T("172.710")</f>
        <v>172.710</v>
      </c>
    </row>
    <row r="87" spans="1:37" x14ac:dyDescent="0.3">
      <c r="A87" t="s">
        <v>280</v>
      </c>
      <c r="B87" t="s">
        <v>281</v>
      </c>
      <c r="C87" t="s">
        <v>282</v>
      </c>
      <c r="D87" t="s">
        <v>199</v>
      </c>
      <c r="K87" t="str">
        <f>T("173.322")</f>
        <v>173.322</v>
      </c>
    </row>
    <row r="88" spans="1:37" x14ac:dyDescent="0.3">
      <c r="A88" t="s">
        <v>283</v>
      </c>
      <c r="B88" t="s">
        <v>284</v>
      </c>
      <c r="C88" t="s">
        <v>285</v>
      </c>
      <c r="D88" t="s">
        <v>286</v>
      </c>
      <c r="K88" t="str">
        <f>T("182.10")</f>
        <v>182.10</v>
      </c>
      <c r="AF88" t="str">
        <f>T("101.22")</f>
        <v>101.22</v>
      </c>
      <c r="AG88" t="str">
        <f>T("2017")</f>
        <v>2017</v>
      </c>
      <c r="AH88" t="str">
        <f t="shared" ref="AH88:AH94" si="0">T("3")</f>
        <v>3</v>
      </c>
    </row>
    <row r="89" spans="1:37" x14ac:dyDescent="0.3">
      <c r="A89" t="s">
        <v>287</v>
      </c>
      <c r="B89" t="s">
        <v>288</v>
      </c>
      <c r="C89" t="s">
        <v>289</v>
      </c>
      <c r="D89" t="s">
        <v>7</v>
      </c>
      <c r="K89" t="str">
        <f>T("182.20")</f>
        <v>182.20</v>
      </c>
      <c r="AG89" t="str">
        <f>T("2018")</f>
        <v>2018</v>
      </c>
      <c r="AH89" t="str">
        <f t="shared" si="0"/>
        <v>3</v>
      </c>
    </row>
    <row r="90" spans="1:37" x14ac:dyDescent="0.3">
      <c r="A90" t="s">
        <v>290</v>
      </c>
      <c r="B90" t="s">
        <v>291</v>
      </c>
      <c r="C90" t="s">
        <v>292</v>
      </c>
      <c r="D90" t="s">
        <v>7</v>
      </c>
      <c r="K90" t="str">
        <f>T("182.20")</f>
        <v>182.20</v>
      </c>
      <c r="AG90" t="str">
        <f>T("2019")</f>
        <v>2019</v>
      </c>
      <c r="AH90" t="str">
        <f t="shared" si="0"/>
        <v>3</v>
      </c>
      <c r="AI90" t="str">
        <f>T("25")</f>
        <v>25</v>
      </c>
    </row>
    <row r="91" spans="1:37" x14ac:dyDescent="0.3">
      <c r="A91" t="s">
        <v>293</v>
      </c>
      <c r="B91" t="s">
        <v>294</v>
      </c>
      <c r="C91" t="s">
        <v>295</v>
      </c>
      <c r="D91" t="s">
        <v>7</v>
      </c>
      <c r="K91" t="str">
        <f>T("172.515")</f>
        <v>172.515</v>
      </c>
      <c r="AG91" t="str">
        <f>T("2033")</f>
        <v>2033</v>
      </c>
      <c r="AH91" t="str">
        <f t="shared" si="0"/>
        <v>3</v>
      </c>
      <c r="AK91" t="str">
        <f>T("401")</f>
        <v>401</v>
      </c>
    </row>
    <row r="92" spans="1:37" x14ac:dyDescent="0.3">
      <c r="A92" t="s">
        <v>296</v>
      </c>
      <c r="B92" t="s">
        <v>297</v>
      </c>
      <c r="C92" t="s">
        <v>298</v>
      </c>
      <c r="D92" t="s">
        <v>15</v>
      </c>
      <c r="K92" t="str">
        <f>T("172.515")</f>
        <v>172.515</v>
      </c>
      <c r="AG92" t="str">
        <f>T("2020")</f>
        <v>2020</v>
      </c>
      <c r="AH92" t="str">
        <f t="shared" si="0"/>
        <v>3</v>
      </c>
      <c r="AK92" t="str">
        <f>T("20")</f>
        <v>20</v>
      </c>
    </row>
    <row r="93" spans="1:37" x14ac:dyDescent="0.3">
      <c r="A93" t="s">
        <v>299</v>
      </c>
      <c r="B93" t="s">
        <v>300</v>
      </c>
      <c r="C93" t="s">
        <v>301</v>
      </c>
      <c r="D93" t="s">
        <v>7</v>
      </c>
      <c r="K93" t="str">
        <f>T("172.515")</f>
        <v>172.515</v>
      </c>
      <c r="AG93" t="str">
        <f>T("2021")</f>
        <v>2021</v>
      </c>
      <c r="AH93" t="str">
        <f t="shared" si="0"/>
        <v>3</v>
      </c>
      <c r="AI93" t="str">
        <f>T("25")</f>
        <v>25</v>
      </c>
      <c r="AK93" t="str">
        <f>T("2")</f>
        <v>2</v>
      </c>
    </row>
    <row r="94" spans="1:37" x14ac:dyDescent="0.3">
      <c r="A94" t="s">
        <v>302</v>
      </c>
      <c r="B94" t="s">
        <v>303</v>
      </c>
      <c r="C94" t="s">
        <v>304</v>
      </c>
      <c r="D94" t="s">
        <v>7</v>
      </c>
      <c r="K94" t="str">
        <f>T("172.515")</f>
        <v>172.515</v>
      </c>
      <c r="AG94" t="str">
        <f>T("2022")</f>
        <v>2022</v>
      </c>
      <c r="AH94" t="str">
        <f t="shared" si="0"/>
        <v>3</v>
      </c>
      <c r="AK94" t="str">
        <f>T("19")</f>
        <v>19</v>
      </c>
    </row>
    <row r="95" spans="1:37" x14ac:dyDescent="0.3">
      <c r="A95" t="s">
        <v>305</v>
      </c>
      <c r="B95" t="s">
        <v>306</v>
      </c>
      <c r="C95" t="s">
        <v>307</v>
      </c>
      <c r="D95" t="s">
        <v>7</v>
      </c>
      <c r="AG95" t="str">
        <f>T("4072")</f>
        <v>4072</v>
      </c>
      <c r="AH95" t="str">
        <f>T("22")</f>
        <v>22</v>
      </c>
    </row>
    <row r="96" spans="1:37" x14ac:dyDescent="0.3">
      <c r="A96" t="s">
        <v>308</v>
      </c>
      <c r="B96" t="s">
        <v>309</v>
      </c>
      <c r="C96" t="s">
        <v>310</v>
      </c>
      <c r="D96" t="s">
        <v>15</v>
      </c>
      <c r="K96" t="str">
        <f>T("172.515")</f>
        <v>172.515</v>
      </c>
      <c r="AG96" t="str">
        <f>T("2023")</f>
        <v>2023</v>
      </c>
      <c r="AH96" t="str">
        <f>T("3")</f>
        <v>3</v>
      </c>
      <c r="AK96" t="str">
        <f>T("12")</f>
        <v>12</v>
      </c>
    </row>
    <row r="97" spans="1:37" x14ac:dyDescent="0.3">
      <c r="A97" t="s">
        <v>311</v>
      </c>
      <c r="B97" t="s">
        <v>312</v>
      </c>
      <c r="C97" t="s">
        <v>313</v>
      </c>
      <c r="D97" t="s">
        <v>7</v>
      </c>
      <c r="K97" t="str">
        <f>T("172.515")</f>
        <v>172.515</v>
      </c>
      <c r="AG97" t="str">
        <f>T("2024")</f>
        <v>2024</v>
      </c>
      <c r="AH97" t="str">
        <f>T("3")</f>
        <v>3</v>
      </c>
      <c r="AK97" t="str">
        <f>T("14")</f>
        <v>14</v>
      </c>
    </row>
    <row r="98" spans="1:37" x14ac:dyDescent="0.3">
      <c r="A98" t="s">
        <v>314</v>
      </c>
      <c r="B98" t="s">
        <v>315</v>
      </c>
      <c r="C98" t="s">
        <v>316</v>
      </c>
      <c r="D98" t="s">
        <v>7</v>
      </c>
      <c r="K98" t="str">
        <f>T("172.515")</f>
        <v>172.515</v>
      </c>
      <c r="AG98" t="str">
        <f>T("2025")</f>
        <v>2025</v>
      </c>
      <c r="AH98" t="str">
        <f>T("3")</f>
        <v>3</v>
      </c>
      <c r="AK98" t="str">
        <f>T("16")</f>
        <v>16</v>
      </c>
    </row>
    <row r="99" spans="1:37" x14ac:dyDescent="0.3">
      <c r="A99" t="s">
        <v>317</v>
      </c>
      <c r="B99" t="s">
        <v>318</v>
      </c>
      <c r="C99" t="s">
        <v>319</v>
      </c>
      <c r="D99" t="s">
        <v>7</v>
      </c>
      <c r="K99" t="str">
        <f>T("172.515")</f>
        <v>172.515</v>
      </c>
      <c r="AG99" t="str">
        <f>T("2026")</f>
        <v>2026</v>
      </c>
      <c r="AH99" t="str">
        <f>T("3")</f>
        <v>3</v>
      </c>
      <c r="AK99" t="str">
        <f>T("13")</f>
        <v>13</v>
      </c>
    </row>
    <row r="100" spans="1:37" x14ac:dyDescent="0.3">
      <c r="A100" t="s">
        <v>320</v>
      </c>
      <c r="B100" t="s">
        <v>321</v>
      </c>
      <c r="C100" t="s">
        <v>322</v>
      </c>
      <c r="D100" t="s">
        <v>7</v>
      </c>
      <c r="K100" t="str">
        <f>T("172.515")</f>
        <v>172.515</v>
      </c>
      <c r="AG100" t="str">
        <f>T("2027")</f>
        <v>2027</v>
      </c>
      <c r="AH100" t="str">
        <f>T("3")</f>
        <v>3</v>
      </c>
      <c r="AK100" t="str">
        <f>T("15")</f>
        <v>15</v>
      </c>
    </row>
    <row r="101" spans="1:37" x14ac:dyDescent="0.3">
      <c r="A101" t="s">
        <v>323</v>
      </c>
      <c r="B101" t="s">
        <v>324</v>
      </c>
      <c r="C101" t="s">
        <v>325</v>
      </c>
      <c r="D101" t="s">
        <v>7</v>
      </c>
      <c r="AG101" t="str">
        <f>T("4322")</f>
        <v>4322</v>
      </c>
      <c r="AH101" t="str">
        <f>T("23")</f>
        <v>23</v>
      </c>
      <c r="AK101" t="str">
        <f>T("1710")</f>
        <v>1710</v>
      </c>
    </row>
    <row r="102" spans="1:37" ht="158.4" x14ac:dyDescent="0.3">
      <c r="A102" t="s">
        <v>326</v>
      </c>
      <c r="B102" t="s">
        <v>327</v>
      </c>
      <c r="C102" s="1" t="s">
        <v>328</v>
      </c>
      <c r="D102" t="s">
        <v>7</v>
      </c>
      <c r="AG102" t="str">
        <f>T("3655")</f>
        <v>3655</v>
      </c>
      <c r="AH102" t="str">
        <f>T("13")</f>
        <v>13</v>
      </c>
      <c r="AK102" t="str">
        <f>T("726")</f>
        <v>726</v>
      </c>
    </row>
    <row r="103" spans="1:37" x14ac:dyDescent="0.3">
      <c r="A103" t="s">
        <v>329</v>
      </c>
      <c r="B103" t="s">
        <v>330</v>
      </c>
      <c r="C103" t="s">
        <v>331</v>
      </c>
      <c r="D103" t="s">
        <v>15</v>
      </c>
      <c r="K103" t="str">
        <f>T("172.515")</f>
        <v>172.515</v>
      </c>
      <c r="AG103" t="str">
        <f>T("2028")</f>
        <v>2028</v>
      </c>
      <c r="AH103" t="str">
        <f>T("3")</f>
        <v>3</v>
      </c>
      <c r="AK103" t="str">
        <f>T("572")</f>
        <v>572</v>
      </c>
    </row>
    <row r="104" spans="1:37" x14ac:dyDescent="0.3">
      <c r="A104" t="s">
        <v>332</v>
      </c>
      <c r="B104" t="s">
        <v>333</v>
      </c>
      <c r="C104" t="s">
        <v>334</v>
      </c>
      <c r="D104" t="s">
        <v>15</v>
      </c>
      <c r="K104" t="str">
        <f>T("172.515")</f>
        <v>172.515</v>
      </c>
      <c r="AG104" t="str">
        <f>T("2029")</f>
        <v>2029</v>
      </c>
      <c r="AH104" t="str">
        <f>T("3")</f>
        <v>3</v>
      </c>
      <c r="AK104" t="str">
        <f>T("11")</f>
        <v>11</v>
      </c>
    </row>
    <row r="105" spans="1:37" x14ac:dyDescent="0.3">
      <c r="A105" t="s">
        <v>335</v>
      </c>
      <c r="B105" t="s">
        <v>336</v>
      </c>
      <c r="C105" t="s">
        <v>337</v>
      </c>
      <c r="D105" t="s">
        <v>7</v>
      </c>
      <c r="AG105" t="str">
        <f>T("2030")</f>
        <v>2030</v>
      </c>
      <c r="AH105" t="str">
        <f>T("3")</f>
        <v>3</v>
      </c>
      <c r="AK105" t="str">
        <f>T("21")</f>
        <v>21</v>
      </c>
    </row>
    <row r="106" spans="1:37" x14ac:dyDescent="0.3">
      <c r="A106" t="s">
        <v>338</v>
      </c>
      <c r="B106" t="s">
        <v>339</v>
      </c>
      <c r="C106" t="s">
        <v>340</v>
      </c>
      <c r="D106" t="s">
        <v>7</v>
      </c>
      <c r="AG106" t="str">
        <f>T("2031")</f>
        <v>2031</v>
      </c>
      <c r="AH106" t="str">
        <f>T("3")</f>
        <v>3</v>
      </c>
      <c r="AK106" t="str">
        <f>T("4")</f>
        <v>4</v>
      </c>
    </row>
    <row r="107" spans="1:37" x14ac:dyDescent="0.3">
      <c r="A107" t="s">
        <v>341</v>
      </c>
      <c r="B107" t="s">
        <v>342</v>
      </c>
      <c r="C107" t="s">
        <v>343</v>
      </c>
      <c r="D107" t="s">
        <v>7</v>
      </c>
      <c r="K107" t="str">
        <f>T("172.515")</f>
        <v>172.515</v>
      </c>
      <c r="AG107" t="str">
        <f>T("2032")</f>
        <v>2032</v>
      </c>
      <c r="AH107" t="str">
        <f>T("3")</f>
        <v>3</v>
      </c>
      <c r="AK107" t="str">
        <f>T("3")</f>
        <v>3</v>
      </c>
    </row>
    <row r="108" spans="1:37" x14ac:dyDescent="0.3">
      <c r="A108" t="s">
        <v>344</v>
      </c>
      <c r="B108" t="s">
        <v>345</v>
      </c>
      <c r="C108" t="s">
        <v>346</v>
      </c>
    </row>
    <row r="109" spans="1:37" x14ac:dyDescent="0.3">
      <c r="A109" t="s">
        <v>347</v>
      </c>
      <c r="B109" t="s">
        <v>348</v>
      </c>
      <c r="C109" t="s">
        <v>349</v>
      </c>
      <c r="D109" t="s">
        <v>7</v>
      </c>
      <c r="K109" t="str">
        <f>T("172.515")</f>
        <v>172.515</v>
      </c>
      <c r="AG109" t="str">
        <f>T("2034")</f>
        <v>2034</v>
      </c>
      <c r="AH109" t="str">
        <f>T("3")</f>
        <v>3</v>
      </c>
      <c r="AK109" t="str">
        <f>T("1560")</f>
        <v>1560</v>
      </c>
    </row>
    <row r="110" spans="1:37" x14ac:dyDescent="0.3">
      <c r="A110" t="s">
        <v>350</v>
      </c>
      <c r="B110" t="s">
        <v>351</v>
      </c>
      <c r="C110" t="s">
        <v>352</v>
      </c>
      <c r="D110" t="s">
        <v>7</v>
      </c>
      <c r="K110" t="str">
        <f>T("172.515")</f>
        <v>172.515</v>
      </c>
      <c r="AG110" t="str">
        <f>T("2045")</f>
        <v>2045</v>
      </c>
      <c r="AH110" t="str">
        <f>T("3")</f>
        <v>3</v>
      </c>
      <c r="AI110" t="str">
        <f>T("25")</f>
        <v>25</v>
      </c>
      <c r="AK110" t="str">
        <f>T("7")</f>
        <v>7</v>
      </c>
    </row>
    <row r="111" spans="1:37" x14ac:dyDescent="0.3">
      <c r="A111" t="s">
        <v>353</v>
      </c>
      <c r="B111" t="s">
        <v>354</v>
      </c>
      <c r="C111" t="s">
        <v>355</v>
      </c>
      <c r="D111" t="s">
        <v>15</v>
      </c>
      <c r="K111" t="str">
        <f>T("172.515")</f>
        <v>172.515</v>
      </c>
      <c r="AG111" t="str">
        <f>T("2035")</f>
        <v>2035</v>
      </c>
      <c r="AH111" t="str">
        <f>T("3")</f>
        <v>3</v>
      </c>
      <c r="AK111" t="str">
        <f>T("521")</f>
        <v>521</v>
      </c>
    </row>
    <row r="112" spans="1:37" x14ac:dyDescent="0.3">
      <c r="A112" t="s">
        <v>356</v>
      </c>
      <c r="B112" t="s">
        <v>357</v>
      </c>
      <c r="C112" t="s">
        <v>358</v>
      </c>
      <c r="D112" t="s">
        <v>15</v>
      </c>
      <c r="AG112" t="str">
        <f>T("3127")</f>
        <v>3127</v>
      </c>
      <c r="AH112" t="str">
        <f>T("4")</f>
        <v>4</v>
      </c>
      <c r="AK112" t="str">
        <f>T("568")</f>
        <v>568</v>
      </c>
    </row>
    <row r="113" spans="1:37" x14ac:dyDescent="0.3">
      <c r="A113" t="s">
        <v>359</v>
      </c>
      <c r="B113" t="s">
        <v>360</v>
      </c>
      <c r="C113" t="s">
        <v>361</v>
      </c>
      <c r="D113" t="s">
        <v>7</v>
      </c>
      <c r="AG113" t="str">
        <f>T("3253")</f>
        <v>3253</v>
      </c>
      <c r="AH113" t="str">
        <f>T("5")</f>
        <v>5</v>
      </c>
      <c r="AK113" t="str">
        <f>T("586")</f>
        <v>586</v>
      </c>
    </row>
    <row r="114" spans="1:37" x14ac:dyDescent="0.3">
      <c r="A114" t="s">
        <v>362</v>
      </c>
      <c r="B114" t="s">
        <v>363</v>
      </c>
      <c r="C114" t="s">
        <v>364</v>
      </c>
      <c r="D114" t="s">
        <v>7</v>
      </c>
      <c r="K114" t="str">
        <f>T("172.515")</f>
        <v>172.515</v>
      </c>
      <c r="AG114" t="str">
        <f>T("2036")</f>
        <v>2036</v>
      </c>
      <c r="AH114" t="str">
        <f>T("3")</f>
        <v>3</v>
      </c>
      <c r="AK114" t="str">
        <f>T("6")</f>
        <v>6</v>
      </c>
    </row>
    <row r="115" spans="1:37" x14ac:dyDescent="0.3">
      <c r="A115" t="s">
        <v>365</v>
      </c>
      <c r="B115" t="s">
        <v>366</v>
      </c>
      <c r="C115" t="s">
        <v>367</v>
      </c>
      <c r="D115" t="s">
        <v>7</v>
      </c>
      <c r="K115" t="str">
        <f>T("172.515")</f>
        <v>172.515</v>
      </c>
      <c r="AG115" t="str">
        <f>T("2037")</f>
        <v>2037</v>
      </c>
      <c r="AH115" t="str">
        <f>T("3")</f>
        <v>3</v>
      </c>
      <c r="AK115" t="str">
        <f>T("5")</f>
        <v>5</v>
      </c>
    </row>
    <row r="116" spans="1:37" x14ac:dyDescent="0.3">
      <c r="A116" t="s">
        <v>368</v>
      </c>
      <c r="B116" t="s">
        <v>369</v>
      </c>
      <c r="C116" t="s">
        <v>370</v>
      </c>
      <c r="D116" t="s">
        <v>7</v>
      </c>
      <c r="AG116" t="str">
        <f>T("4075")</f>
        <v>4075</v>
      </c>
      <c r="AH116" t="str">
        <f>T("22")</f>
        <v>22</v>
      </c>
      <c r="AK116" t="str">
        <f>T("1527")</f>
        <v>1527</v>
      </c>
    </row>
    <row r="117" spans="1:37" x14ac:dyDescent="0.3">
      <c r="A117" t="s">
        <v>371</v>
      </c>
      <c r="B117" t="s">
        <v>372</v>
      </c>
      <c r="C117" t="s">
        <v>373</v>
      </c>
      <c r="D117" t="s">
        <v>7</v>
      </c>
      <c r="K117" t="str">
        <f>T("172.515")</f>
        <v>172.515</v>
      </c>
      <c r="AG117" t="str">
        <f>T("2038")</f>
        <v>2038</v>
      </c>
      <c r="AH117" t="str">
        <f>T("3")</f>
        <v>3</v>
      </c>
      <c r="AI117" t="str">
        <f>T("25")</f>
        <v>25</v>
      </c>
      <c r="AK117" t="str">
        <f>T("18")</f>
        <v>18</v>
      </c>
    </row>
    <row r="118" spans="1:37" x14ac:dyDescent="0.3">
      <c r="A118" t="s">
        <v>374</v>
      </c>
      <c r="B118" t="s">
        <v>375</v>
      </c>
      <c r="C118" t="s">
        <v>376</v>
      </c>
      <c r="D118" t="s">
        <v>7</v>
      </c>
      <c r="K118" t="str">
        <f>T("172.515")</f>
        <v>172.515</v>
      </c>
      <c r="AG118" t="str">
        <f>T("2039")</f>
        <v>2039</v>
      </c>
      <c r="AH118" t="str">
        <f>T("3")</f>
        <v>3</v>
      </c>
      <c r="AK118" t="str">
        <f>T("17")</f>
        <v>17</v>
      </c>
    </row>
    <row r="119" spans="1:37" x14ac:dyDescent="0.3">
      <c r="A119" t="s">
        <v>377</v>
      </c>
      <c r="B119" t="s">
        <v>378</v>
      </c>
      <c r="C119" t="s">
        <v>379</v>
      </c>
      <c r="D119" t="s">
        <v>15</v>
      </c>
      <c r="K119" t="str">
        <f>T("172.515")</f>
        <v>172.515</v>
      </c>
      <c r="AG119" t="str">
        <f>T("2040")</f>
        <v>2040</v>
      </c>
      <c r="AH119" t="str">
        <f>T("3")</f>
        <v>3</v>
      </c>
      <c r="AK119" t="str">
        <f>T("1")</f>
        <v>1</v>
      </c>
    </row>
    <row r="120" spans="1:37" x14ac:dyDescent="0.3">
      <c r="A120" t="s">
        <v>380</v>
      </c>
      <c r="B120" t="s">
        <v>381</v>
      </c>
      <c r="C120" t="s">
        <v>382</v>
      </c>
      <c r="D120" t="s">
        <v>7</v>
      </c>
      <c r="AG120" t="str">
        <f>T("4073")</f>
        <v>4073</v>
      </c>
      <c r="AH120" t="str">
        <f>T("22")</f>
        <v>22</v>
      </c>
      <c r="AK120" t="str">
        <f>T("1700")</f>
        <v>1700</v>
      </c>
    </row>
    <row r="121" spans="1:37" x14ac:dyDescent="0.3">
      <c r="A121" t="s">
        <v>383</v>
      </c>
      <c r="B121" t="s">
        <v>384</v>
      </c>
      <c r="C121" t="s">
        <v>385</v>
      </c>
      <c r="D121" t="s">
        <v>7</v>
      </c>
      <c r="K121" t="str">
        <f>T("172.515")</f>
        <v>172.515</v>
      </c>
      <c r="AG121" t="str">
        <f>T("2041")</f>
        <v>2041</v>
      </c>
      <c r="AH121" t="str">
        <f>T("3")</f>
        <v>3</v>
      </c>
      <c r="AK121" t="str">
        <f>T("8")</f>
        <v>8</v>
      </c>
    </row>
    <row r="122" spans="1:37" x14ac:dyDescent="0.3">
      <c r="A122" t="s">
        <v>386</v>
      </c>
      <c r="B122" t="s">
        <v>387</v>
      </c>
      <c r="C122" t="s">
        <v>388</v>
      </c>
      <c r="D122" t="s">
        <v>15</v>
      </c>
      <c r="K122" t="str">
        <f>T("172.515")</f>
        <v>172.515</v>
      </c>
      <c r="AG122" t="str">
        <f>T("2042")</f>
        <v>2042</v>
      </c>
      <c r="AH122" t="str">
        <f>T("3")</f>
        <v>3</v>
      </c>
      <c r="AK122" t="str">
        <f>T("458")</f>
        <v>458</v>
      </c>
    </row>
    <row r="123" spans="1:37" x14ac:dyDescent="0.3">
      <c r="A123" t="s">
        <v>389</v>
      </c>
      <c r="B123" t="s">
        <v>390</v>
      </c>
      <c r="C123" t="s">
        <v>391</v>
      </c>
      <c r="D123" t="s">
        <v>7</v>
      </c>
      <c r="AG123" t="str">
        <f>T("4076")</f>
        <v>4076</v>
      </c>
      <c r="AH123" t="str">
        <f>T("22")</f>
        <v>22</v>
      </c>
      <c r="AK123" t="str">
        <f>T("1681")</f>
        <v>1681</v>
      </c>
    </row>
    <row r="124" spans="1:37" x14ac:dyDescent="0.3">
      <c r="A124" t="s">
        <v>392</v>
      </c>
      <c r="B124" t="s">
        <v>393</v>
      </c>
      <c r="C124" t="s">
        <v>394</v>
      </c>
      <c r="D124" t="s">
        <v>395</v>
      </c>
      <c r="AG124" t="str">
        <f>T("3329")</f>
        <v>3329</v>
      </c>
      <c r="AH124" t="str">
        <f>T("6")</f>
        <v>6</v>
      </c>
      <c r="AK124" t="str">
        <f>T("490")</f>
        <v>490</v>
      </c>
    </row>
    <row r="125" spans="1:37" x14ac:dyDescent="0.3">
      <c r="A125" t="s">
        <v>396</v>
      </c>
      <c r="B125" t="s">
        <v>397</v>
      </c>
      <c r="C125" t="s">
        <v>398</v>
      </c>
      <c r="D125" t="s">
        <v>7</v>
      </c>
      <c r="K125" t="str">
        <f>T("172.515")</f>
        <v>172.515</v>
      </c>
      <c r="AG125" t="str">
        <f>T("2043")</f>
        <v>2043</v>
      </c>
      <c r="AH125" t="str">
        <f>T("3")</f>
        <v>3</v>
      </c>
      <c r="AK125" t="str">
        <f>T("10")</f>
        <v>10</v>
      </c>
    </row>
    <row r="126" spans="1:37" x14ac:dyDescent="0.3">
      <c r="A126" t="s">
        <v>399</v>
      </c>
      <c r="B126" t="s">
        <v>400</v>
      </c>
      <c r="C126" t="s">
        <v>401</v>
      </c>
      <c r="D126" t="s">
        <v>7</v>
      </c>
      <c r="K126" t="str">
        <f>T("172.515")</f>
        <v>172.515</v>
      </c>
      <c r="AG126" t="str">
        <f>T("2044")</f>
        <v>2044</v>
      </c>
      <c r="AH126" t="str">
        <f>T("3")</f>
        <v>3</v>
      </c>
      <c r="AK126" t="str">
        <f>T("9")</f>
        <v>9</v>
      </c>
    </row>
    <row r="127" spans="1:37" x14ac:dyDescent="0.3">
      <c r="A127" t="s">
        <v>402</v>
      </c>
      <c r="B127" t="s">
        <v>403</v>
      </c>
      <c r="C127" t="s">
        <v>404</v>
      </c>
      <c r="D127" t="s">
        <v>7</v>
      </c>
      <c r="AG127" t="str">
        <f>T("4074")</f>
        <v>4074</v>
      </c>
      <c r="AH127" t="str">
        <f>T("22")</f>
        <v>22</v>
      </c>
    </row>
    <row r="128" spans="1:37" x14ac:dyDescent="0.3">
      <c r="A128" t="s">
        <v>405</v>
      </c>
      <c r="B128" t="s">
        <v>406</v>
      </c>
      <c r="C128" t="s">
        <v>407</v>
      </c>
      <c r="D128" t="s">
        <v>7</v>
      </c>
      <c r="K128" t="str">
        <f>T("182.20")</f>
        <v>182.20</v>
      </c>
      <c r="AG128" t="str">
        <f>T("2046")</f>
        <v>2046</v>
      </c>
      <c r="AH128" t="str">
        <f>T("3")</f>
        <v>3</v>
      </c>
    </row>
    <row r="129" spans="1:37" x14ac:dyDescent="0.3">
      <c r="A129" t="s">
        <v>408</v>
      </c>
      <c r="B129" t="s">
        <v>409</v>
      </c>
      <c r="C129" t="s">
        <v>410</v>
      </c>
      <c r="D129" t="s">
        <v>15</v>
      </c>
      <c r="K129" t="str">
        <f>T("172.510")</f>
        <v>172.510</v>
      </c>
      <c r="AG129" t="str">
        <f>T("2047")</f>
        <v>2047</v>
      </c>
      <c r="AH129" t="str">
        <f>T("3")</f>
        <v>3</v>
      </c>
    </row>
    <row r="130" spans="1:37" x14ac:dyDescent="0.3">
      <c r="A130" t="s">
        <v>411</v>
      </c>
      <c r="B130" t="s">
        <v>412</v>
      </c>
      <c r="C130" t="s">
        <v>413</v>
      </c>
      <c r="D130" t="s">
        <v>7</v>
      </c>
      <c r="K130" t="str">
        <f>T("172.515")</f>
        <v>172.515</v>
      </c>
      <c r="AG130" t="str">
        <f>T("2067")</f>
        <v>2067</v>
      </c>
      <c r="AH130" t="str">
        <f>T("3")</f>
        <v>3</v>
      </c>
      <c r="AI130" t="str">
        <f>T("25")</f>
        <v>25</v>
      </c>
      <c r="AK130" t="str">
        <f>T("678")</f>
        <v>678</v>
      </c>
    </row>
    <row r="131" spans="1:37" x14ac:dyDescent="0.3">
      <c r="A131" t="s">
        <v>414</v>
      </c>
      <c r="B131" t="s">
        <v>415</v>
      </c>
      <c r="C131" t="s">
        <v>416</v>
      </c>
      <c r="D131" t="s">
        <v>7</v>
      </c>
      <c r="K131" t="str">
        <f>T("172.515")</f>
        <v>172.515</v>
      </c>
      <c r="AG131" t="str">
        <f>T("2424")</f>
        <v>2424</v>
      </c>
      <c r="AH131" t="str">
        <f>T("3")</f>
        <v>3</v>
      </c>
      <c r="AK131" t="str">
        <f>T("823")</f>
        <v>823</v>
      </c>
    </row>
    <row r="132" spans="1:37" x14ac:dyDescent="0.3">
      <c r="A132" t="s">
        <v>417</v>
      </c>
      <c r="B132" t="s">
        <v>418</v>
      </c>
      <c r="C132" t="s">
        <v>419</v>
      </c>
      <c r="D132" t="s">
        <v>420</v>
      </c>
      <c r="K132" t="str">
        <f>T("173.340")</f>
        <v>173.340</v>
      </c>
    </row>
    <row r="133" spans="1:37" x14ac:dyDescent="0.3">
      <c r="A133" t="s">
        <v>421</v>
      </c>
      <c r="B133" t="s">
        <v>422</v>
      </c>
      <c r="C133" t="s">
        <v>423</v>
      </c>
      <c r="D133" t="s">
        <v>7</v>
      </c>
      <c r="K133" t="str">
        <f>T("172.515")</f>
        <v>172.515</v>
      </c>
      <c r="AG133" t="str">
        <f>T("2208")</f>
        <v>2208</v>
      </c>
      <c r="AH133" t="str">
        <f>T("3")</f>
        <v>3</v>
      </c>
      <c r="AI133" t="str">
        <f>T("25")</f>
        <v>25</v>
      </c>
      <c r="AK133" t="str">
        <f>T("827")</f>
        <v>827</v>
      </c>
    </row>
    <row r="134" spans="1:37" x14ac:dyDescent="0.3">
      <c r="A134" t="s">
        <v>424</v>
      </c>
      <c r="B134" t="s">
        <v>425</v>
      </c>
      <c r="C134" t="s">
        <v>426</v>
      </c>
      <c r="D134" t="s">
        <v>7</v>
      </c>
      <c r="K134" t="str">
        <f>T("172.515")</f>
        <v>172.515</v>
      </c>
      <c r="AG134" t="str">
        <f>T("2686")</f>
        <v>2686</v>
      </c>
      <c r="AH134" t="str">
        <f>T("3")</f>
        <v>3</v>
      </c>
      <c r="AK134" t="str">
        <f>T("803")</f>
        <v>803</v>
      </c>
    </row>
    <row r="135" spans="1:37" x14ac:dyDescent="0.3">
      <c r="A135" t="s">
        <v>427</v>
      </c>
      <c r="B135" t="s">
        <v>428</v>
      </c>
      <c r="C135" t="s">
        <v>429</v>
      </c>
      <c r="D135" t="s">
        <v>7</v>
      </c>
      <c r="K135" t="str">
        <f>T("172.515")</f>
        <v>172.515</v>
      </c>
      <c r="AG135" t="str">
        <f>T("2687")</f>
        <v>2687</v>
      </c>
      <c r="AH135" t="str">
        <f>T("3")</f>
        <v>3</v>
      </c>
      <c r="AK135" t="str">
        <f>T("804")</f>
        <v>804</v>
      </c>
    </row>
    <row r="136" spans="1:37" x14ac:dyDescent="0.3">
      <c r="A136" t="s">
        <v>430</v>
      </c>
      <c r="B136" t="s">
        <v>431</v>
      </c>
      <c r="C136" t="s">
        <v>432</v>
      </c>
      <c r="D136" t="s">
        <v>137</v>
      </c>
    </row>
    <row r="137" spans="1:37" x14ac:dyDescent="0.3">
      <c r="A137" t="s">
        <v>433</v>
      </c>
      <c r="B137" t="s">
        <v>434</v>
      </c>
      <c r="C137" t="s">
        <v>435</v>
      </c>
      <c r="D137" t="s">
        <v>7</v>
      </c>
      <c r="K137" t="str">
        <f>T("172.510")</f>
        <v>172.510</v>
      </c>
    </row>
    <row r="138" spans="1:37" x14ac:dyDescent="0.3">
      <c r="A138" t="s">
        <v>436</v>
      </c>
      <c r="B138" t="s">
        <v>437</v>
      </c>
      <c r="C138" t="s">
        <v>438</v>
      </c>
      <c r="D138" t="s">
        <v>7</v>
      </c>
      <c r="K138" t="str">
        <f>T("172.510")</f>
        <v>172.510</v>
      </c>
      <c r="AG138" t="str">
        <f>T("2048")</f>
        <v>2048</v>
      </c>
      <c r="AH138" t="str">
        <f>T("3")</f>
        <v>3</v>
      </c>
    </row>
    <row r="139" spans="1:37" x14ac:dyDescent="0.3">
      <c r="A139" t="s">
        <v>439</v>
      </c>
      <c r="B139" t="s">
        <v>440</v>
      </c>
      <c r="C139" t="s">
        <v>441</v>
      </c>
      <c r="D139" t="s">
        <v>442</v>
      </c>
      <c r="K139" t="str">
        <f>T("178.3120")</f>
        <v>178.3120</v>
      </c>
      <c r="L139" t="str">
        <f>T("179.45")</f>
        <v>179.45</v>
      </c>
      <c r="M139" t="str">
        <f>T("182.90")</f>
        <v>182.90</v>
      </c>
    </row>
    <row r="140" spans="1:37" x14ac:dyDescent="0.3">
      <c r="A140" t="s">
        <v>443</v>
      </c>
      <c r="B140" t="s">
        <v>444</v>
      </c>
      <c r="C140" t="s">
        <v>445</v>
      </c>
      <c r="D140" t="s">
        <v>446</v>
      </c>
      <c r="K140" t="str">
        <f>T("182.1127")</f>
        <v>182.1127</v>
      </c>
      <c r="L140" t="str">
        <f>T("182.90")</f>
        <v>182.90</v>
      </c>
    </row>
    <row r="141" spans="1:37" x14ac:dyDescent="0.3">
      <c r="A141" t="s">
        <v>447</v>
      </c>
      <c r="B141" t="s">
        <v>448</v>
      </c>
      <c r="C141" t="s">
        <v>449</v>
      </c>
      <c r="K141" t="str">
        <f>T("182.2122")</f>
        <v>182.2122</v>
      </c>
      <c r="AF141" t="str">
        <f>T("169.179")</f>
        <v>169.179</v>
      </c>
    </row>
    <row r="142" spans="1:37" x14ac:dyDescent="0.3">
      <c r="A142" t="s">
        <v>450</v>
      </c>
      <c r="B142" t="s">
        <v>451</v>
      </c>
      <c r="C142" t="s">
        <v>452</v>
      </c>
      <c r="D142" t="s">
        <v>453</v>
      </c>
      <c r="K142" t="str">
        <f>T("172.863")</f>
        <v>172.863</v>
      </c>
      <c r="L142" t="str">
        <f>T("175.300")</f>
        <v>175.300</v>
      </c>
    </row>
    <row r="143" spans="1:37" x14ac:dyDescent="0.3">
      <c r="A143" t="s">
        <v>454</v>
      </c>
      <c r="B143" t="s">
        <v>455</v>
      </c>
      <c r="C143" t="s">
        <v>456</v>
      </c>
      <c r="D143" t="s">
        <v>453</v>
      </c>
      <c r="K143" t="str">
        <f>T("172.863")</f>
        <v>172.863</v>
      </c>
      <c r="L143" t="str">
        <f>T("175.300")</f>
        <v>175.300</v>
      </c>
    </row>
    <row r="144" spans="1:37" x14ac:dyDescent="0.3">
      <c r="A144" t="s">
        <v>457</v>
      </c>
      <c r="B144" t="s">
        <v>458</v>
      </c>
      <c r="C144" t="s">
        <v>459</v>
      </c>
      <c r="D144" t="s">
        <v>460</v>
      </c>
      <c r="E144" t="str">
        <f>T("73.1010")</f>
        <v>73.1010</v>
      </c>
      <c r="K144" t="str">
        <f>T("175.300")</f>
        <v>175.300</v>
      </c>
      <c r="L144" t="str">
        <f>T("176.170")</f>
        <v>176.170</v>
      </c>
      <c r="M144" t="str">
        <f>T("176.210")</f>
        <v>176.210</v>
      </c>
      <c r="N144" t="str">
        <f>T("177.1200")</f>
        <v>177.1200</v>
      </c>
      <c r="O144" t="str">
        <f>T("177.2600")</f>
        <v>177.2600</v>
      </c>
      <c r="P144" t="str">
        <f>T("178.3297")</f>
        <v>178.3297</v>
      </c>
      <c r="Q144" t="str">
        <f>T("182.90")</f>
        <v>182.90</v>
      </c>
    </row>
    <row r="145" spans="1:37" x14ac:dyDescent="0.3">
      <c r="A145" t="s">
        <v>461</v>
      </c>
      <c r="B145" t="s">
        <v>462</v>
      </c>
      <c r="C145" t="s">
        <v>463</v>
      </c>
      <c r="D145" t="s">
        <v>453</v>
      </c>
      <c r="K145" t="str">
        <f>T("172.863")</f>
        <v>172.863</v>
      </c>
      <c r="L145" t="str">
        <f>T("175.300")</f>
        <v>175.300</v>
      </c>
    </row>
    <row r="146" spans="1:37" x14ac:dyDescent="0.3">
      <c r="A146" t="s">
        <v>464</v>
      </c>
      <c r="B146" t="s">
        <v>465</v>
      </c>
      <c r="C146" t="s">
        <v>466</v>
      </c>
      <c r="D146" t="s">
        <v>453</v>
      </c>
      <c r="K146" t="str">
        <f>T("172.863")</f>
        <v>172.863</v>
      </c>
    </row>
    <row r="147" spans="1:37" x14ac:dyDescent="0.3">
      <c r="A147" t="s">
        <v>467</v>
      </c>
      <c r="B147" t="s">
        <v>468</v>
      </c>
      <c r="C147" t="s">
        <v>469</v>
      </c>
      <c r="D147" t="s">
        <v>137</v>
      </c>
      <c r="K147" t="str">
        <f>T("172.310")</f>
        <v>172.310</v>
      </c>
    </row>
    <row r="148" spans="1:37" x14ac:dyDescent="0.3">
      <c r="A148" t="s">
        <v>470</v>
      </c>
      <c r="B148" t="s">
        <v>471</v>
      </c>
      <c r="C148" t="s">
        <v>472</v>
      </c>
      <c r="D148" t="s">
        <v>453</v>
      </c>
      <c r="K148" t="str">
        <f>T("172.863")</f>
        <v>172.863</v>
      </c>
      <c r="L148" t="str">
        <f>T("175.300")</f>
        <v>175.300</v>
      </c>
      <c r="M148" t="str">
        <f>T("182.90")</f>
        <v>182.90</v>
      </c>
    </row>
    <row r="149" spans="1:37" x14ac:dyDescent="0.3">
      <c r="A149" t="s">
        <v>473</v>
      </c>
      <c r="B149" t="s">
        <v>474</v>
      </c>
      <c r="C149" t="s">
        <v>475</v>
      </c>
      <c r="D149" t="s">
        <v>453</v>
      </c>
      <c r="K149" t="str">
        <f>T("172.863")</f>
        <v>172.863</v>
      </c>
      <c r="L149" t="str">
        <f>T("175.300")</f>
        <v>175.300</v>
      </c>
      <c r="M149" t="str">
        <f>T("182.90")</f>
        <v>182.90</v>
      </c>
    </row>
    <row r="150" spans="1:37" x14ac:dyDescent="0.3">
      <c r="A150" t="s">
        <v>476</v>
      </c>
      <c r="B150" t="s">
        <v>477</v>
      </c>
      <c r="C150" t="s">
        <v>478</v>
      </c>
      <c r="D150" t="s">
        <v>479</v>
      </c>
      <c r="K150" t="str">
        <f>T("182.1129")</f>
        <v>182.1129</v>
      </c>
      <c r="L150" t="str">
        <f>T("182.90")</f>
        <v>182.90</v>
      </c>
      <c r="AF150" t="s">
        <v>480</v>
      </c>
    </row>
    <row r="151" spans="1:37" x14ac:dyDescent="0.3">
      <c r="A151" t="s">
        <v>481</v>
      </c>
      <c r="B151" t="s">
        <v>482</v>
      </c>
      <c r="C151" t="s">
        <v>483</v>
      </c>
      <c r="D151" t="s">
        <v>453</v>
      </c>
      <c r="K151" t="str">
        <f>T("172.863")</f>
        <v>172.863</v>
      </c>
      <c r="L151" t="str">
        <f>T("175.105")</f>
        <v>175.105</v>
      </c>
      <c r="M151" t="str">
        <f>T("175.320")</f>
        <v>175.320</v>
      </c>
      <c r="N151" t="str">
        <f>T("176.200")</f>
        <v>176.200</v>
      </c>
      <c r="O151" t="str">
        <f>T("177.1200")</f>
        <v>177.1200</v>
      </c>
    </row>
    <row r="152" spans="1:37" x14ac:dyDescent="0.3">
      <c r="A152" t="s">
        <v>484</v>
      </c>
      <c r="B152" t="s">
        <v>485</v>
      </c>
      <c r="C152" t="s">
        <v>486</v>
      </c>
      <c r="D152" t="s">
        <v>487</v>
      </c>
      <c r="K152" t="str">
        <f>T("175.105")</f>
        <v>175.105</v>
      </c>
      <c r="L152" t="str">
        <f>T("182.1131")</f>
        <v>182.1131</v>
      </c>
      <c r="M152" t="str">
        <f>T("182.90")</f>
        <v>182.90</v>
      </c>
    </row>
    <row r="153" spans="1:37" x14ac:dyDescent="0.3">
      <c r="A153" t="s">
        <v>488</v>
      </c>
      <c r="B153" t="s">
        <v>489</v>
      </c>
      <c r="C153" t="s">
        <v>490</v>
      </c>
      <c r="D153" t="s">
        <v>453</v>
      </c>
      <c r="K153" t="str">
        <f>T("172.863")</f>
        <v>172.863</v>
      </c>
      <c r="L153" t="str">
        <f>T("173.340")</f>
        <v>173.340</v>
      </c>
      <c r="M153" t="str">
        <f>T("175.210")</f>
        <v>175.210</v>
      </c>
      <c r="N153" t="str">
        <f>T("175.300")</f>
        <v>175.300</v>
      </c>
      <c r="O153" t="str">
        <f>T("176.170")</f>
        <v>176.170</v>
      </c>
      <c r="P153" t="str">
        <f>T("177.2800")</f>
        <v>177.2800</v>
      </c>
      <c r="Q153" t="str">
        <f>T("178.3297")</f>
        <v>178.3297</v>
      </c>
      <c r="R153" t="str">
        <f>T("179.45")</f>
        <v>179.45</v>
      </c>
      <c r="S153" t="str">
        <f>T("181.29")</f>
        <v>181.29</v>
      </c>
    </row>
    <row r="154" spans="1:37" x14ac:dyDescent="0.3">
      <c r="A154" t="s">
        <v>491</v>
      </c>
      <c r="B154" t="s">
        <v>492</v>
      </c>
      <c r="C154" t="s">
        <v>493</v>
      </c>
      <c r="D154" t="s">
        <v>494</v>
      </c>
      <c r="K154" t="str">
        <f>T("172.892")</f>
        <v>172.892</v>
      </c>
      <c r="L154" t="str">
        <f>T("182.1125")</f>
        <v>182.1125</v>
      </c>
    </row>
    <row r="155" spans="1:37" x14ac:dyDescent="0.3">
      <c r="A155" t="s">
        <v>495</v>
      </c>
      <c r="B155" t="s">
        <v>496</v>
      </c>
      <c r="C155" t="s">
        <v>497</v>
      </c>
      <c r="D155" t="s">
        <v>7</v>
      </c>
      <c r="K155" t="str">
        <f>T("182.50")</f>
        <v>182.50</v>
      </c>
      <c r="AG155" t="str">
        <f>T("2049")</f>
        <v>2049</v>
      </c>
      <c r="AH155" t="str">
        <f>T("3")</f>
        <v>3</v>
      </c>
    </row>
    <row r="156" spans="1:37" x14ac:dyDescent="0.3">
      <c r="A156" t="s">
        <v>498</v>
      </c>
      <c r="B156" t="s">
        <v>499</v>
      </c>
      <c r="C156" t="s">
        <v>500</v>
      </c>
      <c r="D156" t="s">
        <v>7</v>
      </c>
      <c r="K156" t="str">
        <f>T("182.20")</f>
        <v>182.20</v>
      </c>
      <c r="AG156" t="str">
        <f>T("2050")</f>
        <v>2050</v>
      </c>
      <c r="AH156" t="str">
        <f>T("3")</f>
        <v>3</v>
      </c>
    </row>
    <row r="157" spans="1:37" x14ac:dyDescent="0.3">
      <c r="A157" t="s">
        <v>501</v>
      </c>
      <c r="B157" t="s">
        <v>502</v>
      </c>
      <c r="C157" t="s">
        <v>503</v>
      </c>
      <c r="D157" t="s">
        <v>7</v>
      </c>
      <c r="K157" t="str">
        <f>T("182.10")</f>
        <v>182.10</v>
      </c>
    </row>
    <row r="158" spans="1:37" x14ac:dyDescent="0.3">
      <c r="A158" t="s">
        <v>504</v>
      </c>
      <c r="B158" t="s">
        <v>505</v>
      </c>
      <c r="C158" t="s">
        <v>506</v>
      </c>
      <c r="D158" t="s">
        <v>7</v>
      </c>
      <c r="K158" t="str">
        <f>T("182.20")</f>
        <v>182.20</v>
      </c>
      <c r="AG158" t="str">
        <f>T("2051")</f>
        <v>2051</v>
      </c>
      <c r="AH158" t="str">
        <f>T("3")</f>
        <v>3</v>
      </c>
    </row>
    <row r="159" spans="1:37" x14ac:dyDescent="0.3">
      <c r="A159" t="s">
        <v>507</v>
      </c>
      <c r="B159" t="s">
        <v>508</v>
      </c>
      <c r="C159" t="s">
        <v>509</v>
      </c>
      <c r="D159" t="s">
        <v>7</v>
      </c>
      <c r="K159" t="str">
        <f>T("182.20")</f>
        <v>182.20</v>
      </c>
      <c r="AG159" t="str">
        <f>T("2052")</f>
        <v>2052</v>
      </c>
      <c r="AH159" t="str">
        <f>T("3")</f>
        <v>3</v>
      </c>
    </row>
    <row r="160" spans="1:37" x14ac:dyDescent="0.3">
      <c r="A160" t="s">
        <v>510</v>
      </c>
      <c r="B160" t="s">
        <v>511</v>
      </c>
      <c r="C160" t="s">
        <v>512</v>
      </c>
      <c r="D160" t="s">
        <v>7</v>
      </c>
      <c r="K160" t="str">
        <f>T("175.105")</f>
        <v>175.105</v>
      </c>
      <c r="L160" t="str">
        <f>T("176.170")</f>
        <v>176.170</v>
      </c>
      <c r="M160" t="str">
        <f>T("176.180")</f>
        <v>176.180</v>
      </c>
      <c r="N160" t="str">
        <f>T("176.210")</f>
        <v>176.210</v>
      </c>
      <c r="AG160" t="str">
        <f>T("3965")</f>
        <v>3965</v>
      </c>
      <c r="AH160" t="str">
        <f>T("20")</f>
        <v>20</v>
      </c>
      <c r="AK160" t="str">
        <f>T("1591")</f>
        <v>1591</v>
      </c>
    </row>
    <row r="161" spans="1:37" x14ac:dyDescent="0.3">
      <c r="A161" t="s">
        <v>513</v>
      </c>
      <c r="B161" t="s">
        <v>514</v>
      </c>
      <c r="C161" t="s">
        <v>515</v>
      </c>
      <c r="D161" t="s">
        <v>7</v>
      </c>
      <c r="AG161" t="str">
        <f>T("3906")</f>
        <v>3906</v>
      </c>
      <c r="AH161" t="str">
        <f>T("19")</f>
        <v>19</v>
      </c>
      <c r="AK161" t="str">
        <f>T("2043")</f>
        <v>2043</v>
      </c>
    </row>
    <row r="162" spans="1:37" x14ac:dyDescent="0.3">
      <c r="A162" t="s">
        <v>516</v>
      </c>
      <c r="B162" t="s">
        <v>517</v>
      </c>
      <c r="C162" t="s">
        <v>518</v>
      </c>
      <c r="D162" t="s">
        <v>137</v>
      </c>
    </row>
    <row r="163" spans="1:37" x14ac:dyDescent="0.3">
      <c r="A163" t="s">
        <v>519</v>
      </c>
      <c r="B163" t="s">
        <v>520</v>
      </c>
      <c r="C163" t="s">
        <v>521</v>
      </c>
      <c r="D163" t="s">
        <v>7</v>
      </c>
      <c r="AG163" t="str">
        <f>T("4288")</f>
        <v>4288</v>
      </c>
      <c r="AH163" t="str">
        <f>T("23")</f>
        <v>23</v>
      </c>
      <c r="AK163" t="str">
        <f>T("1771")</f>
        <v>1771</v>
      </c>
    </row>
    <row r="164" spans="1:37" x14ac:dyDescent="0.3">
      <c r="A164" t="s">
        <v>522</v>
      </c>
      <c r="B164" t="s">
        <v>523</v>
      </c>
      <c r="C164" t="s">
        <v>524</v>
      </c>
      <c r="D164" t="s">
        <v>7</v>
      </c>
      <c r="AG164" t="str">
        <f>T("3445")</f>
        <v>3445</v>
      </c>
      <c r="AH164" t="str">
        <f>T("9")</f>
        <v>9</v>
      </c>
      <c r="AK164" t="str">
        <f>T("1427")</f>
        <v>1427</v>
      </c>
    </row>
    <row r="165" spans="1:37" x14ac:dyDescent="0.3">
      <c r="A165" t="s">
        <v>525</v>
      </c>
      <c r="B165" t="s">
        <v>526</v>
      </c>
      <c r="C165" t="s">
        <v>527</v>
      </c>
      <c r="D165" t="s">
        <v>7</v>
      </c>
      <c r="AG165" t="str">
        <f>T("4669")</f>
        <v>4669</v>
      </c>
      <c r="AH165" t="str">
        <f>T("25")</f>
        <v>25</v>
      </c>
      <c r="AI165" t="str">
        <f>T("26")</f>
        <v>26</v>
      </c>
    </row>
    <row r="166" spans="1:37" x14ac:dyDescent="0.3">
      <c r="A166" t="s">
        <v>528</v>
      </c>
      <c r="B166" t="s">
        <v>529</v>
      </c>
      <c r="C166" t="s">
        <v>530</v>
      </c>
      <c r="D166" t="s">
        <v>7</v>
      </c>
      <c r="AG166" t="str">
        <f>T("4669")</f>
        <v>4669</v>
      </c>
      <c r="AH166" t="str">
        <f>T("25")</f>
        <v>25</v>
      </c>
      <c r="AI166" t="str">
        <f>T("26")</f>
        <v>26</v>
      </c>
      <c r="AK166" t="str">
        <f>T("2117")</f>
        <v>2117</v>
      </c>
    </row>
    <row r="167" spans="1:37" x14ac:dyDescent="0.3">
      <c r="A167" t="s">
        <v>531</v>
      </c>
      <c r="B167" t="s">
        <v>532</v>
      </c>
      <c r="C167" t="s">
        <v>533</v>
      </c>
      <c r="D167" t="s">
        <v>7</v>
      </c>
      <c r="AG167" t="str">
        <f>T("4701")</f>
        <v>4701</v>
      </c>
      <c r="AH167" t="str">
        <f>T("25")</f>
        <v>25</v>
      </c>
      <c r="AI167" t="str">
        <f>T("27")</f>
        <v>27</v>
      </c>
      <c r="AK167" t="str">
        <f>T("2082")</f>
        <v>2082</v>
      </c>
    </row>
    <row r="168" spans="1:37" x14ac:dyDescent="0.3">
      <c r="A168" t="s">
        <v>534</v>
      </c>
      <c r="B168" t="s">
        <v>535</v>
      </c>
      <c r="C168" t="s">
        <v>536</v>
      </c>
      <c r="D168" t="s">
        <v>74</v>
      </c>
      <c r="K168" t="str">
        <f>T("173.170")</f>
        <v>173.170</v>
      </c>
    </row>
    <row r="169" spans="1:37" x14ac:dyDescent="0.3">
      <c r="A169" t="s">
        <v>537</v>
      </c>
      <c r="B169" t="s">
        <v>538</v>
      </c>
      <c r="C169" t="s">
        <v>539</v>
      </c>
      <c r="D169" t="s">
        <v>74</v>
      </c>
      <c r="K169" t="str">
        <f>T("184.1985")</f>
        <v>184.1985</v>
      </c>
    </row>
    <row r="170" spans="1:37" x14ac:dyDescent="0.3">
      <c r="A170" t="s">
        <v>540</v>
      </c>
      <c r="B170" t="s">
        <v>541</v>
      </c>
      <c r="C170" t="s">
        <v>542</v>
      </c>
    </row>
    <row r="171" spans="1:37" x14ac:dyDescent="0.3">
      <c r="A171" t="s">
        <v>543</v>
      </c>
      <c r="B171" t="s">
        <v>544</v>
      </c>
      <c r="C171" t="s">
        <v>545</v>
      </c>
      <c r="D171" t="s">
        <v>7</v>
      </c>
      <c r="AG171" t="str">
        <f>T("4494")</f>
        <v>4494</v>
      </c>
      <c r="AH171" t="str">
        <f>T("24")</f>
        <v>24</v>
      </c>
    </row>
    <row r="172" spans="1:37" x14ac:dyDescent="0.3">
      <c r="A172" t="s">
        <v>546</v>
      </c>
      <c r="B172" t="s">
        <v>547</v>
      </c>
      <c r="C172" t="s">
        <v>548</v>
      </c>
    </row>
    <row r="173" spans="1:37" x14ac:dyDescent="0.3">
      <c r="A173" t="s">
        <v>549</v>
      </c>
      <c r="B173" t="s">
        <v>550</v>
      </c>
      <c r="C173" t="s">
        <v>551</v>
      </c>
      <c r="D173" t="s">
        <v>552</v>
      </c>
      <c r="E173" t="str">
        <f>T("73.85")</f>
        <v>73.85</v>
      </c>
      <c r="K173" t="str">
        <f>T("184.1135")</f>
        <v>184.1135</v>
      </c>
      <c r="AF173" t="s">
        <v>553</v>
      </c>
    </row>
    <row r="174" spans="1:37" x14ac:dyDescent="0.3">
      <c r="A174" t="s">
        <v>554</v>
      </c>
      <c r="B174" t="s">
        <v>555</v>
      </c>
      <c r="C174" t="s">
        <v>556</v>
      </c>
      <c r="D174" t="s">
        <v>557</v>
      </c>
      <c r="E174" t="str">
        <f>T("73.85")</f>
        <v>73.85</v>
      </c>
      <c r="K174" t="str">
        <f>T("184.1137")</f>
        <v>184.1137</v>
      </c>
      <c r="AF174" t="s">
        <v>553</v>
      </c>
    </row>
    <row r="175" spans="1:37" x14ac:dyDescent="0.3">
      <c r="A175" t="s">
        <v>558</v>
      </c>
      <c r="B175" t="s">
        <v>559</v>
      </c>
      <c r="C175" t="s">
        <v>560</v>
      </c>
      <c r="AF175" t="s">
        <v>561</v>
      </c>
    </row>
    <row r="176" spans="1:37" x14ac:dyDescent="0.3">
      <c r="A176" t="s">
        <v>562</v>
      </c>
      <c r="B176" t="s">
        <v>563</v>
      </c>
      <c r="C176" t="s">
        <v>564</v>
      </c>
      <c r="D176" t="s">
        <v>565</v>
      </c>
      <c r="K176" t="str">
        <f>T("178.1010")</f>
        <v>178.1010</v>
      </c>
      <c r="L176" t="str">
        <f>T("184.1138")</f>
        <v>184.1138</v>
      </c>
    </row>
    <row r="177" spans="1:37" x14ac:dyDescent="0.3">
      <c r="A177" t="s">
        <v>566</v>
      </c>
      <c r="B177" t="s">
        <v>567</v>
      </c>
      <c r="C177" t="s">
        <v>568</v>
      </c>
      <c r="D177" t="s">
        <v>569</v>
      </c>
      <c r="K177" t="str">
        <f>T("175.105")</f>
        <v>175.105</v>
      </c>
      <c r="L177" t="str">
        <f>T("175.300")</f>
        <v>175.300</v>
      </c>
      <c r="M177" t="str">
        <f>T("175.380")</f>
        <v>175.380</v>
      </c>
      <c r="N177" t="str">
        <f>T("175.390")</f>
        <v>175.390</v>
      </c>
      <c r="O177" t="str">
        <f>T("177.1350")</f>
        <v>177.1350</v>
      </c>
      <c r="P177" t="str">
        <f>T("181.29")</f>
        <v>181.29</v>
      </c>
      <c r="Q177" t="str">
        <f>T("184.1140")</f>
        <v>184.1140</v>
      </c>
    </row>
    <row r="178" spans="1:37" x14ac:dyDescent="0.3">
      <c r="A178" t="s">
        <v>570</v>
      </c>
      <c r="B178" t="s">
        <v>571</v>
      </c>
      <c r="C178" t="s">
        <v>572</v>
      </c>
    </row>
    <row r="179" spans="1:37" x14ac:dyDescent="0.3">
      <c r="A179" t="s">
        <v>573</v>
      </c>
      <c r="B179" t="s">
        <v>574</v>
      </c>
      <c r="C179" t="s">
        <v>575</v>
      </c>
      <c r="D179" t="s">
        <v>576</v>
      </c>
      <c r="E179" t="str">
        <f>T("73.85")</f>
        <v>73.85</v>
      </c>
      <c r="K179" t="str">
        <f>T("177.1600")</f>
        <v>177.1600</v>
      </c>
      <c r="L179" t="str">
        <f>T("184.1139")</f>
        <v>184.1139</v>
      </c>
      <c r="AF179" t="s">
        <v>553</v>
      </c>
    </row>
    <row r="180" spans="1:37" x14ac:dyDescent="0.3">
      <c r="A180" t="s">
        <v>577</v>
      </c>
      <c r="B180" t="s">
        <v>578</v>
      </c>
      <c r="C180" t="s">
        <v>579</v>
      </c>
      <c r="D180" t="s">
        <v>15</v>
      </c>
      <c r="K180" t="str">
        <f>T("172.515")</f>
        <v>172.515</v>
      </c>
      <c r="AG180" t="str">
        <f>T("2054")</f>
        <v>2054</v>
      </c>
      <c r="AH180" t="str">
        <f>T("3")</f>
        <v>3</v>
      </c>
      <c r="AI180" t="str">
        <f>T("25")</f>
        <v>25</v>
      </c>
      <c r="AK180" t="str">
        <f>T("1203")</f>
        <v>1203</v>
      </c>
    </row>
    <row r="181" spans="1:37" x14ac:dyDescent="0.3">
      <c r="A181" t="s">
        <v>580</v>
      </c>
      <c r="B181" t="s">
        <v>581</v>
      </c>
      <c r="C181" t="s">
        <v>582</v>
      </c>
      <c r="K181" t="str">
        <f>T("184.1588")</f>
        <v>184.1588</v>
      </c>
    </row>
    <row r="182" spans="1:37" x14ac:dyDescent="0.3">
      <c r="A182" t="s">
        <v>583</v>
      </c>
      <c r="B182" t="s">
        <v>584</v>
      </c>
      <c r="C182" t="s">
        <v>585</v>
      </c>
      <c r="D182" t="s">
        <v>586</v>
      </c>
      <c r="K182" t="str">
        <f>T("172.892")</f>
        <v>172.892</v>
      </c>
      <c r="L182" t="str">
        <f>T("175.105")</f>
        <v>175.105</v>
      </c>
      <c r="M182" t="str">
        <f>T("176.170")</f>
        <v>176.170</v>
      </c>
      <c r="N182" t="str">
        <f>T("177.1200")</f>
        <v>177.1200</v>
      </c>
      <c r="O182" t="str">
        <f>T("178.3520")</f>
        <v>178.3520</v>
      </c>
    </row>
    <row r="183" spans="1:37" x14ac:dyDescent="0.3">
      <c r="A183" t="s">
        <v>587</v>
      </c>
      <c r="B183" t="s">
        <v>588</v>
      </c>
      <c r="C183" t="s">
        <v>589</v>
      </c>
      <c r="D183" t="s">
        <v>590</v>
      </c>
      <c r="E183" t="str">
        <f>T("73.85")</f>
        <v>73.85</v>
      </c>
    </row>
    <row r="184" spans="1:37" x14ac:dyDescent="0.3">
      <c r="A184" t="s">
        <v>591</v>
      </c>
      <c r="B184" t="s">
        <v>592</v>
      </c>
      <c r="C184" t="s">
        <v>593</v>
      </c>
      <c r="D184" t="s">
        <v>594</v>
      </c>
      <c r="E184" t="str">
        <f>T("73.85")</f>
        <v>73.85</v>
      </c>
    </row>
    <row r="185" spans="1:37" x14ac:dyDescent="0.3">
      <c r="A185" t="s">
        <v>595</v>
      </c>
      <c r="B185" t="s">
        <v>596</v>
      </c>
      <c r="C185" t="s">
        <v>597</v>
      </c>
      <c r="D185" t="s">
        <v>598</v>
      </c>
      <c r="E185" t="str">
        <f>T("73.85")</f>
        <v>73.85</v>
      </c>
      <c r="K185" t="str">
        <f>T("177.1200")</f>
        <v>177.1200</v>
      </c>
      <c r="L185" t="str">
        <f>T("184.1143")</f>
        <v>184.1143</v>
      </c>
    </row>
    <row r="186" spans="1:37" x14ac:dyDescent="0.3">
      <c r="A186" t="s">
        <v>599</v>
      </c>
      <c r="B186" t="s">
        <v>600</v>
      </c>
      <c r="C186" t="s">
        <v>601</v>
      </c>
      <c r="D186" t="s">
        <v>602</v>
      </c>
      <c r="K186" t="str">
        <f>T("172.515")</f>
        <v>172.515</v>
      </c>
      <c r="AG186" t="str">
        <f>T("2053")</f>
        <v>2053</v>
      </c>
      <c r="AH186" t="str">
        <f>T("3")</f>
        <v>3</v>
      </c>
    </row>
    <row r="187" spans="1:37" x14ac:dyDescent="0.3">
      <c r="A187" t="s">
        <v>603</v>
      </c>
      <c r="B187" t="s">
        <v>604</v>
      </c>
      <c r="C187" t="s">
        <v>605</v>
      </c>
      <c r="D187" t="s">
        <v>606</v>
      </c>
      <c r="E187" t="str">
        <f>T("73.85")</f>
        <v>73.85</v>
      </c>
    </row>
    <row r="188" spans="1:37" x14ac:dyDescent="0.3">
      <c r="A188" t="s">
        <v>607</v>
      </c>
      <c r="B188" t="s">
        <v>608</v>
      </c>
      <c r="C188" t="s">
        <v>609</v>
      </c>
      <c r="D188" t="s">
        <v>15</v>
      </c>
      <c r="K188" t="str">
        <f>T("172.515")</f>
        <v>172.515</v>
      </c>
      <c r="L188" t="str">
        <f>T("176.180")</f>
        <v>176.180</v>
      </c>
      <c r="M188" t="str">
        <f>T("176.210")</f>
        <v>176.210</v>
      </c>
      <c r="AG188" t="str">
        <f>T("2056")</f>
        <v>2056</v>
      </c>
      <c r="AH188" t="str">
        <f>T("3")</f>
        <v>3</v>
      </c>
      <c r="AK188" t="str">
        <f>T("88")</f>
        <v>88</v>
      </c>
    </row>
    <row r="189" spans="1:37" x14ac:dyDescent="0.3">
      <c r="A189" t="s">
        <v>610</v>
      </c>
      <c r="B189" t="s">
        <v>611</v>
      </c>
      <c r="C189" t="s">
        <v>612</v>
      </c>
      <c r="D189" t="s">
        <v>74</v>
      </c>
      <c r="K189" t="str">
        <f>T("184.1012")</f>
        <v>184.1012</v>
      </c>
    </row>
    <row r="190" spans="1:37" x14ac:dyDescent="0.3">
      <c r="A190" t="s">
        <v>613</v>
      </c>
      <c r="B190" t="s">
        <v>614</v>
      </c>
      <c r="C190" t="s">
        <v>615</v>
      </c>
      <c r="D190" t="s">
        <v>616</v>
      </c>
    </row>
    <row r="191" spans="1:37" x14ac:dyDescent="0.3">
      <c r="A191" t="s">
        <v>617</v>
      </c>
      <c r="B191" t="s">
        <v>618</v>
      </c>
      <c r="C191" t="s">
        <v>619</v>
      </c>
      <c r="D191" t="s">
        <v>616</v>
      </c>
    </row>
    <row r="192" spans="1:37" x14ac:dyDescent="0.3">
      <c r="A192" t="s">
        <v>620</v>
      </c>
      <c r="B192" t="s">
        <v>621</v>
      </c>
      <c r="C192" t="s">
        <v>622</v>
      </c>
      <c r="D192" t="s">
        <v>616</v>
      </c>
      <c r="AF192" t="s">
        <v>623</v>
      </c>
    </row>
    <row r="193" spans="1:37" x14ac:dyDescent="0.3">
      <c r="A193" t="s">
        <v>624</v>
      </c>
      <c r="B193" t="s">
        <v>625</v>
      </c>
      <c r="C193" t="s">
        <v>626</v>
      </c>
      <c r="D193" t="s">
        <v>616</v>
      </c>
    </row>
    <row r="194" spans="1:37" x14ac:dyDescent="0.3">
      <c r="A194" t="s">
        <v>627</v>
      </c>
      <c r="B194" t="s">
        <v>628</v>
      </c>
      <c r="C194" t="s">
        <v>629</v>
      </c>
      <c r="D194" t="s">
        <v>15</v>
      </c>
      <c r="K194" t="str">
        <f t="shared" ref="K194:K199" si="1">T("172.515")</f>
        <v>172.515</v>
      </c>
      <c r="AG194" t="str">
        <f>T("2059")</f>
        <v>2059</v>
      </c>
      <c r="AH194" t="str">
        <f t="shared" ref="AH194:AH199" si="2">T("3")</f>
        <v>3</v>
      </c>
      <c r="AK194" t="str">
        <f>T("152")</f>
        <v>152</v>
      </c>
    </row>
    <row r="195" spans="1:37" x14ac:dyDescent="0.3">
      <c r="A195" t="s">
        <v>630</v>
      </c>
      <c r="B195" t="s">
        <v>631</v>
      </c>
      <c r="C195" t="s">
        <v>632</v>
      </c>
      <c r="D195" t="s">
        <v>7</v>
      </c>
      <c r="K195" t="str">
        <f t="shared" si="1"/>
        <v>172.515</v>
      </c>
      <c r="AG195" t="str">
        <f>T("2061")</f>
        <v>2061</v>
      </c>
      <c r="AH195" t="str">
        <f t="shared" si="2"/>
        <v>3</v>
      </c>
      <c r="AI195" t="str">
        <f>T("25")</f>
        <v>25</v>
      </c>
      <c r="AK195" t="str">
        <f>T("685")</f>
        <v>685</v>
      </c>
    </row>
    <row r="196" spans="1:37" x14ac:dyDescent="0.3">
      <c r="A196" t="s">
        <v>633</v>
      </c>
      <c r="B196" t="s">
        <v>634</v>
      </c>
      <c r="C196" t="s">
        <v>635</v>
      </c>
      <c r="D196" t="s">
        <v>15</v>
      </c>
      <c r="K196" t="str">
        <f t="shared" si="1"/>
        <v>172.515</v>
      </c>
      <c r="AG196" t="str">
        <f>T("2062")</f>
        <v>2062</v>
      </c>
      <c r="AH196" t="str">
        <f t="shared" si="2"/>
        <v>3</v>
      </c>
      <c r="AK196" t="str">
        <f>T("681")</f>
        <v>681</v>
      </c>
    </row>
    <row r="197" spans="1:37" x14ac:dyDescent="0.3">
      <c r="A197" t="s">
        <v>636</v>
      </c>
      <c r="B197" t="s">
        <v>637</v>
      </c>
      <c r="C197" t="s">
        <v>638</v>
      </c>
      <c r="D197" t="s">
        <v>15</v>
      </c>
      <c r="K197" t="str">
        <f t="shared" si="1"/>
        <v>172.515</v>
      </c>
      <c r="AG197" t="str">
        <f>T("2064")</f>
        <v>2064</v>
      </c>
      <c r="AH197" t="str">
        <f t="shared" si="2"/>
        <v>3</v>
      </c>
      <c r="AK197" t="str">
        <f>T("677")</f>
        <v>677</v>
      </c>
    </row>
    <row r="198" spans="1:37" x14ac:dyDescent="0.3">
      <c r="A198" t="s">
        <v>639</v>
      </c>
      <c r="B198" t="s">
        <v>640</v>
      </c>
      <c r="C198" t="s">
        <v>641</v>
      </c>
      <c r="D198" t="s">
        <v>15</v>
      </c>
      <c r="K198" t="str">
        <f t="shared" si="1"/>
        <v>172.515</v>
      </c>
      <c r="AG198" t="str">
        <f>T("2065")</f>
        <v>2065</v>
      </c>
      <c r="AH198" t="str">
        <f t="shared" si="2"/>
        <v>3</v>
      </c>
      <c r="AK198" t="str">
        <f>T("674")</f>
        <v>674</v>
      </c>
    </row>
    <row r="199" spans="1:37" x14ac:dyDescent="0.3">
      <c r="A199" t="s">
        <v>642</v>
      </c>
      <c r="B199" t="s">
        <v>643</v>
      </c>
      <c r="C199" t="s">
        <v>644</v>
      </c>
      <c r="D199" t="s">
        <v>7</v>
      </c>
      <c r="K199" t="str">
        <f t="shared" si="1"/>
        <v>172.515</v>
      </c>
      <c r="AG199" t="str">
        <f>T("2066")</f>
        <v>2066</v>
      </c>
      <c r="AH199" t="str">
        <f t="shared" si="2"/>
        <v>3</v>
      </c>
      <c r="AK199" t="str">
        <f>T("676")</f>
        <v>676</v>
      </c>
    </row>
    <row r="200" spans="1:37" x14ac:dyDescent="0.3">
      <c r="A200" t="s">
        <v>645</v>
      </c>
      <c r="B200" t="s">
        <v>646</v>
      </c>
      <c r="C200" t="s">
        <v>647</v>
      </c>
      <c r="D200" t="s">
        <v>7</v>
      </c>
    </row>
    <row r="201" spans="1:37" x14ac:dyDescent="0.3">
      <c r="A201" t="s">
        <v>648</v>
      </c>
      <c r="B201" t="s">
        <v>649</v>
      </c>
      <c r="C201" t="s">
        <v>650</v>
      </c>
      <c r="D201" t="s">
        <v>15</v>
      </c>
      <c r="K201" t="str">
        <f>T("172.515")</f>
        <v>172.515</v>
      </c>
      <c r="AG201" t="str">
        <f>T("2068")</f>
        <v>2068</v>
      </c>
      <c r="AH201" t="str">
        <f>T("3")</f>
        <v>3</v>
      </c>
      <c r="AK201" t="str">
        <f>T("119")</f>
        <v>119</v>
      </c>
    </row>
    <row r="202" spans="1:37" x14ac:dyDescent="0.3">
      <c r="A202" t="s">
        <v>651</v>
      </c>
      <c r="B202" t="s">
        <v>652</v>
      </c>
      <c r="C202" t="s">
        <v>653</v>
      </c>
      <c r="D202" t="s">
        <v>7</v>
      </c>
      <c r="AG202" t="str">
        <f>T("2072")</f>
        <v>2072</v>
      </c>
      <c r="AH202" t="str">
        <f>T("3")</f>
        <v>3</v>
      </c>
      <c r="AK202" t="str">
        <f>T("748")</f>
        <v>748</v>
      </c>
    </row>
    <row r="203" spans="1:37" x14ac:dyDescent="0.3">
      <c r="A203" t="s">
        <v>654</v>
      </c>
      <c r="B203" t="s">
        <v>655</v>
      </c>
      <c r="C203" t="s">
        <v>656</v>
      </c>
      <c r="D203" t="s">
        <v>7</v>
      </c>
      <c r="K203" t="str">
        <f>T("172.515")</f>
        <v>172.515</v>
      </c>
      <c r="AG203" t="str">
        <f>T("2073")</f>
        <v>2073</v>
      </c>
      <c r="AH203" t="str">
        <f>T("3")</f>
        <v>3</v>
      </c>
      <c r="AK203" t="str">
        <f>T("170")</f>
        <v>170</v>
      </c>
    </row>
    <row r="204" spans="1:37" x14ac:dyDescent="0.3">
      <c r="A204" t="s">
        <v>657</v>
      </c>
      <c r="B204" t="s">
        <v>658</v>
      </c>
      <c r="C204" t="s">
        <v>659</v>
      </c>
      <c r="D204" t="s">
        <v>7</v>
      </c>
      <c r="K204" t="str">
        <f>T("172.515")</f>
        <v>172.515</v>
      </c>
      <c r="AG204" t="str">
        <f>T("2074")</f>
        <v>2074</v>
      </c>
      <c r="AH204" t="str">
        <f>T("3")</f>
        <v>3</v>
      </c>
      <c r="AI204" t="str">
        <f>T("25")</f>
        <v>25</v>
      </c>
      <c r="AK204" t="str">
        <f>T("163")</f>
        <v>163</v>
      </c>
    </row>
    <row r="205" spans="1:37" x14ac:dyDescent="0.3">
      <c r="A205" t="s">
        <v>660</v>
      </c>
      <c r="B205" t="s">
        <v>661</v>
      </c>
      <c r="C205" t="s">
        <v>662</v>
      </c>
      <c r="D205" t="s">
        <v>7</v>
      </c>
      <c r="AG205" t="str">
        <f>T("4417")</f>
        <v>4417</v>
      </c>
      <c r="AH205" t="str">
        <f>T("23")</f>
        <v>23</v>
      </c>
      <c r="AK205" t="str">
        <f>T("1891")</f>
        <v>1891</v>
      </c>
    </row>
    <row r="206" spans="1:37" x14ac:dyDescent="0.3">
      <c r="A206" t="s">
        <v>663</v>
      </c>
      <c r="B206" t="s">
        <v>664</v>
      </c>
      <c r="C206" t="s">
        <v>665</v>
      </c>
      <c r="D206" t="s">
        <v>7</v>
      </c>
      <c r="AG206" t="str">
        <f>T("4025")</f>
        <v>4025</v>
      </c>
      <c r="AH206" t="str">
        <f>T("21")</f>
        <v>21</v>
      </c>
      <c r="AK206" t="str">
        <f>T("1697")</f>
        <v>1697</v>
      </c>
    </row>
    <row r="207" spans="1:37" x14ac:dyDescent="0.3">
      <c r="A207" t="s">
        <v>666</v>
      </c>
      <c r="B207" t="s">
        <v>667</v>
      </c>
      <c r="C207" t="s">
        <v>668</v>
      </c>
      <c r="D207" t="s">
        <v>15</v>
      </c>
      <c r="K207" t="str">
        <f>T("172.515")</f>
        <v>172.515</v>
      </c>
      <c r="AG207" t="str">
        <f>T("2079")</f>
        <v>2079</v>
      </c>
      <c r="AH207" t="str">
        <f>T("3")</f>
        <v>3</v>
      </c>
      <c r="AK207" t="str">
        <f>T("174")</f>
        <v>174</v>
      </c>
    </row>
    <row r="208" spans="1:37" x14ac:dyDescent="0.3">
      <c r="A208" t="s">
        <v>669</v>
      </c>
      <c r="B208" t="s">
        <v>670</v>
      </c>
      <c r="C208" t="s">
        <v>671</v>
      </c>
      <c r="D208" t="s">
        <v>672</v>
      </c>
      <c r="K208" t="str">
        <f>T("173.110")</f>
        <v>173.110</v>
      </c>
    </row>
    <row r="209" spans="1:37" x14ac:dyDescent="0.3">
      <c r="A209" t="s">
        <v>673</v>
      </c>
      <c r="B209" t="s">
        <v>674</v>
      </c>
      <c r="C209" t="s">
        <v>675</v>
      </c>
      <c r="D209" t="s">
        <v>7</v>
      </c>
      <c r="AG209" t="str">
        <f>T("2076")</f>
        <v>2076</v>
      </c>
      <c r="AH209" t="str">
        <f>T("3")</f>
        <v>3</v>
      </c>
      <c r="AK209" t="str">
        <f>T("1485")</f>
        <v>1485</v>
      </c>
    </row>
    <row r="210" spans="1:37" x14ac:dyDescent="0.3">
      <c r="A210" t="s">
        <v>676</v>
      </c>
      <c r="B210" t="s">
        <v>677</v>
      </c>
      <c r="C210" t="s">
        <v>678</v>
      </c>
    </row>
    <row r="211" spans="1:37" x14ac:dyDescent="0.3">
      <c r="A211" t="s">
        <v>679</v>
      </c>
      <c r="B211" t="s">
        <v>680</v>
      </c>
      <c r="C211" t="s">
        <v>681</v>
      </c>
      <c r="D211" t="s">
        <v>7</v>
      </c>
      <c r="K211" t="str">
        <f>T("172.510")</f>
        <v>172.510</v>
      </c>
    </row>
    <row r="212" spans="1:37" x14ac:dyDescent="0.3">
      <c r="A212" t="s">
        <v>682</v>
      </c>
      <c r="B212" t="s">
        <v>683</v>
      </c>
      <c r="C212" t="s">
        <v>684</v>
      </c>
      <c r="D212" t="s">
        <v>7</v>
      </c>
      <c r="K212" t="str">
        <f>T("172.510")</f>
        <v>172.510</v>
      </c>
    </row>
    <row r="213" spans="1:37" x14ac:dyDescent="0.3">
      <c r="A213" t="s">
        <v>685</v>
      </c>
      <c r="B213" t="s">
        <v>686</v>
      </c>
      <c r="C213" t="s">
        <v>687</v>
      </c>
      <c r="D213" t="s">
        <v>7</v>
      </c>
      <c r="AG213" t="str">
        <f>T("4505")</f>
        <v>4505</v>
      </c>
      <c r="AH213" t="str">
        <f>T("24")</f>
        <v>24</v>
      </c>
      <c r="AK213" t="str">
        <f>T("1900")</f>
        <v>1900</v>
      </c>
    </row>
    <row r="214" spans="1:37" x14ac:dyDescent="0.3">
      <c r="A214" t="s">
        <v>688</v>
      </c>
      <c r="B214" t="s">
        <v>689</v>
      </c>
      <c r="C214" t="s">
        <v>690</v>
      </c>
      <c r="D214" t="s">
        <v>7</v>
      </c>
      <c r="K214" t="str">
        <f>T("182.60")</f>
        <v>182.60</v>
      </c>
      <c r="AG214" t="str">
        <f>T("2086")</f>
        <v>2086</v>
      </c>
      <c r="AH214" t="str">
        <f>T("3")</f>
        <v>3</v>
      </c>
      <c r="AI214" t="str">
        <f>T("25")</f>
        <v>25</v>
      </c>
      <c r="AK214" t="str">
        <f>T("217")</f>
        <v>217</v>
      </c>
    </row>
    <row r="215" spans="1:37" x14ac:dyDescent="0.3">
      <c r="A215" t="s">
        <v>691</v>
      </c>
      <c r="B215" t="s">
        <v>692</v>
      </c>
      <c r="C215" t="s">
        <v>693</v>
      </c>
      <c r="D215" t="s">
        <v>7</v>
      </c>
      <c r="K215" t="str">
        <f>T("182.10")</f>
        <v>182.10</v>
      </c>
    </row>
    <row r="216" spans="1:37" x14ac:dyDescent="0.3">
      <c r="A216" t="s">
        <v>694</v>
      </c>
      <c r="B216" t="s">
        <v>695</v>
      </c>
      <c r="C216" t="s">
        <v>696</v>
      </c>
      <c r="D216" t="s">
        <v>7</v>
      </c>
      <c r="AG216" t="str">
        <f>T("4438")</f>
        <v>4438</v>
      </c>
      <c r="AH216" t="str">
        <f>T("24")</f>
        <v>24</v>
      </c>
      <c r="AK216" t="str">
        <f>T("2000")</f>
        <v>2000</v>
      </c>
    </row>
    <row r="217" spans="1:37" x14ac:dyDescent="0.3">
      <c r="A217" t="s">
        <v>697</v>
      </c>
      <c r="B217" t="s">
        <v>698</v>
      </c>
      <c r="C217" t="s">
        <v>699</v>
      </c>
      <c r="D217" t="s">
        <v>15</v>
      </c>
      <c r="K217" t="str">
        <f>T("182.10")</f>
        <v>182.10</v>
      </c>
    </row>
    <row r="218" spans="1:37" x14ac:dyDescent="0.3">
      <c r="A218" t="s">
        <v>700</v>
      </c>
      <c r="B218" t="s">
        <v>701</v>
      </c>
      <c r="C218" t="s">
        <v>702</v>
      </c>
      <c r="D218" t="s">
        <v>7</v>
      </c>
      <c r="K218" t="str">
        <f>T("182.20")</f>
        <v>182.20</v>
      </c>
      <c r="AG218" t="str">
        <f>T("2087")</f>
        <v>2087</v>
      </c>
      <c r="AH218" t="str">
        <f>T("3")</f>
        <v>3</v>
      </c>
    </row>
    <row r="219" spans="1:37" x14ac:dyDescent="0.3">
      <c r="A219" t="s">
        <v>703</v>
      </c>
      <c r="B219" t="s">
        <v>704</v>
      </c>
      <c r="C219" t="s">
        <v>705</v>
      </c>
      <c r="D219" t="s">
        <v>7</v>
      </c>
      <c r="K219" t="str">
        <f>T("182.20")</f>
        <v>182.20</v>
      </c>
      <c r="AG219" t="str">
        <f>T("2088")</f>
        <v>2088</v>
      </c>
      <c r="AH219" t="str">
        <f>T("3")</f>
        <v>3</v>
      </c>
    </row>
    <row r="220" spans="1:37" x14ac:dyDescent="0.3">
      <c r="A220" t="s">
        <v>706</v>
      </c>
      <c r="B220" t="s">
        <v>707</v>
      </c>
      <c r="C220" t="s">
        <v>708</v>
      </c>
      <c r="K220" t="str">
        <f>T("182.10")</f>
        <v>182.10</v>
      </c>
    </row>
    <row r="221" spans="1:37" x14ac:dyDescent="0.3">
      <c r="A221" t="s">
        <v>709</v>
      </c>
      <c r="B221" t="s">
        <v>710</v>
      </c>
      <c r="C221" t="s">
        <v>711</v>
      </c>
      <c r="D221" t="s">
        <v>7</v>
      </c>
      <c r="K221" t="str">
        <f>T("182.20")</f>
        <v>182.20</v>
      </c>
      <c r="AG221" t="str">
        <f>T("2089")</f>
        <v>2089</v>
      </c>
      <c r="AH221" t="str">
        <f>T("3")</f>
        <v>3</v>
      </c>
    </row>
    <row r="222" spans="1:37" x14ac:dyDescent="0.3">
      <c r="A222" t="s">
        <v>712</v>
      </c>
      <c r="B222" t="s">
        <v>713</v>
      </c>
      <c r="C222" t="s">
        <v>714</v>
      </c>
      <c r="D222" t="s">
        <v>7</v>
      </c>
      <c r="K222" t="str">
        <f>T("182.20")</f>
        <v>182.20</v>
      </c>
      <c r="AG222" t="str">
        <f>T("2090")</f>
        <v>2090</v>
      </c>
      <c r="AH222" t="str">
        <f>T("3")</f>
        <v>3</v>
      </c>
    </row>
    <row r="223" spans="1:37" x14ac:dyDescent="0.3">
      <c r="A223" t="s">
        <v>715</v>
      </c>
      <c r="B223" t="s">
        <v>716</v>
      </c>
      <c r="C223" t="s">
        <v>717</v>
      </c>
      <c r="D223" t="s">
        <v>7</v>
      </c>
      <c r="K223" t="str">
        <f>T("182.20")</f>
        <v>182.20</v>
      </c>
      <c r="AG223" t="str">
        <f>T("2091")</f>
        <v>2091</v>
      </c>
      <c r="AH223" t="str">
        <f>T("3")</f>
        <v>3</v>
      </c>
    </row>
    <row r="224" spans="1:37" x14ac:dyDescent="0.3">
      <c r="A224" t="s">
        <v>718</v>
      </c>
      <c r="B224" t="s">
        <v>719</v>
      </c>
      <c r="C224" t="s">
        <v>720</v>
      </c>
      <c r="D224" t="s">
        <v>7</v>
      </c>
      <c r="K224" t="str">
        <f>T("172.510")</f>
        <v>172.510</v>
      </c>
    </row>
    <row r="225" spans="1:37" x14ac:dyDescent="0.3">
      <c r="A225" t="s">
        <v>721</v>
      </c>
      <c r="B225" t="s">
        <v>722</v>
      </c>
      <c r="C225" t="s">
        <v>723</v>
      </c>
      <c r="D225" t="s">
        <v>7</v>
      </c>
      <c r="K225" t="str">
        <f>T("182.10")</f>
        <v>182.10</v>
      </c>
    </row>
    <row r="226" spans="1:37" x14ac:dyDescent="0.3">
      <c r="A226" t="s">
        <v>724</v>
      </c>
      <c r="B226" t="s">
        <v>725</v>
      </c>
      <c r="C226" t="s">
        <v>726</v>
      </c>
      <c r="D226" t="s">
        <v>15</v>
      </c>
      <c r="K226" t="str">
        <f>T("182.20")</f>
        <v>182.20</v>
      </c>
      <c r="AG226" t="str">
        <f>T("2092")</f>
        <v>2092</v>
      </c>
      <c r="AH226" t="str">
        <f>T("3")</f>
        <v>3</v>
      </c>
    </row>
    <row r="227" spans="1:37" x14ac:dyDescent="0.3">
      <c r="A227" t="s">
        <v>727</v>
      </c>
      <c r="B227" t="s">
        <v>728</v>
      </c>
      <c r="C227" t="s">
        <v>729</v>
      </c>
      <c r="D227" t="s">
        <v>7</v>
      </c>
      <c r="AG227" t="str">
        <f>T("4627")</f>
        <v>4627</v>
      </c>
      <c r="AH227" t="str">
        <f>T("24")</f>
        <v>24</v>
      </c>
    </row>
    <row r="228" spans="1:37" x14ac:dyDescent="0.3">
      <c r="A228" t="s">
        <v>730</v>
      </c>
      <c r="B228" t="s">
        <v>731</v>
      </c>
      <c r="C228" t="s">
        <v>732</v>
      </c>
      <c r="D228" t="s">
        <v>7</v>
      </c>
      <c r="K228" t="str">
        <f>T("182.10")</f>
        <v>182.10</v>
      </c>
      <c r="AF228" t="str">
        <f>T("101.22")</f>
        <v>101.22</v>
      </c>
      <c r="AG228" t="str">
        <f>T("2093")</f>
        <v>2093</v>
      </c>
      <c r="AH228" t="str">
        <f>T("3")</f>
        <v>3</v>
      </c>
    </row>
    <row r="229" spans="1:37" x14ac:dyDescent="0.3">
      <c r="A229" t="s">
        <v>733</v>
      </c>
      <c r="B229" t="s">
        <v>734</v>
      </c>
      <c r="C229" t="s">
        <v>735</v>
      </c>
      <c r="D229" t="s">
        <v>7</v>
      </c>
      <c r="K229" t="str">
        <f>T("182.20")</f>
        <v>182.20</v>
      </c>
      <c r="AG229" t="str">
        <f>T("2094")</f>
        <v>2094</v>
      </c>
      <c r="AH229" t="str">
        <f>T("3")</f>
        <v>3</v>
      </c>
    </row>
    <row r="230" spans="1:37" x14ac:dyDescent="0.3">
      <c r="A230" t="s">
        <v>736</v>
      </c>
      <c r="B230" t="s">
        <v>737</v>
      </c>
      <c r="C230" t="s">
        <v>738</v>
      </c>
      <c r="D230" t="s">
        <v>7</v>
      </c>
      <c r="K230" t="str">
        <f>T("182.10")</f>
        <v>182.10</v>
      </c>
      <c r="AF230" t="str">
        <f>T("101.22")</f>
        <v>101.22</v>
      </c>
      <c r="AG230" t="str">
        <f>T("2095")</f>
        <v>2095</v>
      </c>
      <c r="AH230" t="str">
        <f>T("3")</f>
        <v>3</v>
      </c>
    </row>
    <row r="231" spans="1:37" x14ac:dyDescent="0.3">
      <c r="A231" t="s">
        <v>739</v>
      </c>
      <c r="B231" t="s">
        <v>740</v>
      </c>
      <c r="C231" t="s">
        <v>741</v>
      </c>
      <c r="D231" t="s">
        <v>7</v>
      </c>
      <c r="AG231" t="str">
        <f>T("2096")</f>
        <v>2096</v>
      </c>
      <c r="AH231" t="str">
        <f>T("3")</f>
        <v>3</v>
      </c>
    </row>
    <row r="232" spans="1:37" x14ac:dyDescent="0.3">
      <c r="A232" t="s">
        <v>742</v>
      </c>
      <c r="B232" t="s">
        <v>743</v>
      </c>
      <c r="C232" t="s">
        <v>744</v>
      </c>
      <c r="D232" t="s">
        <v>15</v>
      </c>
    </row>
    <row r="233" spans="1:37" x14ac:dyDescent="0.3">
      <c r="A233" t="s">
        <v>745</v>
      </c>
      <c r="B233" t="s">
        <v>746</v>
      </c>
      <c r="C233" t="s">
        <v>747</v>
      </c>
      <c r="D233" t="s">
        <v>7</v>
      </c>
      <c r="K233" t="str">
        <f t="shared" ref="K233:K239" si="3">T("172.515")</f>
        <v>172.515</v>
      </c>
      <c r="AG233" t="str">
        <f>T("2097")</f>
        <v>2097</v>
      </c>
      <c r="AH233" t="str">
        <f>T("3")</f>
        <v>3</v>
      </c>
      <c r="AI233" t="str">
        <f>T("25")</f>
        <v>25</v>
      </c>
      <c r="AK233" t="str">
        <f>T("1241")</f>
        <v>1241</v>
      </c>
    </row>
    <row r="234" spans="1:37" x14ac:dyDescent="0.3">
      <c r="A234" t="s">
        <v>748</v>
      </c>
      <c r="B234" t="s">
        <v>749</v>
      </c>
      <c r="C234" t="s">
        <v>750</v>
      </c>
      <c r="D234" t="s">
        <v>7</v>
      </c>
      <c r="K234" t="str">
        <f t="shared" si="3"/>
        <v>172.515</v>
      </c>
      <c r="AG234" t="str">
        <f>T("2098")</f>
        <v>2098</v>
      </c>
      <c r="AH234" t="str">
        <f>T("3")</f>
        <v>3</v>
      </c>
      <c r="AK234" t="str">
        <f>T("873")</f>
        <v>873</v>
      </c>
    </row>
    <row r="235" spans="1:37" x14ac:dyDescent="0.3">
      <c r="A235" t="s">
        <v>751</v>
      </c>
      <c r="B235" t="s">
        <v>752</v>
      </c>
      <c r="C235" t="s">
        <v>753</v>
      </c>
      <c r="D235" t="s">
        <v>7</v>
      </c>
      <c r="K235" t="str">
        <f t="shared" si="3"/>
        <v>172.515</v>
      </c>
      <c r="AG235" t="str">
        <f>T("2099")</f>
        <v>2099</v>
      </c>
      <c r="AH235" t="str">
        <f>T("3")</f>
        <v>3</v>
      </c>
      <c r="AI235" t="str">
        <f>T("25")</f>
        <v>25</v>
      </c>
      <c r="AK235" t="str">
        <f>T("871")</f>
        <v>871</v>
      </c>
    </row>
    <row r="236" spans="1:37" x14ac:dyDescent="0.3">
      <c r="A236" t="s">
        <v>754</v>
      </c>
      <c r="B236" t="s">
        <v>755</v>
      </c>
      <c r="C236" t="s">
        <v>756</v>
      </c>
      <c r="D236" t="s">
        <v>15</v>
      </c>
      <c r="K236" t="str">
        <f t="shared" si="3"/>
        <v>172.515</v>
      </c>
      <c r="AG236" t="str">
        <f>T("2100")</f>
        <v>2100</v>
      </c>
      <c r="AH236" t="str">
        <f>T("3")</f>
        <v>3</v>
      </c>
      <c r="AI236" t="str">
        <f>T("25")</f>
        <v>25</v>
      </c>
      <c r="AK236" t="str">
        <f>T("875")</f>
        <v>875</v>
      </c>
    </row>
    <row r="237" spans="1:37" x14ac:dyDescent="0.3">
      <c r="A237" t="s">
        <v>757</v>
      </c>
      <c r="B237" t="s">
        <v>758</v>
      </c>
      <c r="C237" t="s">
        <v>759</v>
      </c>
      <c r="D237" t="s">
        <v>15</v>
      </c>
      <c r="K237" t="str">
        <f t="shared" si="3"/>
        <v>172.515</v>
      </c>
      <c r="AG237" t="str">
        <f>T("2101")</f>
        <v>2101</v>
      </c>
      <c r="AH237" t="str">
        <f>T("3")</f>
        <v>3</v>
      </c>
      <c r="AI237" t="str">
        <f>T("25")</f>
        <v>25</v>
      </c>
      <c r="AK237" t="str">
        <f>T("872")</f>
        <v>872</v>
      </c>
    </row>
    <row r="238" spans="1:37" x14ac:dyDescent="0.3">
      <c r="A238" t="s">
        <v>760</v>
      </c>
      <c r="B238" t="s">
        <v>761</v>
      </c>
      <c r="C238" t="s">
        <v>762</v>
      </c>
      <c r="D238" t="s">
        <v>15</v>
      </c>
      <c r="K238" t="str">
        <f t="shared" si="3"/>
        <v>172.515</v>
      </c>
      <c r="AG238" t="str">
        <f>T("3740")</f>
        <v>3740</v>
      </c>
      <c r="AH238" t="str">
        <f>T("14")</f>
        <v>14</v>
      </c>
      <c r="AK238" t="str">
        <f>T("876")</f>
        <v>876</v>
      </c>
    </row>
    <row r="239" spans="1:37" x14ac:dyDescent="0.3">
      <c r="A239" t="s">
        <v>763</v>
      </c>
      <c r="B239" t="s">
        <v>764</v>
      </c>
      <c r="C239" t="s">
        <v>765</v>
      </c>
      <c r="D239" t="s">
        <v>15</v>
      </c>
      <c r="K239" t="str">
        <f t="shared" si="3"/>
        <v>172.515</v>
      </c>
      <c r="AG239" t="str">
        <f>T("2102")</f>
        <v>2102</v>
      </c>
      <c r="AH239" t="str">
        <f>T("3")</f>
        <v>3</v>
      </c>
      <c r="AK239" t="str">
        <f>T("874")</f>
        <v>874</v>
      </c>
    </row>
    <row r="240" spans="1:37" x14ac:dyDescent="0.3">
      <c r="A240" t="s">
        <v>766</v>
      </c>
      <c r="B240" t="s">
        <v>767</v>
      </c>
      <c r="C240" t="s">
        <v>768</v>
      </c>
      <c r="D240" t="s">
        <v>769</v>
      </c>
      <c r="E240" t="str">
        <f>T("73.1030")</f>
        <v>73.1030</v>
      </c>
      <c r="F240" t="str">
        <f>T("73.2030")</f>
        <v>73.2030</v>
      </c>
      <c r="G240" t="str">
        <f>T("73.30")</f>
        <v>73.30</v>
      </c>
      <c r="AG240" t="str">
        <f>T("2103")</f>
        <v>2103</v>
      </c>
      <c r="AH240" t="str">
        <f>T("3")</f>
        <v>3</v>
      </c>
    </row>
    <row r="241" spans="1:37" x14ac:dyDescent="0.3">
      <c r="A241" t="s">
        <v>770</v>
      </c>
      <c r="B241" t="s">
        <v>771</v>
      </c>
      <c r="C241" t="s">
        <v>772</v>
      </c>
      <c r="D241" t="s">
        <v>773</v>
      </c>
      <c r="K241" t="str">
        <f>T("172.105")</f>
        <v>172.105</v>
      </c>
    </row>
    <row r="242" spans="1:37" x14ac:dyDescent="0.3">
      <c r="A242" t="s">
        <v>774</v>
      </c>
      <c r="B242" t="s">
        <v>775</v>
      </c>
      <c r="C242" t="s">
        <v>776</v>
      </c>
      <c r="D242" t="s">
        <v>15</v>
      </c>
      <c r="K242" t="str">
        <f>T("173.25")</f>
        <v>173.25</v>
      </c>
    </row>
    <row r="243" spans="1:37" x14ac:dyDescent="0.3">
      <c r="A243" t="s">
        <v>777</v>
      </c>
      <c r="B243" t="s">
        <v>778</v>
      </c>
      <c r="C243" t="s">
        <v>779</v>
      </c>
      <c r="D243" t="s">
        <v>606</v>
      </c>
      <c r="E243" t="str">
        <f>T("73.90")</f>
        <v>73.90</v>
      </c>
    </row>
    <row r="244" spans="1:37" x14ac:dyDescent="0.3">
      <c r="A244" t="s">
        <v>780</v>
      </c>
      <c r="B244" t="s">
        <v>781</v>
      </c>
      <c r="C244" t="s">
        <v>782</v>
      </c>
      <c r="D244" t="s">
        <v>7</v>
      </c>
    </row>
    <row r="245" spans="1:37" x14ac:dyDescent="0.3">
      <c r="A245" t="s">
        <v>783</v>
      </c>
      <c r="B245" t="s">
        <v>784</v>
      </c>
      <c r="C245" t="s">
        <v>785</v>
      </c>
      <c r="D245" t="s">
        <v>7</v>
      </c>
      <c r="K245" t="str">
        <f>T("182.20")</f>
        <v>182.20</v>
      </c>
      <c r="L245" t="str">
        <f>T("182.40")</f>
        <v>182.40</v>
      </c>
      <c r="AG245" t="str">
        <f>T("2105")</f>
        <v>2105</v>
      </c>
      <c r="AH245" t="str">
        <f>T("3")</f>
        <v>3</v>
      </c>
    </row>
    <row r="246" spans="1:37" x14ac:dyDescent="0.3">
      <c r="A246" t="s">
        <v>786</v>
      </c>
      <c r="B246" t="s">
        <v>787</v>
      </c>
      <c r="C246" t="s">
        <v>788</v>
      </c>
      <c r="D246" t="s">
        <v>789</v>
      </c>
      <c r="K246" t="str">
        <f>T("172.230")</f>
        <v>172.230</v>
      </c>
      <c r="L246" t="str">
        <f>T("172.610")</f>
        <v>172.610</v>
      </c>
      <c r="AG246" t="str">
        <f>T("3254")</f>
        <v>3254</v>
      </c>
      <c r="AH246" t="str">
        <f>T("5")</f>
        <v>5</v>
      </c>
    </row>
    <row r="247" spans="1:37" x14ac:dyDescent="0.3">
      <c r="A247" t="s">
        <v>790</v>
      </c>
      <c r="B247" t="s">
        <v>791</v>
      </c>
      <c r="C247" t="s">
        <v>792</v>
      </c>
      <c r="D247" t="s">
        <v>15</v>
      </c>
      <c r="AG247" t="str">
        <f>T("3255")</f>
        <v>3255</v>
      </c>
      <c r="AH247" t="str">
        <f>T("5")</f>
        <v>5</v>
      </c>
    </row>
    <row r="248" spans="1:37" x14ac:dyDescent="0.3">
      <c r="A248" t="s">
        <v>793</v>
      </c>
      <c r="B248" t="s">
        <v>794</v>
      </c>
      <c r="C248" t="s">
        <v>795</v>
      </c>
      <c r="D248" t="s">
        <v>137</v>
      </c>
      <c r="K248" t="str">
        <f>T("172.320")</f>
        <v>172.320</v>
      </c>
      <c r="AG248" t="str">
        <f>T("3819")</f>
        <v>3819</v>
      </c>
      <c r="AH248" t="str">
        <f>T("18")</f>
        <v>18</v>
      </c>
      <c r="AI248" t="str">
        <f>T("25")</f>
        <v>25</v>
      </c>
      <c r="AK248" t="str">
        <f>T("1438")</f>
        <v>1438</v>
      </c>
    </row>
    <row r="249" spans="1:37" x14ac:dyDescent="0.3">
      <c r="A249" t="s">
        <v>796</v>
      </c>
      <c r="B249" t="s">
        <v>797</v>
      </c>
      <c r="C249" t="s">
        <v>798</v>
      </c>
      <c r="D249" t="s">
        <v>7</v>
      </c>
      <c r="K249" t="str">
        <f>T("172.510")</f>
        <v>172.510</v>
      </c>
    </row>
    <row r="250" spans="1:37" x14ac:dyDescent="0.3">
      <c r="A250" t="s">
        <v>799</v>
      </c>
      <c r="B250" t="s">
        <v>800</v>
      </c>
      <c r="C250" t="s">
        <v>801</v>
      </c>
      <c r="D250" t="s">
        <v>802</v>
      </c>
    </row>
    <row r="251" spans="1:37" x14ac:dyDescent="0.3">
      <c r="A251" t="s">
        <v>803</v>
      </c>
      <c r="B251" t="s">
        <v>804</v>
      </c>
      <c r="C251" t="s">
        <v>805</v>
      </c>
      <c r="D251" t="s">
        <v>7</v>
      </c>
      <c r="K251" t="str">
        <f>T("172.510")</f>
        <v>172.510</v>
      </c>
      <c r="AG251" t="str">
        <f>T("3114")</f>
        <v>3114</v>
      </c>
      <c r="AH251" t="str">
        <f>T("3")</f>
        <v>3</v>
      </c>
    </row>
    <row r="252" spans="1:37" x14ac:dyDescent="0.3">
      <c r="A252" t="s">
        <v>806</v>
      </c>
      <c r="B252" t="s">
        <v>807</v>
      </c>
      <c r="C252" t="s">
        <v>808</v>
      </c>
      <c r="D252" t="s">
        <v>7</v>
      </c>
      <c r="K252" t="str">
        <f>T("172.510")</f>
        <v>172.510</v>
      </c>
      <c r="AG252" t="str">
        <f>T("3115")</f>
        <v>3115</v>
      </c>
      <c r="AH252" t="str">
        <f>T("3")</f>
        <v>3</v>
      </c>
    </row>
    <row r="253" spans="1:37" x14ac:dyDescent="0.3">
      <c r="A253" t="s">
        <v>809</v>
      </c>
      <c r="B253" t="s">
        <v>810</v>
      </c>
      <c r="C253" t="s">
        <v>811</v>
      </c>
      <c r="D253" t="s">
        <v>7</v>
      </c>
      <c r="K253" t="str">
        <f>T("172.510")</f>
        <v>172.510</v>
      </c>
      <c r="AG253" t="str">
        <f>T("3116")</f>
        <v>3116</v>
      </c>
      <c r="AH253" t="str">
        <f>T("3")</f>
        <v>3</v>
      </c>
    </row>
    <row r="254" spans="1:37" x14ac:dyDescent="0.3">
      <c r="A254" t="s">
        <v>812</v>
      </c>
      <c r="B254" t="s">
        <v>813</v>
      </c>
      <c r="C254" t="s">
        <v>814</v>
      </c>
      <c r="D254" t="s">
        <v>7</v>
      </c>
      <c r="K254" t="str">
        <f>T("172.510")</f>
        <v>172.510</v>
      </c>
    </row>
    <row r="255" spans="1:37" x14ac:dyDescent="0.3">
      <c r="A255" t="s">
        <v>815</v>
      </c>
      <c r="B255" t="s">
        <v>816</v>
      </c>
      <c r="C255" t="s">
        <v>817</v>
      </c>
      <c r="D255" t="s">
        <v>15</v>
      </c>
      <c r="K255" t="str">
        <f>T("182.20")</f>
        <v>182.20</v>
      </c>
      <c r="AG255" t="str">
        <f>T("2106")</f>
        <v>2106</v>
      </c>
      <c r="AH255" t="str">
        <f>T("3")</f>
        <v>3</v>
      </c>
    </row>
    <row r="256" spans="1:37" x14ac:dyDescent="0.3">
      <c r="A256" t="s">
        <v>818</v>
      </c>
      <c r="B256" t="s">
        <v>819</v>
      </c>
      <c r="C256" t="s">
        <v>820</v>
      </c>
      <c r="D256" t="s">
        <v>7</v>
      </c>
      <c r="K256" t="str">
        <f>T("182.20")</f>
        <v>182.20</v>
      </c>
      <c r="AG256" t="str">
        <f>T("2107")</f>
        <v>2107</v>
      </c>
      <c r="AH256" t="str">
        <f>T("3")</f>
        <v>3</v>
      </c>
    </row>
    <row r="257" spans="1:37" x14ac:dyDescent="0.3">
      <c r="A257" t="s">
        <v>821</v>
      </c>
      <c r="B257" t="s">
        <v>822</v>
      </c>
      <c r="C257" t="s">
        <v>823</v>
      </c>
      <c r="D257" t="s">
        <v>15</v>
      </c>
      <c r="K257" t="str">
        <f>T("182.20")</f>
        <v>182.20</v>
      </c>
      <c r="AG257" t="str">
        <f>T("2108")</f>
        <v>2108</v>
      </c>
      <c r="AH257" t="str">
        <f>T("3")</f>
        <v>3</v>
      </c>
    </row>
    <row r="258" spans="1:37" x14ac:dyDescent="0.3">
      <c r="A258" t="s">
        <v>824</v>
      </c>
      <c r="B258" t="s">
        <v>825</v>
      </c>
      <c r="C258" t="s">
        <v>826</v>
      </c>
      <c r="D258" t="s">
        <v>773</v>
      </c>
      <c r="K258" t="str">
        <f>T("182.3149")</f>
        <v>182.3149</v>
      </c>
      <c r="AF258" t="str">
        <f>T("166.11")</f>
        <v>166.11</v>
      </c>
    </row>
    <row r="259" spans="1:37" x14ac:dyDescent="0.3">
      <c r="A259" t="s">
        <v>827</v>
      </c>
      <c r="B259" t="s">
        <v>828</v>
      </c>
      <c r="C259" t="s">
        <v>829</v>
      </c>
      <c r="D259" t="s">
        <v>773</v>
      </c>
      <c r="AF259" t="str">
        <f>T("166.11")</f>
        <v>166.11</v>
      </c>
    </row>
    <row r="260" spans="1:37" x14ac:dyDescent="0.3">
      <c r="A260" t="s">
        <v>830</v>
      </c>
      <c r="B260" t="s">
        <v>831</v>
      </c>
      <c r="C260" t="s">
        <v>832</v>
      </c>
      <c r="D260" t="s">
        <v>213</v>
      </c>
      <c r="K260" t="str">
        <f>T("172.320")</f>
        <v>172.320</v>
      </c>
    </row>
    <row r="261" spans="1:37" x14ac:dyDescent="0.3">
      <c r="A261" t="s">
        <v>833</v>
      </c>
      <c r="B261" t="s">
        <v>834</v>
      </c>
      <c r="C261" t="s">
        <v>835</v>
      </c>
      <c r="D261" t="s">
        <v>15</v>
      </c>
    </row>
    <row r="262" spans="1:37" x14ac:dyDescent="0.3">
      <c r="A262" t="s">
        <v>836</v>
      </c>
      <c r="B262" t="s">
        <v>837</v>
      </c>
      <c r="C262" t="s">
        <v>838</v>
      </c>
      <c r="D262" t="s">
        <v>839</v>
      </c>
      <c r="K262" t="str">
        <f>T("172.804")</f>
        <v>172.804</v>
      </c>
    </row>
    <row r="263" spans="1:37" x14ac:dyDescent="0.3">
      <c r="A263" t="s">
        <v>840</v>
      </c>
      <c r="B263" t="s">
        <v>841</v>
      </c>
      <c r="C263" t="s">
        <v>842</v>
      </c>
      <c r="D263" t="s">
        <v>213</v>
      </c>
      <c r="K263" t="str">
        <f>T("172.320")</f>
        <v>172.320</v>
      </c>
      <c r="AG263" t="str">
        <f>T("3656")</f>
        <v>3656</v>
      </c>
      <c r="AH263" t="str">
        <f>T("13")</f>
        <v>13</v>
      </c>
      <c r="AK263" t="str">
        <f>T("1429")</f>
        <v>1429</v>
      </c>
    </row>
    <row r="264" spans="1:37" x14ac:dyDescent="0.3">
      <c r="A264" t="s">
        <v>843</v>
      </c>
      <c r="B264" t="s">
        <v>844</v>
      </c>
      <c r="C264" t="s">
        <v>845</v>
      </c>
      <c r="D264" t="s">
        <v>846</v>
      </c>
      <c r="K264" t="str">
        <f>T("173.280")</f>
        <v>173.280</v>
      </c>
    </row>
    <row r="265" spans="1:37" x14ac:dyDescent="0.3">
      <c r="A265" t="s">
        <v>847</v>
      </c>
      <c r="B265" t="s">
        <v>848</v>
      </c>
      <c r="C265" t="s">
        <v>849</v>
      </c>
      <c r="D265" t="s">
        <v>606</v>
      </c>
      <c r="E265" t="str">
        <f>T("73.35")</f>
        <v>73.35</v>
      </c>
    </row>
    <row r="266" spans="1:37" x14ac:dyDescent="0.3">
      <c r="A266" t="s">
        <v>850</v>
      </c>
      <c r="B266" t="s">
        <v>851</v>
      </c>
      <c r="C266" t="s">
        <v>852</v>
      </c>
      <c r="D266" t="s">
        <v>853</v>
      </c>
      <c r="K266" t="str">
        <f>T("172.806")</f>
        <v>172.806</v>
      </c>
      <c r="L266" t="str">
        <f>T("177.1210")</f>
        <v>177.1210</v>
      </c>
      <c r="M266" t="str">
        <f>T("177.2600")</f>
        <v>177.2600</v>
      </c>
      <c r="N266" t="str">
        <f>T("178.3010")</f>
        <v>178.3010</v>
      </c>
      <c r="AF266" t="s">
        <v>854</v>
      </c>
    </row>
    <row r="267" spans="1:37" x14ac:dyDescent="0.3">
      <c r="A267" t="s">
        <v>855</v>
      </c>
      <c r="B267" t="s">
        <v>856</v>
      </c>
      <c r="C267" t="s">
        <v>857</v>
      </c>
      <c r="D267" t="s">
        <v>74</v>
      </c>
      <c r="K267" t="str">
        <f>T("173.135")</f>
        <v>173.135</v>
      </c>
    </row>
    <row r="268" spans="1:37" x14ac:dyDescent="0.3">
      <c r="A268" t="s">
        <v>858</v>
      </c>
      <c r="B268" t="s">
        <v>859</v>
      </c>
      <c r="C268" t="s">
        <v>860</v>
      </c>
      <c r="D268" t="s">
        <v>861</v>
      </c>
      <c r="K268" t="str">
        <f>T("184.1983")</f>
        <v>184.1983</v>
      </c>
    </row>
    <row r="269" spans="1:37" x14ac:dyDescent="0.3">
      <c r="A269" t="s">
        <v>862</v>
      </c>
      <c r="B269" t="s">
        <v>863</v>
      </c>
      <c r="C269" t="s">
        <v>864</v>
      </c>
      <c r="D269" t="s">
        <v>865</v>
      </c>
      <c r="K269" t="str">
        <f>T("172.898")</f>
        <v>172.898</v>
      </c>
    </row>
    <row r="270" spans="1:37" x14ac:dyDescent="0.3">
      <c r="A270" t="s">
        <v>866</v>
      </c>
      <c r="B270" t="s">
        <v>867</v>
      </c>
      <c r="C270" t="s">
        <v>868</v>
      </c>
      <c r="D270" t="s">
        <v>869</v>
      </c>
      <c r="K270" t="str">
        <f>T("172.325")</f>
        <v>172.325</v>
      </c>
    </row>
    <row r="271" spans="1:37" x14ac:dyDescent="0.3">
      <c r="A271" t="s">
        <v>870</v>
      </c>
      <c r="B271" t="s">
        <v>871</v>
      </c>
      <c r="C271" t="s">
        <v>872</v>
      </c>
      <c r="D271" t="s">
        <v>7</v>
      </c>
      <c r="K271" t="str">
        <f>T("182.10")</f>
        <v>182.10</v>
      </c>
      <c r="AG271" t="str">
        <f>T("2111")</f>
        <v>2111</v>
      </c>
      <c r="AH271" t="str">
        <f>T("3")</f>
        <v>3</v>
      </c>
    </row>
    <row r="272" spans="1:37" x14ac:dyDescent="0.3">
      <c r="A272" t="s">
        <v>873</v>
      </c>
      <c r="B272" t="s">
        <v>874</v>
      </c>
      <c r="C272" t="s">
        <v>875</v>
      </c>
      <c r="D272" t="s">
        <v>7</v>
      </c>
      <c r="K272" t="str">
        <f>T("182.10")</f>
        <v>182.10</v>
      </c>
    </row>
    <row r="273" spans="1:34" x14ac:dyDescent="0.3">
      <c r="A273" t="s">
        <v>876</v>
      </c>
      <c r="B273" t="s">
        <v>877</v>
      </c>
      <c r="C273" t="s">
        <v>878</v>
      </c>
      <c r="D273" t="s">
        <v>7</v>
      </c>
      <c r="K273" t="str">
        <f>T("182.20")</f>
        <v>182.20</v>
      </c>
      <c r="AG273" t="str">
        <f>T("2112")</f>
        <v>2112</v>
      </c>
      <c r="AH273" t="str">
        <f>T("3")</f>
        <v>3</v>
      </c>
    </row>
    <row r="274" spans="1:34" x14ac:dyDescent="0.3">
      <c r="A274" t="s">
        <v>879</v>
      </c>
      <c r="B274" t="s">
        <v>880</v>
      </c>
      <c r="C274" t="s">
        <v>881</v>
      </c>
      <c r="D274" t="s">
        <v>15</v>
      </c>
      <c r="K274" t="str">
        <f>T("182.20")</f>
        <v>182.20</v>
      </c>
      <c r="AG274" t="str">
        <f>T("2113")</f>
        <v>2113</v>
      </c>
      <c r="AH274" t="str">
        <f>T("3")</f>
        <v>3</v>
      </c>
    </row>
    <row r="275" spans="1:34" x14ac:dyDescent="0.3">
      <c r="A275" t="s">
        <v>882</v>
      </c>
      <c r="B275" t="s">
        <v>883</v>
      </c>
      <c r="C275" t="s">
        <v>884</v>
      </c>
      <c r="D275" t="s">
        <v>7</v>
      </c>
      <c r="K275" t="str">
        <f>T("172.510")</f>
        <v>172.510</v>
      </c>
    </row>
    <row r="276" spans="1:34" x14ac:dyDescent="0.3">
      <c r="A276" t="s">
        <v>885</v>
      </c>
      <c r="B276" t="s">
        <v>886</v>
      </c>
      <c r="C276" t="s">
        <v>887</v>
      </c>
      <c r="D276" t="s">
        <v>7</v>
      </c>
      <c r="AG276" t="str">
        <f>T("2114")</f>
        <v>2114</v>
      </c>
      <c r="AH276" t="str">
        <f>T("3")</f>
        <v>3</v>
      </c>
    </row>
    <row r="277" spans="1:34" x14ac:dyDescent="0.3">
      <c r="A277" t="s">
        <v>888</v>
      </c>
      <c r="B277" t="s">
        <v>889</v>
      </c>
      <c r="C277" t="s">
        <v>890</v>
      </c>
      <c r="D277" t="s">
        <v>7</v>
      </c>
      <c r="AG277" t="str">
        <f>T("2115")</f>
        <v>2115</v>
      </c>
      <c r="AH277" t="str">
        <f>T("3")</f>
        <v>3</v>
      </c>
    </row>
    <row r="278" spans="1:34" x14ac:dyDescent="0.3">
      <c r="A278" t="s">
        <v>891</v>
      </c>
      <c r="B278" t="s">
        <v>892</v>
      </c>
      <c r="C278" t="s">
        <v>893</v>
      </c>
      <c r="D278" t="s">
        <v>7</v>
      </c>
      <c r="AG278" t="str">
        <f>T("2116")</f>
        <v>2116</v>
      </c>
      <c r="AH278" t="str">
        <f>T("3")</f>
        <v>3</v>
      </c>
    </row>
    <row r="279" spans="1:34" x14ac:dyDescent="0.3">
      <c r="A279" t="s">
        <v>894</v>
      </c>
      <c r="B279" t="s">
        <v>895</v>
      </c>
      <c r="C279" t="s">
        <v>896</v>
      </c>
      <c r="D279" t="s">
        <v>7</v>
      </c>
      <c r="K279" t="str">
        <f>T("182.20")</f>
        <v>182.20</v>
      </c>
      <c r="AG279" t="str">
        <f>T("2117")</f>
        <v>2117</v>
      </c>
      <c r="AH279" t="str">
        <f>T("3")</f>
        <v>3</v>
      </c>
    </row>
    <row r="280" spans="1:34" x14ac:dyDescent="0.3">
      <c r="A280" t="s">
        <v>897</v>
      </c>
      <c r="B280" t="s">
        <v>898</v>
      </c>
      <c r="C280" t="s">
        <v>899</v>
      </c>
      <c r="D280" t="s">
        <v>7</v>
      </c>
      <c r="K280" t="str">
        <f>T("182.10")</f>
        <v>182.10</v>
      </c>
      <c r="AG280" t="str">
        <f>T("2118")</f>
        <v>2118</v>
      </c>
      <c r="AH280" t="str">
        <f>T("3")</f>
        <v>3</v>
      </c>
    </row>
    <row r="281" spans="1:34" x14ac:dyDescent="0.3">
      <c r="A281" t="s">
        <v>900</v>
      </c>
      <c r="B281" t="s">
        <v>901</v>
      </c>
      <c r="C281" t="s">
        <v>902</v>
      </c>
      <c r="D281" t="s">
        <v>7</v>
      </c>
      <c r="K281" t="str">
        <f>T("182.10")</f>
        <v>182.10</v>
      </c>
      <c r="AF281" t="str">
        <f>T("101.22")</f>
        <v>101.22</v>
      </c>
    </row>
    <row r="282" spans="1:34" x14ac:dyDescent="0.3">
      <c r="A282" t="s">
        <v>903</v>
      </c>
      <c r="B282" t="s">
        <v>904</v>
      </c>
      <c r="C282" t="s">
        <v>905</v>
      </c>
      <c r="D282" t="s">
        <v>7</v>
      </c>
      <c r="K282" t="str">
        <f>T("182.20")</f>
        <v>182.20</v>
      </c>
    </row>
    <row r="283" spans="1:34" x14ac:dyDescent="0.3">
      <c r="A283" t="s">
        <v>906</v>
      </c>
      <c r="B283" t="s">
        <v>907</v>
      </c>
      <c r="C283" t="s">
        <v>908</v>
      </c>
      <c r="D283" t="s">
        <v>909</v>
      </c>
      <c r="K283" t="str">
        <f>T("182.20")</f>
        <v>182.20</v>
      </c>
      <c r="AG283" t="str">
        <f>T("2119")</f>
        <v>2119</v>
      </c>
      <c r="AH283" t="str">
        <f t="shared" ref="AH283:AH290" si="4">T("3")</f>
        <v>3</v>
      </c>
    </row>
    <row r="284" spans="1:34" x14ac:dyDescent="0.3">
      <c r="A284" t="s">
        <v>910</v>
      </c>
      <c r="B284" t="s">
        <v>911</v>
      </c>
      <c r="C284" t="s">
        <v>912</v>
      </c>
      <c r="D284" t="s">
        <v>7</v>
      </c>
      <c r="K284" t="str">
        <f>T("182.20")</f>
        <v>182.20</v>
      </c>
      <c r="AG284" t="str">
        <f>T("2120")</f>
        <v>2120</v>
      </c>
      <c r="AH284" t="str">
        <f t="shared" si="4"/>
        <v>3</v>
      </c>
    </row>
    <row r="285" spans="1:34" x14ac:dyDescent="0.3">
      <c r="A285" t="s">
        <v>913</v>
      </c>
      <c r="B285" t="s">
        <v>914</v>
      </c>
      <c r="C285" t="s">
        <v>915</v>
      </c>
      <c r="D285" t="s">
        <v>7</v>
      </c>
      <c r="K285" t="str">
        <f>T("182.10")</f>
        <v>182.10</v>
      </c>
      <c r="AF285" t="s">
        <v>916</v>
      </c>
      <c r="AG285" t="str">
        <f>T("2124")</f>
        <v>2124</v>
      </c>
      <c r="AH285" t="str">
        <f t="shared" si="4"/>
        <v>3</v>
      </c>
    </row>
    <row r="286" spans="1:34" x14ac:dyDescent="0.3">
      <c r="A286" t="s">
        <v>917</v>
      </c>
      <c r="B286" t="s">
        <v>918</v>
      </c>
      <c r="C286" t="s">
        <v>919</v>
      </c>
      <c r="D286" t="s">
        <v>7</v>
      </c>
      <c r="K286" t="str">
        <f>T("182.20")</f>
        <v>182.20</v>
      </c>
      <c r="AG286" t="str">
        <f>T("2613")</f>
        <v>2613</v>
      </c>
      <c r="AH286" t="str">
        <f t="shared" si="4"/>
        <v>3</v>
      </c>
    </row>
    <row r="287" spans="1:34" x14ac:dyDescent="0.3">
      <c r="A287" t="s">
        <v>920</v>
      </c>
      <c r="B287" t="s">
        <v>921</v>
      </c>
      <c r="C287" t="s">
        <v>922</v>
      </c>
      <c r="D287" t="s">
        <v>7</v>
      </c>
      <c r="K287" t="str">
        <f>T("182.20")</f>
        <v>182.20</v>
      </c>
      <c r="AG287" t="str">
        <f>T("2125")</f>
        <v>2125</v>
      </c>
      <c r="AH287" t="str">
        <f t="shared" si="4"/>
        <v>3</v>
      </c>
    </row>
    <row r="288" spans="1:34" x14ac:dyDescent="0.3">
      <c r="A288" t="s">
        <v>923</v>
      </c>
      <c r="B288" t="s">
        <v>924</v>
      </c>
      <c r="C288" t="s">
        <v>925</v>
      </c>
      <c r="D288" t="s">
        <v>7</v>
      </c>
      <c r="AG288" t="str">
        <f>T("2121")</f>
        <v>2121</v>
      </c>
      <c r="AH288" t="str">
        <f t="shared" si="4"/>
        <v>3</v>
      </c>
    </row>
    <row r="289" spans="1:37" x14ac:dyDescent="0.3">
      <c r="A289" t="s">
        <v>926</v>
      </c>
      <c r="B289" t="s">
        <v>927</v>
      </c>
      <c r="C289" t="s">
        <v>928</v>
      </c>
      <c r="D289" t="s">
        <v>7</v>
      </c>
      <c r="K289" t="str">
        <f>T("182.20")</f>
        <v>182.20</v>
      </c>
      <c r="AG289" t="str">
        <f>T("2122")</f>
        <v>2122</v>
      </c>
      <c r="AH289" t="str">
        <f t="shared" si="4"/>
        <v>3</v>
      </c>
    </row>
    <row r="290" spans="1:37" x14ac:dyDescent="0.3">
      <c r="A290" t="s">
        <v>929</v>
      </c>
      <c r="B290" t="s">
        <v>930</v>
      </c>
      <c r="C290" t="s">
        <v>931</v>
      </c>
      <c r="D290" t="s">
        <v>7</v>
      </c>
      <c r="AG290" t="str">
        <f>T("2123")</f>
        <v>2123</v>
      </c>
      <c r="AH290" t="str">
        <f t="shared" si="4"/>
        <v>3</v>
      </c>
    </row>
    <row r="291" spans="1:37" x14ac:dyDescent="0.3">
      <c r="A291" t="s">
        <v>932</v>
      </c>
      <c r="B291" t="s">
        <v>933</v>
      </c>
      <c r="C291" t="s">
        <v>934</v>
      </c>
      <c r="D291" t="s">
        <v>7</v>
      </c>
      <c r="K291" t="str">
        <f>T("172.515")</f>
        <v>172.515</v>
      </c>
    </row>
    <row r="292" spans="1:37" x14ac:dyDescent="0.3">
      <c r="A292" t="s">
        <v>935</v>
      </c>
      <c r="B292" t="s">
        <v>936</v>
      </c>
      <c r="C292" t="s">
        <v>937</v>
      </c>
      <c r="D292" t="s">
        <v>938</v>
      </c>
      <c r="K292" t="str">
        <f>T("184.1973")</f>
        <v>184.1973</v>
      </c>
      <c r="AF292" t="str">
        <f>T("101.4")</f>
        <v>101.4</v>
      </c>
    </row>
    <row r="293" spans="1:37" x14ac:dyDescent="0.3">
      <c r="A293" t="s">
        <v>939</v>
      </c>
      <c r="B293" t="s">
        <v>940</v>
      </c>
      <c r="C293" t="s">
        <v>941</v>
      </c>
      <c r="D293" t="s">
        <v>7</v>
      </c>
      <c r="K293" t="str">
        <f>T("184.1973")</f>
        <v>184.1973</v>
      </c>
      <c r="AG293" t="str">
        <f>T("2126")</f>
        <v>2126</v>
      </c>
      <c r="AH293" t="str">
        <f>T("3")</f>
        <v>3</v>
      </c>
    </row>
    <row r="294" spans="1:37" x14ac:dyDescent="0.3">
      <c r="A294" t="s">
        <v>942</v>
      </c>
      <c r="B294" t="s">
        <v>943</v>
      </c>
      <c r="C294" t="s">
        <v>944</v>
      </c>
      <c r="D294" t="s">
        <v>945</v>
      </c>
      <c r="K294" t="str">
        <f>T("175.105")</f>
        <v>175.105</v>
      </c>
      <c r="L294" t="str">
        <f>T("175.300")</f>
        <v>175.300</v>
      </c>
      <c r="M294" t="str">
        <f>T("176.170")</f>
        <v>176.170</v>
      </c>
      <c r="N294" t="str">
        <f>T("178.3297")</f>
        <v>178.3297</v>
      </c>
      <c r="O294" t="str">
        <f>T("184.1155")</f>
        <v>184.1155</v>
      </c>
    </row>
    <row r="295" spans="1:37" x14ac:dyDescent="0.3">
      <c r="A295" t="s">
        <v>946</v>
      </c>
      <c r="B295" t="s">
        <v>947</v>
      </c>
      <c r="C295" t="s">
        <v>948</v>
      </c>
      <c r="D295" t="s">
        <v>7</v>
      </c>
      <c r="K295" t="str">
        <f>T("182.60")</f>
        <v>182.60</v>
      </c>
      <c r="AG295" t="str">
        <f>T("2127")</f>
        <v>2127</v>
      </c>
      <c r="AH295" t="str">
        <f>T("3")</f>
        <v>3</v>
      </c>
      <c r="AK295" t="str">
        <f>T("22")</f>
        <v>22</v>
      </c>
    </row>
    <row r="296" spans="1:37" x14ac:dyDescent="0.3">
      <c r="A296" t="s">
        <v>949</v>
      </c>
      <c r="B296" t="s">
        <v>950</v>
      </c>
      <c r="C296" t="s">
        <v>951</v>
      </c>
      <c r="D296" t="s">
        <v>15</v>
      </c>
      <c r="K296" t="str">
        <f>T("172.515")</f>
        <v>172.515</v>
      </c>
      <c r="AG296" t="str">
        <f>T("2128")</f>
        <v>2128</v>
      </c>
      <c r="AH296" t="str">
        <f>T("3")</f>
        <v>3</v>
      </c>
      <c r="AK296" t="str">
        <f>T("837")</f>
        <v>837</v>
      </c>
    </row>
    <row r="297" spans="1:37" x14ac:dyDescent="0.3">
      <c r="A297" t="s">
        <v>952</v>
      </c>
      <c r="B297" t="s">
        <v>953</v>
      </c>
      <c r="C297" t="s">
        <v>954</v>
      </c>
      <c r="D297" t="s">
        <v>7</v>
      </c>
      <c r="K297" t="str">
        <f>T("172.515")</f>
        <v>172.515</v>
      </c>
      <c r="AG297" t="str">
        <f>T("2129")</f>
        <v>2129</v>
      </c>
      <c r="AH297" t="str">
        <f>T("3")</f>
        <v>3</v>
      </c>
      <c r="AK297" t="str">
        <f>T("838")</f>
        <v>838</v>
      </c>
    </row>
    <row r="298" spans="1:37" x14ac:dyDescent="0.3">
      <c r="A298" t="s">
        <v>955</v>
      </c>
      <c r="B298" t="s">
        <v>956</v>
      </c>
      <c r="C298" t="s">
        <v>957</v>
      </c>
      <c r="D298" t="s">
        <v>7</v>
      </c>
      <c r="K298" t="str">
        <f>T("172.515")</f>
        <v>172.515</v>
      </c>
      <c r="AG298" t="str">
        <f>T("2130")</f>
        <v>2130</v>
      </c>
      <c r="AH298" t="str">
        <f>T("3")</f>
        <v>3</v>
      </c>
      <c r="AI298" t="str">
        <f>T("25")</f>
        <v>25</v>
      </c>
      <c r="AK298" t="str">
        <f>T("839")</f>
        <v>839</v>
      </c>
    </row>
    <row r="299" spans="1:37" x14ac:dyDescent="0.3">
      <c r="A299" t="s">
        <v>958</v>
      </c>
      <c r="B299" t="s">
        <v>959</v>
      </c>
      <c r="C299" t="s">
        <v>960</v>
      </c>
      <c r="K299" t="str">
        <f>T("172.560")</f>
        <v>172.560</v>
      </c>
      <c r="L299" t="str">
        <f>T("175.105")</f>
        <v>175.105</v>
      </c>
    </row>
    <row r="300" spans="1:37" x14ac:dyDescent="0.3">
      <c r="A300" t="s">
        <v>961</v>
      </c>
      <c r="B300" t="s">
        <v>962</v>
      </c>
      <c r="C300" t="s">
        <v>963</v>
      </c>
      <c r="D300" t="s">
        <v>15</v>
      </c>
      <c r="K300" t="str">
        <f>T("172.515")</f>
        <v>172.515</v>
      </c>
      <c r="AG300" t="str">
        <f>T("3616")</f>
        <v>3616</v>
      </c>
      <c r="AH300" t="str">
        <f>T("12")</f>
        <v>12</v>
      </c>
      <c r="AK300" t="str">
        <f>T("525")</f>
        <v>525</v>
      </c>
    </row>
    <row r="301" spans="1:37" x14ac:dyDescent="0.3">
      <c r="A301" t="s">
        <v>964</v>
      </c>
      <c r="B301" t="s">
        <v>965</v>
      </c>
      <c r="C301" t="s">
        <v>966</v>
      </c>
      <c r="D301" t="s">
        <v>7</v>
      </c>
      <c r="AG301" t="str">
        <f>T("3128")</f>
        <v>3128</v>
      </c>
      <c r="AH301" t="str">
        <f>T("4")</f>
        <v>4</v>
      </c>
      <c r="AK301" t="str">
        <f>T("751")</f>
        <v>751</v>
      </c>
    </row>
    <row r="302" spans="1:37" x14ac:dyDescent="0.3">
      <c r="A302" t="s">
        <v>967</v>
      </c>
      <c r="B302" t="s">
        <v>968</v>
      </c>
      <c r="C302" t="s">
        <v>969</v>
      </c>
      <c r="D302" t="s">
        <v>15</v>
      </c>
      <c r="E302" t="str">
        <f>T("73.1")</f>
        <v>73.1</v>
      </c>
      <c r="K302" t="str">
        <f>T("172.515")</f>
        <v>172.515</v>
      </c>
      <c r="AG302" t="str">
        <f>T("2132")</f>
        <v>2132</v>
      </c>
      <c r="AH302" t="str">
        <f>T("3")</f>
        <v>3</v>
      </c>
      <c r="AK302" t="str">
        <f>T("836")</f>
        <v>836</v>
      </c>
    </row>
    <row r="303" spans="1:37" x14ac:dyDescent="0.3">
      <c r="A303" t="s">
        <v>970</v>
      </c>
      <c r="B303" t="s">
        <v>971</v>
      </c>
      <c r="C303" t="s">
        <v>972</v>
      </c>
      <c r="D303" t="s">
        <v>15</v>
      </c>
      <c r="K303" t="str">
        <f>T("172.510")</f>
        <v>172.510</v>
      </c>
      <c r="AG303" t="str">
        <f>T("2133")</f>
        <v>2133</v>
      </c>
      <c r="AH303" t="str">
        <f>T("3")</f>
        <v>3</v>
      </c>
    </row>
    <row r="304" spans="1:37" x14ac:dyDescent="0.3">
      <c r="A304" t="s">
        <v>973</v>
      </c>
      <c r="B304" t="s">
        <v>974</v>
      </c>
      <c r="C304" t="s">
        <v>975</v>
      </c>
      <c r="D304" t="s">
        <v>15</v>
      </c>
      <c r="AG304" t="str">
        <f>T("3256")</f>
        <v>3256</v>
      </c>
      <c r="AH304" t="str">
        <f>T("5")</f>
        <v>5</v>
      </c>
      <c r="AK304" t="str">
        <f>T("1040")</f>
        <v>1040</v>
      </c>
    </row>
    <row r="305" spans="1:37" x14ac:dyDescent="0.3">
      <c r="A305" t="s">
        <v>976</v>
      </c>
      <c r="B305" t="s">
        <v>977</v>
      </c>
      <c r="C305" t="s">
        <v>978</v>
      </c>
      <c r="D305" t="s">
        <v>7</v>
      </c>
      <c r="AG305" t="str">
        <f>T("4078")</f>
        <v>4078</v>
      </c>
      <c r="AH305" t="str">
        <f>T("22")</f>
        <v>22</v>
      </c>
      <c r="AK305" t="str">
        <f>T("1552")</f>
        <v>1552</v>
      </c>
    </row>
    <row r="306" spans="1:37" x14ac:dyDescent="0.3">
      <c r="A306" t="s">
        <v>979</v>
      </c>
      <c r="B306" t="s">
        <v>980</v>
      </c>
      <c r="C306" t="s">
        <v>981</v>
      </c>
      <c r="D306" t="s">
        <v>982</v>
      </c>
      <c r="K306" t="str">
        <f>T("172.814")</f>
        <v>172.814</v>
      </c>
      <c r="L306" t="str">
        <f>T("175.105")</f>
        <v>175.105</v>
      </c>
      <c r="M306" t="str">
        <f>T("176.170")</f>
        <v>176.170</v>
      </c>
      <c r="N306" t="str">
        <f>T("177.2420")</f>
        <v>177.2420</v>
      </c>
      <c r="O306" t="str">
        <f>T("177.2600")</f>
        <v>177.2600</v>
      </c>
      <c r="P306" t="str">
        <f>T("184.1157")</f>
        <v>184.1157</v>
      </c>
      <c r="AF306" t="s">
        <v>480</v>
      </c>
    </row>
    <row r="307" spans="1:37" x14ac:dyDescent="0.3">
      <c r="A307" t="s">
        <v>983</v>
      </c>
      <c r="B307" t="s">
        <v>984</v>
      </c>
      <c r="C307" t="s">
        <v>985</v>
      </c>
      <c r="D307" t="s">
        <v>7</v>
      </c>
      <c r="K307" t="str">
        <f t="shared" ref="K307:K318" si="5">T("172.515")</f>
        <v>172.515</v>
      </c>
      <c r="AG307" t="str">
        <f>T("2135")</f>
        <v>2135</v>
      </c>
      <c r="AH307" t="str">
        <f t="shared" ref="AH307:AH314" si="6">T("3")</f>
        <v>3</v>
      </c>
      <c r="AK307" t="str">
        <f>T("23")</f>
        <v>23</v>
      </c>
    </row>
    <row r="308" spans="1:37" x14ac:dyDescent="0.3">
      <c r="A308" t="s">
        <v>986</v>
      </c>
      <c r="B308" t="s">
        <v>987</v>
      </c>
      <c r="C308" t="s">
        <v>988</v>
      </c>
      <c r="D308" t="s">
        <v>15</v>
      </c>
      <c r="K308" t="str">
        <f t="shared" si="5"/>
        <v>172.515</v>
      </c>
      <c r="AG308" t="str">
        <f>T("2136")</f>
        <v>2136</v>
      </c>
      <c r="AH308" t="str">
        <f t="shared" si="6"/>
        <v>3</v>
      </c>
      <c r="AI308" t="str">
        <f>T("25")</f>
        <v>25</v>
      </c>
      <c r="AK308" t="str">
        <f>T("848")</f>
        <v>848</v>
      </c>
    </row>
    <row r="309" spans="1:37" x14ac:dyDescent="0.3">
      <c r="A309" t="s">
        <v>989</v>
      </c>
      <c r="B309" t="s">
        <v>990</v>
      </c>
      <c r="C309" t="s">
        <v>991</v>
      </c>
      <c r="D309" t="s">
        <v>88</v>
      </c>
      <c r="E309" t="str">
        <f>T("73.1001")</f>
        <v>73.1001</v>
      </c>
      <c r="K309" t="str">
        <f t="shared" si="5"/>
        <v>172.515</v>
      </c>
      <c r="L309" t="str">
        <f>T("175.105")</f>
        <v>175.105</v>
      </c>
      <c r="M309" t="str">
        <f>T("175.300")</f>
        <v>175.300</v>
      </c>
      <c r="N309" t="str">
        <f>T("177.1210")</f>
        <v>177.1210</v>
      </c>
      <c r="AG309" t="str">
        <f>T("2137")</f>
        <v>2137</v>
      </c>
      <c r="AH309" t="str">
        <f t="shared" si="6"/>
        <v>3</v>
      </c>
      <c r="AK309" t="str">
        <f>T("25")</f>
        <v>25</v>
      </c>
    </row>
    <row r="310" spans="1:37" x14ac:dyDescent="0.3">
      <c r="A310" t="s">
        <v>992</v>
      </c>
      <c r="B310" t="s">
        <v>993</v>
      </c>
      <c r="C310" t="s">
        <v>994</v>
      </c>
      <c r="D310" t="s">
        <v>88</v>
      </c>
      <c r="K310" t="str">
        <f t="shared" si="5"/>
        <v>172.515</v>
      </c>
      <c r="L310" t="str">
        <f>T("175.105")</f>
        <v>175.105</v>
      </c>
      <c r="AG310" t="str">
        <f>T("2138")</f>
        <v>2138</v>
      </c>
      <c r="AH310" t="str">
        <f t="shared" si="6"/>
        <v>3</v>
      </c>
      <c r="AK310" t="str">
        <f>T("24")</f>
        <v>24</v>
      </c>
    </row>
    <row r="311" spans="1:37" x14ac:dyDescent="0.3">
      <c r="A311" t="s">
        <v>995</v>
      </c>
      <c r="B311" t="s">
        <v>996</v>
      </c>
      <c r="C311" t="s">
        <v>997</v>
      </c>
      <c r="D311" t="s">
        <v>7</v>
      </c>
      <c r="K311" t="str">
        <f t="shared" si="5"/>
        <v>172.515</v>
      </c>
      <c r="AG311" t="str">
        <f>T("2139")</f>
        <v>2139</v>
      </c>
      <c r="AH311" t="str">
        <f t="shared" si="6"/>
        <v>3</v>
      </c>
      <c r="AK311" t="str">
        <f>T("1253")</f>
        <v>1253</v>
      </c>
    </row>
    <row r="312" spans="1:37" x14ac:dyDescent="0.3">
      <c r="A312" t="s">
        <v>998</v>
      </c>
      <c r="B312" t="s">
        <v>999</v>
      </c>
      <c r="C312" t="s">
        <v>1000</v>
      </c>
      <c r="D312" t="s">
        <v>7</v>
      </c>
      <c r="K312" t="str">
        <f t="shared" si="5"/>
        <v>172.515</v>
      </c>
      <c r="AG312" t="str">
        <f>T("2140")</f>
        <v>2140</v>
      </c>
      <c r="AH312" t="str">
        <f t="shared" si="6"/>
        <v>3</v>
      </c>
      <c r="AK312" t="str">
        <f>T("843")</f>
        <v>843</v>
      </c>
    </row>
    <row r="313" spans="1:37" x14ac:dyDescent="0.3">
      <c r="A313" t="s">
        <v>1001</v>
      </c>
      <c r="B313" t="s">
        <v>1002</v>
      </c>
      <c r="C313" t="s">
        <v>1003</v>
      </c>
      <c r="D313" t="s">
        <v>7</v>
      </c>
      <c r="K313" t="str">
        <f t="shared" si="5"/>
        <v>172.515</v>
      </c>
      <c r="AG313" t="str">
        <f>T("2142")</f>
        <v>2142</v>
      </c>
      <c r="AH313" t="str">
        <f t="shared" si="6"/>
        <v>3</v>
      </c>
      <c r="AK313" t="str">
        <f>T("670")</f>
        <v>670</v>
      </c>
    </row>
    <row r="314" spans="1:37" x14ac:dyDescent="0.3">
      <c r="A314" t="s">
        <v>1004</v>
      </c>
      <c r="B314" t="s">
        <v>1005</v>
      </c>
      <c r="C314" t="s">
        <v>1006</v>
      </c>
      <c r="D314" t="s">
        <v>7</v>
      </c>
      <c r="K314" t="str">
        <f t="shared" si="5"/>
        <v>172.515</v>
      </c>
      <c r="AG314" t="str">
        <f>T("2143")</f>
        <v>2143</v>
      </c>
      <c r="AH314" t="str">
        <f t="shared" si="6"/>
        <v>3</v>
      </c>
      <c r="AK314" t="str">
        <f>T("847")</f>
        <v>847</v>
      </c>
    </row>
    <row r="315" spans="1:37" x14ac:dyDescent="0.3">
      <c r="A315" t="s">
        <v>1007</v>
      </c>
      <c r="B315" t="s">
        <v>1008</v>
      </c>
      <c r="C315" t="s">
        <v>1009</v>
      </c>
      <c r="D315" t="s">
        <v>7</v>
      </c>
      <c r="K315" t="str">
        <f t="shared" si="5"/>
        <v>172.515</v>
      </c>
      <c r="AG315" t="str">
        <f>T("3617")</f>
        <v>3617</v>
      </c>
      <c r="AH315" t="str">
        <f>T("12")</f>
        <v>12</v>
      </c>
      <c r="AK315" t="str">
        <f>T("579")</f>
        <v>579</v>
      </c>
    </row>
    <row r="316" spans="1:37" x14ac:dyDescent="0.3">
      <c r="A316" t="s">
        <v>1010</v>
      </c>
      <c r="B316" t="s">
        <v>1011</v>
      </c>
      <c r="C316" t="s">
        <v>1012</v>
      </c>
      <c r="D316" t="s">
        <v>7</v>
      </c>
      <c r="K316" t="str">
        <f t="shared" si="5"/>
        <v>172.515</v>
      </c>
      <c r="AG316" t="str">
        <f>T("2144")</f>
        <v>2144</v>
      </c>
      <c r="AH316" t="str">
        <f>T("3")</f>
        <v>3</v>
      </c>
      <c r="AK316" t="str">
        <f>T("1252")</f>
        <v>1252</v>
      </c>
    </row>
    <row r="317" spans="1:37" x14ac:dyDescent="0.3">
      <c r="A317" t="s">
        <v>1013</v>
      </c>
      <c r="B317" t="s">
        <v>1014</v>
      </c>
      <c r="C317" t="s">
        <v>1015</v>
      </c>
      <c r="D317" t="s">
        <v>15</v>
      </c>
      <c r="K317" t="str">
        <f t="shared" si="5"/>
        <v>172.515</v>
      </c>
      <c r="AG317" t="str">
        <f>T("2145")</f>
        <v>2145</v>
      </c>
      <c r="AH317" t="str">
        <f>T("3")</f>
        <v>3</v>
      </c>
      <c r="AK317" t="str">
        <f>T("841")</f>
        <v>841</v>
      </c>
    </row>
    <row r="318" spans="1:37" x14ac:dyDescent="0.3">
      <c r="A318" t="s">
        <v>1016</v>
      </c>
      <c r="B318" t="s">
        <v>1017</v>
      </c>
      <c r="C318" t="s">
        <v>1018</v>
      </c>
      <c r="D318" t="s">
        <v>15</v>
      </c>
      <c r="K318" t="str">
        <f t="shared" si="5"/>
        <v>172.515</v>
      </c>
      <c r="AG318" t="str">
        <f>T("2146")</f>
        <v>2146</v>
      </c>
      <c r="AH318" t="str">
        <f>T("3")</f>
        <v>3</v>
      </c>
      <c r="AK318" t="str">
        <f>T("830")</f>
        <v>830</v>
      </c>
    </row>
    <row r="319" spans="1:37" x14ac:dyDescent="0.3">
      <c r="A319" t="s">
        <v>1019</v>
      </c>
      <c r="B319" t="s">
        <v>1020</v>
      </c>
      <c r="C319" t="s">
        <v>1021</v>
      </c>
      <c r="D319" t="s">
        <v>7</v>
      </c>
      <c r="AG319" t="str">
        <f>T("4026")</f>
        <v>4026</v>
      </c>
      <c r="AH319" t="str">
        <f>T("21")</f>
        <v>21</v>
      </c>
      <c r="AK319" t="str">
        <f>T("2061")</f>
        <v>2061</v>
      </c>
    </row>
    <row r="320" spans="1:37" x14ac:dyDescent="0.3">
      <c r="A320" t="s">
        <v>1022</v>
      </c>
      <c r="B320" t="s">
        <v>1023</v>
      </c>
      <c r="C320" t="s">
        <v>1024</v>
      </c>
      <c r="D320" t="s">
        <v>7</v>
      </c>
      <c r="K320" t="str">
        <f>T("172.515")</f>
        <v>172.515</v>
      </c>
      <c r="AG320" t="str">
        <f>T("2141")</f>
        <v>2141</v>
      </c>
      <c r="AH320" t="str">
        <f>T("3")</f>
        <v>3</v>
      </c>
      <c r="AI320" t="str">
        <f>T("25")</f>
        <v>25</v>
      </c>
      <c r="AK320" t="str">
        <f>T("844")</f>
        <v>844</v>
      </c>
    </row>
    <row r="321" spans="1:37" x14ac:dyDescent="0.3">
      <c r="A321" t="s">
        <v>1025</v>
      </c>
      <c r="B321" t="s">
        <v>1026</v>
      </c>
      <c r="C321" t="s">
        <v>1027</v>
      </c>
      <c r="D321" t="s">
        <v>7</v>
      </c>
      <c r="AG321" t="str">
        <f>T("4428")</f>
        <v>4428</v>
      </c>
      <c r="AH321" t="str">
        <f>T("23")</f>
        <v>23</v>
      </c>
      <c r="AK321" t="str">
        <f>T("1562")</f>
        <v>1562</v>
      </c>
    </row>
    <row r="322" spans="1:37" x14ac:dyDescent="0.3">
      <c r="A322" t="s">
        <v>1028</v>
      </c>
      <c r="B322" t="s">
        <v>1029</v>
      </c>
      <c r="C322" t="s">
        <v>1030</v>
      </c>
      <c r="D322" t="s">
        <v>7</v>
      </c>
      <c r="K322" t="str">
        <f>T("172.515")</f>
        <v>172.515</v>
      </c>
      <c r="AG322" t="str">
        <f>T("2152")</f>
        <v>2152</v>
      </c>
      <c r="AH322" t="str">
        <f>T("3")</f>
        <v>3</v>
      </c>
      <c r="AI322" t="str">
        <f>T("25")</f>
        <v>25</v>
      </c>
      <c r="AK322" t="str">
        <f>T("845")</f>
        <v>845</v>
      </c>
    </row>
    <row r="323" spans="1:37" x14ac:dyDescent="0.3">
      <c r="A323" t="s">
        <v>1031</v>
      </c>
      <c r="B323" t="s">
        <v>1032</v>
      </c>
      <c r="C323" t="s">
        <v>1033</v>
      </c>
      <c r="D323" t="s">
        <v>7</v>
      </c>
      <c r="AG323" t="str">
        <f>T("4623")</f>
        <v>4623</v>
      </c>
      <c r="AH323" t="str">
        <f>T("24")</f>
        <v>24</v>
      </c>
      <c r="AK323" t="str">
        <f>T("2064")</f>
        <v>2064</v>
      </c>
    </row>
    <row r="324" spans="1:37" x14ac:dyDescent="0.3">
      <c r="A324" t="s">
        <v>1034</v>
      </c>
      <c r="B324" t="s">
        <v>1035</v>
      </c>
      <c r="C324" t="s">
        <v>1036</v>
      </c>
      <c r="D324" t="s">
        <v>15</v>
      </c>
      <c r="K324" t="str">
        <f>T("172.515")</f>
        <v>172.515</v>
      </c>
      <c r="AG324" t="str">
        <f>T("2147")</f>
        <v>2147</v>
      </c>
      <c r="AH324" t="str">
        <f>T("3")</f>
        <v>3</v>
      </c>
      <c r="AK324" t="str">
        <f>T("526")</f>
        <v>526</v>
      </c>
    </row>
    <row r="325" spans="1:37" x14ac:dyDescent="0.3">
      <c r="A325" t="s">
        <v>1037</v>
      </c>
      <c r="B325" t="s">
        <v>1038</v>
      </c>
      <c r="C325" t="s">
        <v>1039</v>
      </c>
      <c r="D325" t="s">
        <v>7</v>
      </c>
      <c r="K325" t="str">
        <f>T("172.515")</f>
        <v>172.515</v>
      </c>
      <c r="AG325" t="str">
        <f>T("2148")</f>
        <v>2148</v>
      </c>
      <c r="AH325" t="str">
        <f>T("3")</f>
        <v>3</v>
      </c>
      <c r="AK325" t="str">
        <f>T("840")</f>
        <v>840</v>
      </c>
    </row>
    <row r="326" spans="1:37" x14ac:dyDescent="0.3">
      <c r="A326" t="s">
        <v>1040</v>
      </c>
      <c r="B326" t="s">
        <v>1041</v>
      </c>
      <c r="C326" t="s">
        <v>1042</v>
      </c>
      <c r="D326" t="s">
        <v>15</v>
      </c>
      <c r="AG326" t="str">
        <f>T("3330")</f>
        <v>3330</v>
      </c>
      <c r="AH326" t="str">
        <f>T("6")</f>
        <v>6</v>
      </c>
      <c r="AK326" t="str">
        <f>T("846")</f>
        <v>846</v>
      </c>
    </row>
    <row r="327" spans="1:37" x14ac:dyDescent="0.3">
      <c r="A327" t="s">
        <v>1043</v>
      </c>
      <c r="B327" t="s">
        <v>1044</v>
      </c>
      <c r="C327" t="s">
        <v>1045</v>
      </c>
      <c r="D327" t="s">
        <v>7</v>
      </c>
      <c r="AG327" t="str">
        <f>T("3597")</f>
        <v>3597</v>
      </c>
      <c r="AH327" t="str">
        <f>T("12")</f>
        <v>12</v>
      </c>
      <c r="AK327" t="str">
        <f>T("460")</f>
        <v>460</v>
      </c>
    </row>
    <row r="328" spans="1:37" x14ac:dyDescent="0.3">
      <c r="A328" t="s">
        <v>1046</v>
      </c>
      <c r="B328" t="s">
        <v>1047</v>
      </c>
      <c r="C328" t="s">
        <v>1048</v>
      </c>
      <c r="D328" t="s">
        <v>7</v>
      </c>
      <c r="AG328" t="str">
        <f>T("4626")</f>
        <v>4626</v>
      </c>
      <c r="AH328" t="str">
        <f>T("24")</f>
        <v>24</v>
      </c>
      <c r="AK328" t="str">
        <f>T("2066")</f>
        <v>2066</v>
      </c>
    </row>
    <row r="329" spans="1:37" x14ac:dyDescent="0.3">
      <c r="A329" t="s">
        <v>1049</v>
      </c>
      <c r="B329" t="s">
        <v>1050</v>
      </c>
      <c r="C329" t="s">
        <v>1051</v>
      </c>
      <c r="D329" t="s">
        <v>7</v>
      </c>
      <c r="K329" t="str">
        <f>T("172.515")</f>
        <v>172.515</v>
      </c>
      <c r="AG329" t="str">
        <f>T("2149")</f>
        <v>2149</v>
      </c>
      <c r="AH329" t="str">
        <f>T("3")</f>
        <v>3</v>
      </c>
      <c r="AK329" t="str">
        <f>T("849")</f>
        <v>849</v>
      </c>
    </row>
    <row r="330" spans="1:37" x14ac:dyDescent="0.3">
      <c r="A330" t="s">
        <v>1052</v>
      </c>
      <c r="B330" t="s">
        <v>1053</v>
      </c>
      <c r="C330" t="s">
        <v>1054</v>
      </c>
      <c r="D330" t="s">
        <v>7</v>
      </c>
      <c r="K330" t="str">
        <f>T("172.515")</f>
        <v>172.515</v>
      </c>
      <c r="AG330" t="str">
        <f>T("2150")</f>
        <v>2150</v>
      </c>
      <c r="AH330" t="str">
        <f>T("3")</f>
        <v>3</v>
      </c>
      <c r="AI330" t="str">
        <f>T("25")</f>
        <v>25</v>
      </c>
      <c r="AK330" t="str">
        <f>T("842")</f>
        <v>842</v>
      </c>
    </row>
    <row r="331" spans="1:37" x14ac:dyDescent="0.3">
      <c r="A331" t="s">
        <v>1055</v>
      </c>
      <c r="B331" t="s">
        <v>1056</v>
      </c>
      <c r="C331" t="s">
        <v>1057</v>
      </c>
      <c r="D331" t="s">
        <v>7</v>
      </c>
      <c r="K331" t="str">
        <f>T("172.515")</f>
        <v>172.515</v>
      </c>
      <c r="AG331" t="str">
        <f>T("2151")</f>
        <v>2151</v>
      </c>
      <c r="AH331" t="str">
        <f>T("3")</f>
        <v>3</v>
      </c>
      <c r="AI331" t="str">
        <f>T("25")</f>
        <v>25</v>
      </c>
      <c r="AK331" t="str">
        <f>T("904")</f>
        <v>904</v>
      </c>
    </row>
    <row r="332" spans="1:37" x14ac:dyDescent="0.3">
      <c r="A332" t="s">
        <v>1058</v>
      </c>
      <c r="B332" t="s">
        <v>1059</v>
      </c>
      <c r="C332" t="s">
        <v>1060</v>
      </c>
      <c r="D332" t="s">
        <v>7</v>
      </c>
      <c r="K332" t="str">
        <f>T("182.20")</f>
        <v>182.20</v>
      </c>
      <c r="AG332" t="str">
        <f>T("2153")</f>
        <v>2153</v>
      </c>
      <c r="AH332" t="str">
        <f>T("3")</f>
        <v>3</v>
      </c>
    </row>
    <row r="333" spans="1:37" x14ac:dyDescent="0.3">
      <c r="A333" t="s">
        <v>1061</v>
      </c>
      <c r="B333" t="s">
        <v>1062</v>
      </c>
      <c r="C333" t="s">
        <v>1063</v>
      </c>
      <c r="D333" t="s">
        <v>7</v>
      </c>
      <c r="AG333" t="str">
        <f>T("4223")</f>
        <v>4223</v>
      </c>
      <c r="AH333" t="str">
        <f>T("22")</f>
        <v>22</v>
      </c>
    </row>
    <row r="334" spans="1:37" x14ac:dyDescent="0.3">
      <c r="A334" t="s">
        <v>1064</v>
      </c>
      <c r="B334" t="s">
        <v>1065</v>
      </c>
      <c r="C334" t="s">
        <v>1066</v>
      </c>
      <c r="D334" t="s">
        <v>1067</v>
      </c>
      <c r="K334" t="str">
        <f>T("182.8159")</f>
        <v>182.8159</v>
      </c>
      <c r="AF334" t="s">
        <v>1068</v>
      </c>
    </row>
    <row r="335" spans="1:37" x14ac:dyDescent="0.3">
      <c r="A335" t="s">
        <v>1069</v>
      </c>
      <c r="B335" t="s">
        <v>1070</v>
      </c>
      <c r="C335" t="s">
        <v>1071</v>
      </c>
      <c r="D335" t="s">
        <v>15</v>
      </c>
      <c r="K335" t="str">
        <f>T("178.2010")</f>
        <v>178.2010</v>
      </c>
      <c r="AG335" t="str">
        <f>T("3129")</f>
        <v>3129</v>
      </c>
      <c r="AH335" t="str">
        <f>T("4")</f>
        <v>4</v>
      </c>
      <c r="AK335" t="str">
        <f>T("1332")</f>
        <v>1332</v>
      </c>
    </row>
    <row r="336" spans="1:37" x14ac:dyDescent="0.3">
      <c r="A336" t="s">
        <v>1072</v>
      </c>
      <c r="B336" t="s">
        <v>1073</v>
      </c>
      <c r="C336" t="s">
        <v>1074</v>
      </c>
      <c r="D336" t="s">
        <v>7</v>
      </c>
      <c r="AG336" t="str">
        <f>T("2154")</f>
        <v>2154</v>
      </c>
      <c r="AH336" t="str">
        <f>T("3")</f>
        <v>3</v>
      </c>
    </row>
    <row r="337" spans="1:37" x14ac:dyDescent="0.3">
      <c r="A337" t="s">
        <v>1075</v>
      </c>
      <c r="B337" t="s">
        <v>1076</v>
      </c>
      <c r="C337" t="s">
        <v>1077</v>
      </c>
      <c r="D337" t="s">
        <v>7</v>
      </c>
      <c r="K337" t="str">
        <f>T("172.515")</f>
        <v>172.515</v>
      </c>
    </row>
    <row r="338" spans="1:37" x14ac:dyDescent="0.3">
      <c r="A338" t="s">
        <v>1078</v>
      </c>
      <c r="B338" t="s">
        <v>1079</v>
      </c>
      <c r="C338" t="s">
        <v>1080</v>
      </c>
      <c r="D338" t="s">
        <v>1081</v>
      </c>
      <c r="AG338" t="str">
        <f>T("3331")</f>
        <v>3331</v>
      </c>
      <c r="AH338" t="str">
        <f>T("6")</f>
        <v>6</v>
      </c>
      <c r="AI338" t="str">
        <f>T("25")</f>
        <v>25</v>
      </c>
      <c r="AK338" t="str">
        <f>T("1336")</f>
        <v>1336</v>
      </c>
    </row>
    <row r="339" spans="1:37" x14ac:dyDescent="0.3">
      <c r="A339" t="s">
        <v>1082</v>
      </c>
      <c r="B339" t="s">
        <v>1083</v>
      </c>
      <c r="C339" t="s">
        <v>1084</v>
      </c>
      <c r="D339" t="s">
        <v>7</v>
      </c>
      <c r="AG339" t="str">
        <f>T("3476")</f>
        <v>3476</v>
      </c>
      <c r="AH339" t="str">
        <f>T("9")</f>
        <v>9</v>
      </c>
      <c r="AK339" t="str">
        <f>T("1067")</f>
        <v>1067</v>
      </c>
    </row>
    <row r="340" spans="1:37" x14ac:dyDescent="0.3">
      <c r="A340" t="s">
        <v>1085</v>
      </c>
      <c r="B340" t="s">
        <v>1086</v>
      </c>
      <c r="C340" t="s">
        <v>1087</v>
      </c>
      <c r="D340" t="s">
        <v>7</v>
      </c>
      <c r="AG340" t="str">
        <f>T("4297")</f>
        <v>4297</v>
      </c>
      <c r="AH340" t="str">
        <f>T("23")</f>
        <v>23</v>
      </c>
      <c r="AK340" t="str">
        <f>T("1709")</f>
        <v>1709</v>
      </c>
    </row>
    <row r="341" spans="1:37" x14ac:dyDescent="0.3">
      <c r="A341" t="s">
        <v>1088</v>
      </c>
      <c r="B341" t="s">
        <v>1089</v>
      </c>
      <c r="C341" t="s">
        <v>1090</v>
      </c>
      <c r="D341" t="s">
        <v>7</v>
      </c>
      <c r="AG341" t="str">
        <f>T("3878")</f>
        <v>3878</v>
      </c>
      <c r="AH341" t="str">
        <f>T("18")</f>
        <v>18</v>
      </c>
      <c r="AK341" t="str">
        <f>T("533")</f>
        <v>533</v>
      </c>
    </row>
    <row r="342" spans="1:37" x14ac:dyDescent="0.3">
      <c r="A342" t="s">
        <v>1091</v>
      </c>
      <c r="B342" t="s">
        <v>1092</v>
      </c>
      <c r="C342" t="s">
        <v>1093</v>
      </c>
      <c r="D342" t="s">
        <v>15</v>
      </c>
      <c r="AG342" t="str">
        <f>T("3259")</f>
        <v>3259</v>
      </c>
      <c r="AH342" t="str">
        <f>T("5")</f>
        <v>5</v>
      </c>
      <c r="AK342" t="str">
        <f>T("1066")</f>
        <v>1066</v>
      </c>
    </row>
    <row r="343" spans="1:37" x14ac:dyDescent="0.3">
      <c r="A343" t="s">
        <v>1094</v>
      </c>
      <c r="B343" t="s">
        <v>1095</v>
      </c>
      <c r="C343" t="s">
        <v>1096</v>
      </c>
      <c r="D343" t="s">
        <v>7</v>
      </c>
      <c r="AG343" t="str">
        <f>T("4576")</f>
        <v>4576</v>
      </c>
      <c r="AH343" t="str">
        <f>T("24")</f>
        <v>24</v>
      </c>
      <c r="AK343" t="str">
        <f>T("1931")</f>
        <v>1931</v>
      </c>
    </row>
    <row r="344" spans="1:37" x14ac:dyDescent="0.3">
      <c r="A344" t="s">
        <v>1097</v>
      </c>
      <c r="B344" t="s">
        <v>1098</v>
      </c>
      <c r="C344" t="s">
        <v>1099</v>
      </c>
      <c r="D344" t="s">
        <v>7</v>
      </c>
      <c r="AG344" t="str">
        <f>T("3260")</f>
        <v>3260</v>
      </c>
      <c r="AH344" t="str">
        <f>T("5")</f>
        <v>5</v>
      </c>
      <c r="AK344" t="str">
        <f>T("1068")</f>
        <v>1068</v>
      </c>
    </row>
    <row r="345" spans="1:37" x14ac:dyDescent="0.3">
      <c r="A345" t="s">
        <v>1100</v>
      </c>
      <c r="B345" t="s">
        <v>1101</v>
      </c>
      <c r="C345" t="s">
        <v>1102</v>
      </c>
      <c r="D345" t="s">
        <v>15</v>
      </c>
      <c r="K345" t="str">
        <f>T("172.510")</f>
        <v>172.510</v>
      </c>
      <c r="AG345" t="str">
        <f>T("2155")</f>
        <v>2155</v>
      </c>
      <c r="AH345" t="str">
        <f>T("3")</f>
        <v>3</v>
      </c>
    </row>
    <row r="346" spans="1:37" x14ac:dyDescent="0.3">
      <c r="A346" t="s">
        <v>1103</v>
      </c>
      <c r="B346" t="s">
        <v>1104</v>
      </c>
      <c r="C346" t="s">
        <v>1105</v>
      </c>
      <c r="D346" t="s">
        <v>7</v>
      </c>
    </row>
    <row r="347" spans="1:37" x14ac:dyDescent="0.3">
      <c r="A347" t="s">
        <v>1106</v>
      </c>
      <c r="B347" t="s">
        <v>1107</v>
      </c>
      <c r="C347" t="s">
        <v>1108</v>
      </c>
      <c r="D347" t="s">
        <v>7</v>
      </c>
      <c r="K347" t="str">
        <f>T("182.20")</f>
        <v>182.20</v>
      </c>
      <c r="AG347" t="str">
        <f>T("2156")</f>
        <v>2156</v>
      </c>
      <c r="AH347" t="str">
        <f>T("3")</f>
        <v>3</v>
      </c>
    </row>
    <row r="348" spans="1:37" x14ac:dyDescent="0.3">
      <c r="A348" t="s">
        <v>1109</v>
      </c>
      <c r="B348" t="s">
        <v>1110</v>
      </c>
      <c r="C348" t="s">
        <v>1111</v>
      </c>
      <c r="K348" t="str">
        <f>T("172.510")</f>
        <v>172.510</v>
      </c>
    </row>
    <row r="349" spans="1:37" x14ac:dyDescent="0.3">
      <c r="A349" t="s">
        <v>1112</v>
      </c>
      <c r="B349" t="s">
        <v>1113</v>
      </c>
      <c r="C349" t="s">
        <v>1114</v>
      </c>
    </row>
    <row r="350" spans="1:37" x14ac:dyDescent="0.3">
      <c r="A350" t="s">
        <v>1115</v>
      </c>
      <c r="B350" t="s">
        <v>1116</v>
      </c>
      <c r="C350" t="s">
        <v>1117</v>
      </c>
      <c r="D350" t="s">
        <v>569</v>
      </c>
      <c r="K350" t="str">
        <f>T("175.105")</f>
        <v>175.105</v>
      </c>
      <c r="L350" t="str">
        <f>T("176.180")</f>
        <v>176.180</v>
      </c>
      <c r="M350" t="str">
        <f>T("178.2010")</f>
        <v>178.2010</v>
      </c>
      <c r="N350" t="str">
        <f>T("181.30")</f>
        <v>181.30</v>
      </c>
    </row>
    <row r="351" spans="1:37" x14ac:dyDescent="0.3">
      <c r="A351" t="s">
        <v>1118</v>
      </c>
      <c r="B351" t="s">
        <v>1119</v>
      </c>
      <c r="C351" t="s">
        <v>1120</v>
      </c>
      <c r="D351" t="s">
        <v>15</v>
      </c>
      <c r="K351" t="str">
        <f>T("172.515")</f>
        <v>172.515</v>
      </c>
      <c r="AG351" t="str">
        <f>T("2157")</f>
        <v>2157</v>
      </c>
      <c r="AH351" t="str">
        <f>T("3")</f>
        <v>3</v>
      </c>
      <c r="AK351" t="str">
        <f>T("1385")</f>
        <v>1385</v>
      </c>
    </row>
    <row r="352" spans="1:37" x14ac:dyDescent="0.3">
      <c r="A352" t="s">
        <v>1121</v>
      </c>
      <c r="B352" t="s">
        <v>1122</v>
      </c>
      <c r="C352" t="s">
        <v>1123</v>
      </c>
      <c r="D352" t="s">
        <v>7</v>
      </c>
      <c r="K352" t="str">
        <f>T("172.515")</f>
        <v>172.515</v>
      </c>
      <c r="AG352" t="str">
        <f>T("2159")</f>
        <v>2159</v>
      </c>
      <c r="AH352" t="str">
        <f>T("3")</f>
        <v>3</v>
      </c>
      <c r="AK352" t="str">
        <f>T("1387")</f>
        <v>1387</v>
      </c>
    </row>
    <row r="353" spans="1:37" x14ac:dyDescent="0.3">
      <c r="A353" t="s">
        <v>1124</v>
      </c>
      <c r="B353" t="s">
        <v>1125</v>
      </c>
      <c r="C353" t="s">
        <v>1126</v>
      </c>
      <c r="D353" t="s">
        <v>7</v>
      </c>
      <c r="AG353" t="str">
        <f>T("4080")</f>
        <v>4080</v>
      </c>
      <c r="AH353" t="str">
        <f>T("22")</f>
        <v>22</v>
      </c>
      <c r="AK353" t="str">
        <f>T("1864")</f>
        <v>1864</v>
      </c>
    </row>
    <row r="354" spans="1:37" x14ac:dyDescent="0.3">
      <c r="A354" t="s">
        <v>1127</v>
      </c>
      <c r="B354" t="s">
        <v>1128</v>
      </c>
      <c r="C354" t="s">
        <v>1129</v>
      </c>
      <c r="D354" t="s">
        <v>7</v>
      </c>
      <c r="AG354" t="str">
        <f>T("3907")</f>
        <v>3907</v>
      </c>
      <c r="AH354" t="str">
        <f>T("19")</f>
        <v>19</v>
      </c>
      <c r="AK354" t="str">
        <f>T("1412")</f>
        <v>1412</v>
      </c>
    </row>
    <row r="355" spans="1:37" x14ac:dyDescent="0.3">
      <c r="A355" t="s">
        <v>1130</v>
      </c>
      <c r="B355" t="s">
        <v>1131</v>
      </c>
      <c r="C355" t="s">
        <v>1132</v>
      </c>
      <c r="D355" t="s">
        <v>7</v>
      </c>
      <c r="K355" t="str">
        <f>T("172.515")</f>
        <v>172.515</v>
      </c>
      <c r="AG355" t="str">
        <f>T("2161")</f>
        <v>2161</v>
      </c>
      <c r="AH355" t="str">
        <f>T("3")</f>
        <v>3</v>
      </c>
      <c r="AK355" t="str">
        <f>T("1389")</f>
        <v>1389</v>
      </c>
    </row>
    <row r="356" spans="1:37" x14ac:dyDescent="0.3">
      <c r="A356" t="s">
        <v>1133</v>
      </c>
      <c r="B356" t="s">
        <v>1134</v>
      </c>
      <c r="C356" t="s">
        <v>1135</v>
      </c>
      <c r="D356" t="s">
        <v>7</v>
      </c>
      <c r="K356" t="str">
        <f>T("172.515")</f>
        <v>172.515</v>
      </c>
      <c r="AG356" t="str">
        <f>T("2165")</f>
        <v>2165</v>
      </c>
      <c r="AH356" t="str">
        <f>T("3")</f>
        <v>3</v>
      </c>
      <c r="AK356" t="str">
        <f>T("1393")</f>
        <v>1393</v>
      </c>
    </row>
    <row r="357" spans="1:37" x14ac:dyDescent="0.3">
      <c r="A357" t="s">
        <v>1136</v>
      </c>
      <c r="B357" t="s">
        <v>1137</v>
      </c>
      <c r="C357" t="s">
        <v>1138</v>
      </c>
      <c r="D357" t="s">
        <v>7</v>
      </c>
      <c r="K357" t="str">
        <f>T("172.515")</f>
        <v>172.515</v>
      </c>
      <c r="AG357" t="str">
        <f>T("2164")</f>
        <v>2164</v>
      </c>
      <c r="AH357" t="str">
        <f>T("3")</f>
        <v>3</v>
      </c>
      <c r="AK357" t="str">
        <f>T("1392")</f>
        <v>1392</v>
      </c>
    </row>
    <row r="358" spans="1:37" x14ac:dyDescent="0.3">
      <c r="A358" t="s">
        <v>1139</v>
      </c>
      <c r="B358" t="s">
        <v>1140</v>
      </c>
      <c r="C358" t="s">
        <v>1141</v>
      </c>
      <c r="D358" t="s">
        <v>15</v>
      </c>
      <c r="K358" t="str">
        <f>T("172.510")</f>
        <v>172.510</v>
      </c>
      <c r="AG358" t="str">
        <f>T("2167")</f>
        <v>2167</v>
      </c>
      <c r="AH358" t="str">
        <f>T("3")</f>
        <v>3</v>
      </c>
    </row>
    <row r="359" spans="1:37" x14ac:dyDescent="0.3">
      <c r="A359" t="s">
        <v>1142</v>
      </c>
      <c r="B359" t="s">
        <v>1143</v>
      </c>
      <c r="C359" t="s">
        <v>1144</v>
      </c>
    </row>
    <row r="360" spans="1:37" x14ac:dyDescent="0.3">
      <c r="A360" t="s">
        <v>1145</v>
      </c>
      <c r="B360" t="s">
        <v>1146</v>
      </c>
      <c r="C360" t="s">
        <v>1147</v>
      </c>
      <c r="D360" t="s">
        <v>7</v>
      </c>
      <c r="K360" t="str">
        <f>T("172.515")</f>
        <v>172.515</v>
      </c>
    </row>
    <row r="361" spans="1:37" x14ac:dyDescent="0.3">
      <c r="A361" t="s">
        <v>1148</v>
      </c>
      <c r="B361" t="s">
        <v>1149</v>
      </c>
      <c r="C361" t="s">
        <v>1150</v>
      </c>
      <c r="D361" t="s">
        <v>1151</v>
      </c>
      <c r="K361" t="str">
        <f>T("184.1024")</f>
        <v>184.1024</v>
      </c>
    </row>
    <row r="362" spans="1:37" x14ac:dyDescent="0.3">
      <c r="A362" t="s">
        <v>1152</v>
      </c>
      <c r="B362" t="s">
        <v>1153</v>
      </c>
    </row>
    <row r="363" spans="1:37" x14ac:dyDescent="0.3">
      <c r="A363" t="s">
        <v>1154</v>
      </c>
      <c r="B363" t="s">
        <v>1155</v>
      </c>
      <c r="C363" t="s">
        <v>1156</v>
      </c>
      <c r="D363" t="s">
        <v>7</v>
      </c>
      <c r="K363" t="str">
        <f t="shared" ref="K363:K368" si="7">T("172.510")</f>
        <v>172.510</v>
      </c>
    </row>
    <row r="364" spans="1:37" x14ac:dyDescent="0.3">
      <c r="A364" t="s">
        <v>1157</v>
      </c>
      <c r="B364" t="s">
        <v>1158</v>
      </c>
      <c r="C364" t="s">
        <v>1159</v>
      </c>
      <c r="D364" t="s">
        <v>7</v>
      </c>
      <c r="K364" t="str">
        <f t="shared" si="7"/>
        <v>172.510</v>
      </c>
    </row>
    <row r="365" spans="1:37" x14ac:dyDescent="0.3">
      <c r="A365" t="s">
        <v>1160</v>
      </c>
      <c r="B365" t="s">
        <v>1161</v>
      </c>
      <c r="C365" t="s">
        <v>1162</v>
      </c>
      <c r="D365" t="s">
        <v>15</v>
      </c>
      <c r="K365" t="str">
        <f t="shared" si="7"/>
        <v>172.510</v>
      </c>
    </row>
    <row r="366" spans="1:37" x14ac:dyDescent="0.3">
      <c r="A366" t="s">
        <v>1163</v>
      </c>
      <c r="B366" t="s">
        <v>1164</v>
      </c>
      <c r="C366" t="s">
        <v>1165</v>
      </c>
      <c r="D366" t="s">
        <v>15</v>
      </c>
      <c r="K366" t="str">
        <f t="shared" si="7"/>
        <v>172.510</v>
      </c>
      <c r="AG366" t="str">
        <f>T("2169")</f>
        <v>2169</v>
      </c>
      <c r="AH366" t="str">
        <f>T("3")</f>
        <v>3</v>
      </c>
    </row>
    <row r="367" spans="1:37" x14ac:dyDescent="0.3">
      <c r="A367" t="s">
        <v>1166</v>
      </c>
      <c r="B367" t="s">
        <v>1167</v>
      </c>
      <c r="C367" t="s">
        <v>1168</v>
      </c>
      <c r="D367" t="s">
        <v>15</v>
      </c>
      <c r="K367" t="str">
        <f t="shared" si="7"/>
        <v>172.510</v>
      </c>
    </row>
    <row r="368" spans="1:37" x14ac:dyDescent="0.3">
      <c r="A368" t="s">
        <v>1169</v>
      </c>
      <c r="B368" t="s">
        <v>1170</v>
      </c>
      <c r="C368" t="s">
        <v>1171</v>
      </c>
      <c r="D368" t="s">
        <v>7</v>
      </c>
      <c r="K368" t="str">
        <f t="shared" si="7"/>
        <v>172.510</v>
      </c>
    </row>
    <row r="369" spans="1:37" x14ac:dyDescent="0.3">
      <c r="A369" t="s">
        <v>1172</v>
      </c>
      <c r="B369" t="s">
        <v>1173</v>
      </c>
      <c r="C369" t="s">
        <v>1174</v>
      </c>
      <c r="D369" t="s">
        <v>1175</v>
      </c>
      <c r="K369" t="str">
        <f>T("172.615")</f>
        <v>172.615</v>
      </c>
      <c r="L369" t="str">
        <f>T("175.105")</f>
        <v>175.105</v>
      </c>
      <c r="M369" t="str">
        <f>T("175.125")</f>
        <v>175.125</v>
      </c>
      <c r="N369" t="str">
        <f>T("175.300")</f>
        <v>175.300</v>
      </c>
      <c r="O369" t="str">
        <f>T("176.170")</f>
        <v>176.170</v>
      </c>
      <c r="P369" t="str">
        <f>T("176.180")</f>
        <v>176.180</v>
      </c>
      <c r="Q369" t="str">
        <f>T("177.1010")</f>
        <v>177.1010</v>
      </c>
      <c r="R369" t="str">
        <f>T("177.1200")</f>
        <v>177.1200</v>
      </c>
      <c r="S369" t="str">
        <f>T("177.2600")</f>
        <v>177.2600</v>
      </c>
      <c r="T369" t="str">
        <f>T("177.2800")</f>
        <v>177.2800</v>
      </c>
      <c r="U369" t="str">
        <f>T("178.1005")</f>
        <v>178.1005</v>
      </c>
      <c r="V369" t="str">
        <f>T("178.3790")</f>
        <v>178.3790</v>
      </c>
      <c r="W369" t="str">
        <f>T("181.30")</f>
        <v>181.30</v>
      </c>
    </row>
    <row r="370" spans="1:37" x14ac:dyDescent="0.3">
      <c r="A370" t="s">
        <v>1176</v>
      </c>
      <c r="B370" t="s">
        <v>1177</v>
      </c>
      <c r="C370" t="s">
        <v>1178</v>
      </c>
      <c r="D370" t="s">
        <v>7</v>
      </c>
      <c r="AG370" t="str">
        <f>T("3414")</f>
        <v>3414</v>
      </c>
      <c r="AH370" t="str">
        <f>T("7")</f>
        <v>7</v>
      </c>
      <c r="AK370" t="str">
        <f>T("468")</f>
        <v>468</v>
      </c>
    </row>
    <row r="371" spans="1:37" x14ac:dyDescent="0.3">
      <c r="A371" t="s">
        <v>1179</v>
      </c>
      <c r="B371" t="s">
        <v>1180</v>
      </c>
      <c r="C371" t="s">
        <v>1181</v>
      </c>
      <c r="D371" t="s">
        <v>7</v>
      </c>
      <c r="AG371" t="str">
        <f>T("4589")</f>
        <v>4589</v>
      </c>
      <c r="AH371" t="str">
        <f>T("24")</f>
        <v>24</v>
      </c>
      <c r="AK371" t="str">
        <f>T("1939")</f>
        <v>1939</v>
      </c>
    </row>
    <row r="372" spans="1:37" x14ac:dyDescent="0.3">
      <c r="A372" t="s">
        <v>1182</v>
      </c>
      <c r="B372" t="s">
        <v>1183</v>
      </c>
      <c r="C372" t="s">
        <v>1184</v>
      </c>
      <c r="D372" t="s">
        <v>1185</v>
      </c>
      <c r="K372" t="str">
        <f>T("173.350")</f>
        <v>173.350</v>
      </c>
      <c r="L372" t="str">
        <f>T("184.1165")</f>
        <v>184.1165</v>
      </c>
    </row>
    <row r="373" spans="1:37" x14ac:dyDescent="0.3">
      <c r="A373" t="s">
        <v>1186</v>
      </c>
      <c r="B373" t="s">
        <v>1187</v>
      </c>
      <c r="C373" t="s">
        <v>1188</v>
      </c>
      <c r="D373" t="s">
        <v>15</v>
      </c>
      <c r="AG373" t="str">
        <f>T("3528")</f>
        <v>3528</v>
      </c>
      <c r="AH373" t="str">
        <f>T("11")</f>
        <v>11</v>
      </c>
      <c r="AK373" t="str">
        <f>T("537")</f>
        <v>537</v>
      </c>
    </row>
    <row r="374" spans="1:37" x14ac:dyDescent="0.3">
      <c r="A374" t="s">
        <v>1189</v>
      </c>
      <c r="B374" t="s">
        <v>1190</v>
      </c>
      <c r="C374" t="s">
        <v>1191</v>
      </c>
      <c r="D374" t="s">
        <v>15</v>
      </c>
      <c r="AG374" t="str">
        <f>T("3529")</f>
        <v>3529</v>
      </c>
      <c r="AH374" t="str">
        <f>T("11")</f>
        <v>11</v>
      </c>
      <c r="AK374" t="str">
        <f>T("538")</f>
        <v>538</v>
      </c>
    </row>
    <row r="375" spans="1:37" x14ac:dyDescent="0.3">
      <c r="A375" t="s">
        <v>1192</v>
      </c>
      <c r="B375" t="s">
        <v>1193</v>
      </c>
      <c r="C375" t="s">
        <v>1194</v>
      </c>
      <c r="D375" t="s">
        <v>15</v>
      </c>
      <c r="AG375" t="str">
        <f>T("3477")</f>
        <v>3477</v>
      </c>
      <c r="AH375" t="str">
        <f>T("10")</f>
        <v>10</v>
      </c>
      <c r="AK375" t="str">
        <f>T("539")</f>
        <v>539</v>
      </c>
    </row>
    <row r="376" spans="1:37" x14ac:dyDescent="0.3">
      <c r="A376" t="s">
        <v>1195</v>
      </c>
      <c r="B376" t="s">
        <v>1196</v>
      </c>
      <c r="C376" t="s">
        <v>1197</v>
      </c>
      <c r="D376" t="s">
        <v>15</v>
      </c>
      <c r="AG376" t="str">
        <f>T("3478")</f>
        <v>3478</v>
      </c>
      <c r="AH376" t="str">
        <f>T("10")</f>
        <v>10</v>
      </c>
      <c r="AK376" t="str">
        <f>T("511")</f>
        <v>511</v>
      </c>
    </row>
    <row r="377" spans="1:37" x14ac:dyDescent="0.3">
      <c r="A377" t="s">
        <v>1198</v>
      </c>
      <c r="B377" t="s">
        <v>1199</v>
      </c>
      <c r="C377" t="s">
        <v>1200</v>
      </c>
      <c r="D377" t="s">
        <v>15</v>
      </c>
      <c r="K377" t="str">
        <f>T("172.515")</f>
        <v>172.515</v>
      </c>
      <c r="L377" t="str">
        <f>T("176.180")</f>
        <v>176.180</v>
      </c>
    </row>
    <row r="378" spans="1:37" x14ac:dyDescent="0.3">
      <c r="A378" t="s">
        <v>1201</v>
      </c>
      <c r="B378" t="s">
        <v>1202</v>
      </c>
      <c r="C378" t="s">
        <v>1203</v>
      </c>
      <c r="D378" t="s">
        <v>7</v>
      </c>
      <c r="K378" t="str">
        <f>T("172.515")</f>
        <v>172.515</v>
      </c>
      <c r="L378" t="str">
        <f>T("172.859")</f>
        <v>172.859</v>
      </c>
      <c r="M378" t="str">
        <f>T("175.105")</f>
        <v>175.105</v>
      </c>
      <c r="N378" t="str">
        <f>T("175.320")</f>
        <v>175.320</v>
      </c>
      <c r="O378" t="str">
        <f>T("177.1200")</f>
        <v>177.1200</v>
      </c>
      <c r="AG378" t="str">
        <f>T("2170")</f>
        <v>2170</v>
      </c>
      <c r="AH378" t="str">
        <f>T("3")</f>
        <v>3</v>
      </c>
      <c r="AK378" t="str">
        <f>T("278")</f>
        <v>278</v>
      </c>
    </row>
    <row r="379" spans="1:37" x14ac:dyDescent="0.3">
      <c r="A379" t="s">
        <v>1204</v>
      </c>
      <c r="B379" t="s">
        <v>1205</v>
      </c>
      <c r="C379" t="s">
        <v>1206</v>
      </c>
      <c r="D379" t="s">
        <v>7</v>
      </c>
      <c r="AG379" t="str">
        <f>T("3332")</f>
        <v>3332</v>
      </c>
      <c r="AH379" t="str">
        <f>T("6")</f>
        <v>6</v>
      </c>
      <c r="AK379" t="str">
        <f>T("407")</f>
        <v>407</v>
      </c>
    </row>
    <row r="380" spans="1:37" x14ac:dyDescent="0.3">
      <c r="A380" t="s">
        <v>1207</v>
      </c>
      <c r="B380" t="s">
        <v>1208</v>
      </c>
      <c r="C380" t="s">
        <v>1209</v>
      </c>
      <c r="D380" t="s">
        <v>7</v>
      </c>
      <c r="K380" t="str">
        <f>T("175.105")</f>
        <v>175.105</v>
      </c>
      <c r="L380" t="str">
        <f>T("175.350")</f>
        <v>175.350</v>
      </c>
      <c r="M380" t="str">
        <f>T("176.170")</f>
        <v>176.170</v>
      </c>
      <c r="N380" t="str">
        <f>T("176.180")</f>
        <v>176.180</v>
      </c>
      <c r="AG380" t="str">
        <f>T("3908")</f>
        <v>3908</v>
      </c>
      <c r="AH380" t="str">
        <f>T("19")</f>
        <v>19</v>
      </c>
      <c r="AK380" t="str">
        <f>T("1371")</f>
        <v>1371</v>
      </c>
    </row>
    <row r="381" spans="1:37" x14ac:dyDescent="0.3">
      <c r="A381" t="s">
        <v>1210</v>
      </c>
      <c r="B381" t="s">
        <v>1211</v>
      </c>
      <c r="C381" t="s">
        <v>1212</v>
      </c>
      <c r="D381" t="s">
        <v>7</v>
      </c>
      <c r="AG381" t="str">
        <f>T("4663")</f>
        <v>4663</v>
      </c>
      <c r="AH381" t="str">
        <f>T("24")</f>
        <v>24</v>
      </c>
      <c r="AK381" t="str">
        <f>T("2057")</f>
        <v>2057</v>
      </c>
    </row>
    <row r="382" spans="1:37" x14ac:dyDescent="0.3">
      <c r="A382" t="s">
        <v>1213</v>
      </c>
      <c r="B382" t="s">
        <v>1214</v>
      </c>
      <c r="C382" t="s">
        <v>1215</v>
      </c>
      <c r="D382" t="s">
        <v>7</v>
      </c>
      <c r="AG382" t="str">
        <f>T("4418")</f>
        <v>4418</v>
      </c>
      <c r="AH382" t="str">
        <f>T("23")</f>
        <v>23</v>
      </c>
      <c r="AK382" t="str">
        <f>T("1889")</f>
        <v>1889</v>
      </c>
    </row>
    <row r="383" spans="1:37" x14ac:dyDescent="0.3">
      <c r="A383" t="s">
        <v>1216</v>
      </c>
      <c r="B383" t="s">
        <v>1217</v>
      </c>
      <c r="C383" t="s">
        <v>1218</v>
      </c>
      <c r="D383" t="s">
        <v>7</v>
      </c>
      <c r="AG383" t="str">
        <f>T("3820")</f>
        <v>3820</v>
      </c>
      <c r="AH383" t="str">
        <f>T("18")</f>
        <v>18</v>
      </c>
      <c r="AK383" t="str">
        <f>T("457")</f>
        <v>457</v>
      </c>
    </row>
    <row r="384" spans="1:37" x14ac:dyDescent="0.3">
      <c r="A384" t="s">
        <v>1219</v>
      </c>
      <c r="B384" t="s">
        <v>1220</v>
      </c>
      <c r="C384" t="s">
        <v>1221</v>
      </c>
      <c r="D384" t="s">
        <v>15</v>
      </c>
      <c r="K384" t="str">
        <f>T("172.515")</f>
        <v>172.515</v>
      </c>
      <c r="AG384" t="str">
        <f>T("2171")</f>
        <v>2171</v>
      </c>
      <c r="AH384" t="str">
        <f>T("3")</f>
        <v>3</v>
      </c>
    </row>
    <row r="385" spans="1:37" x14ac:dyDescent="0.3">
      <c r="A385" t="s">
        <v>1222</v>
      </c>
      <c r="B385" t="s">
        <v>1223</v>
      </c>
      <c r="C385" t="s">
        <v>1224</v>
      </c>
      <c r="D385" t="s">
        <v>15</v>
      </c>
      <c r="K385" t="str">
        <f>T("172.515")</f>
        <v>172.515</v>
      </c>
      <c r="AG385" t="str">
        <f>T("2172")</f>
        <v>2172</v>
      </c>
      <c r="AH385" t="str">
        <f>T("3")</f>
        <v>3</v>
      </c>
    </row>
    <row r="386" spans="1:37" x14ac:dyDescent="0.3">
      <c r="A386" t="s">
        <v>1225</v>
      </c>
      <c r="B386" t="s">
        <v>1226</v>
      </c>
      <c r="C386" t="s">
        <v>1227</v>
      </c>
      <c r="D386" t="s">
        <v>1228</v>
      </c>
    </row>
    <row r="387" spans="1:37" x14ac:dyDescent="0.3">
      <c r="A387" t="s">
        <v>1229</v>
      </c>
      <c r="B387" t="s">
        <v>1230</v>
      </c>
      <c r="C387" t="s">
        <v>1231</v>
      </c>
      <c r="D387" t="s">
        <v>1232</v>
      </c>
      <c r="K387" t="str">
        <f>T("184.1848")</f>
        <v>184.1848</v>
      </c>
      <c r="AG387" t="str">
        <f>T("2173")</f>
        <v>2173</v>
      </c>
      <c r="AH387" t="str">
        <f>T("3")</f>
        <v>3</v>
      </c>
    </row>
    <row r="388" spans="1:37" x14ac:dyDescent="0.3">
      <c r="A388" t="s">
        <v>1233</v>
      </c>
      <c r="B388" t="s">
        <v>1234</v>
      </c>
      <c r="C388" t="s">
        <v>1235</v>
      </c>
      <c r="D388" t="s">
        <v>7</v>
      </c>
      <c r="K388" t="str">
        <f>T("172.515")</f>
        <v>172.515</v>
      </c>
      <c r="L388" t="str">
        <f>T("175.105")</f>
        <v>175.105</v>
      </c>
      <c r="M388" t="str">
        <f>T("175.320")</f>
        <v>175.320</v>
      </c>
      <c r="N388" t="str">
        <f>T("177.1200")</f>
        <v>177.1200</v>
      </c>
      <c r="AG388" t="str">
        <f>T("2174")</f>
        <v>2174</v>
      </c>
      <c r="AH388" t="str">
        <f>T("3")</f>
        <v>3</v>
      </c>
      <c r="AK388" t="str">
        <f>T("127")</f>
        <v>127</v>
      </c>
    </row>
    <row r="389" spans="1:37" x14ac:dyDescent="0.3">
      <c r="A389" t="s">
        <v>1236</v>
      </c>
      <c r="B389" t="s">
        <v>1237</v>
      </c>
      <c r="C389" t="s">
        <v>1238</v>
      </c>
      <c r="D389" t="s">
        <v>7</v>
      </c>
      <c r="K389" t="str">
        <f>T("172.515")</f>
        <v>172.515</v>
      </c>
      <c r="AG389" t="str">
        <f>T("2176")</f>
        <v>2176</v>
      </c>
      <c r="AH389" t="str">
        <f>T("3")</f>
        <v>3</v>
      </c>
      <c r="AK389" t="str">
        <f>T("596")</f>
        <v>596</v>
      </c>
    </row>
    <row r="390" spans="1:37" x14ac:dyDescent="0.3">
      <c r="A390" t="s">
        <v>1239</v>
      </c>
      <c r="B390" t="s">
        <v>1240</v>
      </c>
      <c r="C390" t="s">
        <v>1241</v>
      </c>
      <c r="D390" t="s">
        <v>88</v>
      </c>
      <c r="E390" t="str">
        <f>T("73.1")</f>
        <v>73.1</v>
      </c>
      <c r="K390" t="str">
        <f>T("172.515")</f>
        <v>172.515</v>
      </c>
      <c r="L390" t="str">
        <f>T("172.560")</f>
        <v>172.560</v>
      </c>
      <c r="M390" t="str">
        <f>T("175.105")</f>
        <v>175.105</v>
      </c>
      <c r="N390" t="str">
        <f>T("175.320")</f>
        <v>175.320</v>
      </c>
      <c r="O390" t="str">
        <f>T("176.180")</f>
        <v>176.180</v>
      </c>
      <c r="P390" t="str">
        <f>T("176.200")</f>
        <v>176.200</v>
      </c>
      <c r="Q390" t="str">
        <f>T("176.210")</f>
        <v>176.210</v>
      </c>
      <c r="R390" t="str">
        <f>T("177.1200")</f>
        <v>177.1200</v>
      </c>
      <c r="S390" t="str">
        <f>T("177.1440")</f>
        <v>177.1440</v>
      </c>
      <c r="T390" t="str">
        <f>T("177.1650")</f>
        <v>177.1650</v>
      </c>
      <c r="U390" t="str">
        <f>T("177.2800")</f>
        <v>177.2800</v>
      </c>
      <c r="AG390" t="str">
        <f>T("2178")</f>
        <v>2178</v>
      </c>
      <c r="AH390" t="str">
        <f>T("3")</f>
        <v>3</v>
      </c>
      <c r="AI390" t="str">
        <f>T("25")</f>
        <v>25</v>
      </c>
      <c r="AK390" t="str">
        <f>T("85")</f>
        <v>85</v>
      </c>
    </row>
    <row r="391" spans="1:37" x14ac:dyDescent="0.3">
      <c r="A391" t="s">
        <v>1242</v>
      </c>
      <c r="B391" t="s">
        <v>1243</v>
      </c>
      <c r="C391" t="s">
        <v>1244</v>
      </c>
      <c r="D391" t="s">
        <v>7</v>
      </c>
      <c r="AG391" t="str">
        <f>T("3130")</f>
        <v>3130</v>
      </c>
      <c r="AH391" t="str">
        <f>T("4")</f>
        <v>4</v>
      </c>
      <c r="AK391" t="str">
        <f>T("1582")</f>
        <v>1582</v>
      </c>
    </row>
    <row r="392" spans="1:37" x14ac:dyDescent="0.3">
      <c r="A392" t="s">
        <v>1245</v>
      </c>
      <c r="B392" t="s">
        <v>1246</v>
      </c>
      <c r="C392" t="s">
        <v>1247</v>
      </c>
      <c r="D392" t="s">
        <v>7</v>
      </c>
      <c r="AG392" t="str">
        <f>T("4240")</f>
        <v>4240</v>
      </c>
      <c r="AH392" t="str">
        <f>T("22")</f>
        <v>22</v>
      </c>
      <c r="AK392" t="str">
        <f>T("1584")</f>
        <v>1584</v>
      </c>
    </row>
    <row r="393" spans="1:37" x14ac:dyDescent="0.3">
      <c r="A393" t="s">
        <v>1248</v>
      </c>
      <c r="B393" t="s">
        <v>1249</v>
      </c>
      <c r="C393" t="s">
        <v>1250</v>
      </c>
      <c r="D393" t="s">
        <v>15</v>
      </c>
      <c r="K393" t="str">
        <f>T("172.515")</f>
        <v>172.515</v>
      </c>
      <c r="AG393" t="str">
        <f>T("2181")</f>
        <v>2181</v>
      </c>
      <c r="AH393" t="str">
        <f>T("3")</f>
        <v>3</v>
      </c>
      <c r="AK393" t="str">
        <f>T("1536")</f>
        <v>1536</v>
      </c>
    </row>
    <row r="394" spans="1:37" x14ac:dyDescent="0.3">
      <c r="A394" t="s">
        <v>1251</v>
      </c>
      <c r="B394" t="s">
        <v>1252</v>
      </c>
      <c r="C394" t="s">
        <v>1253</v>
      </c>
      <c r="D394" t="s">
        <v>1254</v>
      </c>
      <c r="K394" t="str">
        <f>T("172.110")</f>
        <v>172.110</v>
      </c>
      <c r="L394" t="str">
        <f>T("172.115")</f>
        <v>172.115</v>
      </c>
      <c r="M394" t="str">
        <f>T("172.185")</f>
        <v>172.185</v>
      </c>
      <c r="N394" t="str">
        <f>T("172.515")</f>
        <v>172.515</v>
      </c>
      <c r="O394" t="str">
        <f>T("172.615")</f>
        <v>172.615</v>
      </c>
      <c r="P394" t="str">
        <f>T("173.340")</f>
        <v>173.340</v>
      </c>
      <c r="Q394" t="str">
        <f>T("175.105")</f>
        <v>175.105</v>
      </c>
      <c r="R394" t="str">
        <f>T("175.125")</f>
        <v>175.125</v>
      </c>
      <c r="S394" t="str">
        <f>T("175.300")</f>
        <v>175.300</v>
      </c>
      <c r="T394" t="str">
        <f>T("175.380")</f>
        <v>175.380</v>
      </c>
      <c r="U394" t="str">
        <f>T("175.390")</f>
        <v>175.390</v>
      </c>
      <c r="V394" t="str">
        <f>T("176.170")</f>
        <v>176.170</v>
      </c>
      <c r="W394" t="str">
        <f>T("176.210")</f>
        <v>176.210</v>
      </c>
      <c r="X394" t="str">
        <f>T("177.1010")</f>
        <v>177.1010</v>
      </c>
      <c r="Y394" t="str">
        <f>T("177.1350")</f>
        <v>177.1350</v>
      </c>
      <c r="Z394" t="str">
        <f>T("178.3570")</f>
        <v>178.3570</v>
      </c>
      <c r="AF394" t="str">
        <f>T("166.11")</f>
        <v>166.11</v>
      </c>
      <c r="AG394" t="str">
        <f>T("2183")</f>
        <v>2183</v>
      </c>
      <c r="AH394" t="str">
        <f>T("3")</f>
        <v>3</v>
      </c>
    </row>
    <row r="395" spans="1:37" x14ac:dyDescent="0.3">
      <c r="A395" t="s">
        <v>1255</v>
      </c>
      <c r="B395" t="s">
        <v>1256</v>
      </c>
      <c r="C395" t="s">
        <v>1257</v>
      </c>
      <c r="D395" t="s">
        <v>602</v>
      </c>
      <c r="K395" t="str">
        <f>T("172.110")</f>
        <v>172.110</v>
      </c>
      <c r="L395" t="str">
        <f>T("172.115")</f>
        <v>172.115</v>
      </c>
      <c r="M395" t="str">
        <f>T("172.185")</f>
        <v>172.185</v>
      </c>
      <c r="N395" t="str">
        <f>T("172.615")</f>
        <v>172.615</v>
      </c>
      <c r="O395" t="str">
        <f>T("173.340")</f>
        <v>173.340</v>
      </c>
      <c r="P395" t="str">
        <f>T("175.105")</f>
        <v>175.105</v>
      </c>
      <c r="Q395" t="str">
        <f>T("175.125")</f>
        <v>175.125</v>
      </c>
      <c r="R395" t="str">
        <f>T("175.300")</f>
        <v>175.300</v>
      </c>
      <c r="S395" t="str">
        <f>T("175.380")</f>
        <v>175.380</v>
      </c>
      <c r="T395" t="str">
        <f>T("175.390")</f>
        <v>175.390</v>
      </c>
      <c r="U395" t="str">
        <f>T("176.170")</f>
        <v>176.170</v>
      </c>
      <c r="V395" t="str">
        <f>T("176.210")</f>
        <v>176.210</v>
      </c>
      <c r="W395" t="str">
        <f>T("177.1010")</f>
        <v>177.1010</v>
      </c>
      <c r="X395" t="str">
        <f>T("177.1210")</f>
        <v>177.1210</v>
      </c>
      <c r="Y395" t="str">
        <f>T("177.2260")</f>
        <v>177.2260</v>
      </c>
      <c r="Z395" t="str">
        <f>T("177.2600")</f>
        <v>177.2600</v>
      </c>
      <c r="AF395" t="s">
        <v>1258</v>
      </c>
      <c r="AG395" t="str">
        <f>T("2184")</f>
        <v>2184</v>
      </c>
      <c r="AH395" t="str">
        <f>T("3")</f>
        <v>3</v>
      </c>
    </row>
    <row r="396" spans="1:37" x14ac:dyDescent="0.3">
      <c r="A396" t="s">
        <v>1259</v>
      </c>
      <c r="B396" t="s">
        <v>1260</v>
      </c>
      <c r="C396" t="s">
        <v>1261</v>
      </c>
      <c r="D396" t="s">
        <v>15</v>
      </c>
      <c r="AG396" t="str">
        <f>T("3392")</f>
        <v>3392</v>
      </c>
      <c r="AH396" t="str">
        <f>T("7")</f>
        <v>7</v>
      </c>
      <c r="AK396" t="str">
        <f>T("1214")</f>
        <v>1214</v>
      </c>
    </row>
    <row r="397" spans="1:37" x14ac:dyDescent="0.3">
      <c r="A397" t="s">
        <v>1262</v>
      </c>
      <c r="B397" t="s">
        <v>1263</v>
      </c>
      <c r="C397" t="s">
        <v>1264</v>
      </c>
      <c r="D397" t="s">
        <v>7</v>
      </c>
      <c r="K397" t="str">
        <f>T("172.515")</f>
        <v>172.515</v>
      </c>
      <c r="AG397" t="str">
        <f>T("2186")</f>
        <v>2186</v>
      </c>
      <c r="AH397" t="str">
        <f>T("3")</f>
        <v>3</v>
      </c>
      <c r="AK397" t="str">
        <f>T("151")</f>
        <v>151</v>
      </c>
    </row>
    <row r="398" spans="1:37" x14ac:dyDescent="0.3">
      <c r="A398" t="s">
        <v>1265</v>
      </c>
      <c r="B398" t="s">
        <v>1266</v>
      </c>
      <c r="C398" t="s">
        <v>1267</v>
      </c>
      <c r="D398" t="s">
        <v>7</v>
      </c>
      <c r="K398" t="str">
        <f>T("172.515")</f>
        <v>172.515</v>
      </c>
      <c r="AG398" t="str">
        <f>T("2190")</f>
        <v>2190</v>
      </c>
      <c r="AH398" t="str">
        <f>T("3")</f>
        <v>3</v>
      </c>
      <c r="AI398" t="str">
        <f>T("25")</f>
        <v>25</v>
      </c>
      <c r="AK398" t="str">
        <f>T("935")</f>
        <v>935</v>
      </c>
    </row>
    <row r="399" spans="1:37" x14ac:dyDescent="0.3">
      <c r="A399" t="s">
        <v>1268</v>
      </c>
      <c r="B399" t="s">
        <v>1269</v>
      </c>
      <c r="C399" t="s">
        <v>1270</v>
      </c>
      <c r="D399" t="s">
        <v>15</v>
      </c>
      <c r="K399" t="str">
        <f>T("172.515")</f>
        <v>172.515</v>
      </c>
      <c r="AG399" t="str">
        <f>T("2191")</f>
        <v>2191</v>
      </c>
      <c r="AH399" t="str">
        <f>T("3")</f>
        <v>3</v>
      </c>
      <c r="AK399" t="str">
        <f>T("684")</f>
        <v>684</v>
      </c>
    </row>
    <row r="400" spans="1:37" x14ac:dyDescent="0.3">
      <c r="A400" t="s">
        <v>1271</v>
      </c>
      <c r="B400" t="s">
        <v>1272</v>
      </c>
      <c r="C400" t="s">
        <v>1273</v>
      </c>
      <c r="D400" t="s">
        <v>7</v>
      </c>
      <c r="K400" t="str">
        <f>T("172.515")</f>
        <v>172.515</v>
      </c>
      <c r="AG400" t="str">
        <f>T("2192")</f>
        <v>2192</v>
      </c>
      <c r="AH400" t="str">
        <f>T("3")</f>
        <v>3</v>
      </c>
      <c r="AK400" t="str">
        <f>T("663")</f>
        <v>663</v>
      </c>
    </row>
    <row r="401" spans="1:37" x14ac:dyDescent="0.3">
      <c r="A401" t="s">
        <v>1274</v>
      </c>
      <c r="B401" t="s">
        <v>1275</v>
      </c>
      <c r="C401" t="s">
        <v>1276</v>
      </c>
      <c r="D401" t="s">
        <v>15</v>
      </c>
      <c r="K401" t="str">
        <f>T("172.515")</f>
        <v>172.515</v>
      </c>
      <c r="AG401" t="str">
        <f>T("2194")</f>
        <v>2194</v>
      </c>
      <c r="AH401" t="str">
        <f>T("3")</f>
        <v>3</v>
      </c>
      <c r="AK401" t="str">
        <f>T("1348")</f>
        <v>1348</v>
      </c>
    </row>
    <row r="402" spans="1:37" x14ac:dyDescent="0.3">
      <c r="A402" t="s">
        <v>1277</v>
      </c>
      <c r="B402" t="s">
        <v>1278</v>
      </c>
      <c r="C402" t="s">
        <v>1279</v>
      </c>
      <c r="D402" t="s">
        <v>88</v>
      </c>
      <c r="K402" t="str">
        <f>T("172.712")</f>
        <v>172.712</v>
      </c>
      <c r="L402" t="str">
        <f>T("173.220")</f>
        <v>173.220</v>
      </c>
      <c r="M402" t="str">
        <f>T("175.105")</f>
        <v>175.105</v>
      </c>
      <c r="N402" t="str">
        <f>T("175.320")</f>
        <v>175.320</v>
      </c>
      <c r="O402" t="str">
        <f>T("177.1200")</f>
        <v>177.1200</v>
      </c>
      <c r="P402" t="str">
        <f>T("177.1210")</f>
        <v>177.1210</v>
      </c>
      <c r="Q402" t="str">
        <f>T("177.1680")</f>
        <v>177.1680</v>
      </c>
      <c r="R402" t="str">
        <f>T("177.2420")</f>
        <v>177.2420</v>
      </c>
      <c r="S402" t="str">
        <f>T("178.2010")</f>
        <v>178.2010</v>
      </c>
    </row>
    <row r="403" spans="1:37" x14ac:dyDescent="0.3">
      <c r="A403" t="s">
        <v>1280</v>
      </c>
      <c r="B403" t="s">
        <v>1281</v>
      </c>
      <c r="C403" t="s">
        <v>1282</v>
      </c>
      <c r="D403" t="s">
        <v>7</v>
      </c>
      <c r="AG403" t="str">
        <f>T("4027")</f>
        <v>4027</v>
      </c>
      <c r="AH403" t="str">
        <f>T("21")</f>
        <v>21</v>
      </c>
      <c r="AK403" t="str">
        <f>T("1698")</f>
        <v>1698</v>
      </c>
    </row>
    <row r="404" spans="1:37" x14ac:dyDescent="0.3">
      <c r="A404" t="s">
        <v>1283</v>
      </c>
      <c r="B404" t="s">
        <v>1284</v>
      </c>
      <c r="C404" t="s">
        <v>1285</v>
      </c>
      <c r="D404" t="s">
        <v>7</v>
      </c>
      <c r="K404" t="str">
        <f>T("172.515")</f>
        <v>172.515</v>
      </c>
      <c r="AG404" t="str">
        <f>T("2195")</f>
        <v>2195</v>
      </c>
      <c r="AH404" t="str">
        <f>T("3")</f>
        <v>3</v>
      </c>
      <c r="AK404" t="str">
        <f>T("615")</f>
        <v>615</v>
      </c>
    </row>
    <row r="405" spans="1:37" x14ac:dyDescent="0.3">
      <c r="A405" t="s">
        <v>1286</v>
      </c>
      <c r="B405" t="s">
        <v>1287</v>
      </c>
      <c r="C405" t="s">
        <v>1288</v>
      </c>
      <c r="D405" t="s">
        <v>15</v>
      </c>
      <c r="K405" t="str">
        <f>T("172.515")</f>
        <v>172.515</v>
      </c>
      <c r="AG405" t="str">
        <f>T("2196")</f>
        <v>2196</v>
      </c>
      <c r="AH405" t="str">
        <f>T("3")</f>
        <v>3</v>
      </c>
      <c r="AK405" t="str">
        <f>T("118")</f>
        <v>118</v>
      </c>
    </row>
    <row r="406" spans="1:37" x14ac:dyDescent="0.3">
      <c r="A406" t="s">
        <v>1289</v>
      </c>
      <c r="B406" t="s">
        <v>1290</v>
      </c>
      <c r="C406" t="s">
        <v>1291</v>
      </c>
      <c r="D406" t="s">
        <v>7</v>
      </c>
      <c r="AG406" t="str">
        <f>T("4081")</f>
        <v>4081</v>
      </c>
      <c r="AH406" t="str">
        <f>T("22")</f>
        <v>22</v>
      </c>
      <c r="AK406" t="str">
        <f>T("1490")</f>
        <v>1490</v>
      </c>
    </row>
    <row r="407" spans="1:37" x14ac:dyDescent="0.3">
      <c r="A407" t="s">
        <v>1292</v>
      </c>
      <c r="B407" t="s">
        <v>1293</v>
      </c>
      <c r="C407" t="s">
        <v>1294</v>
      </c>
      <c r="D407" t="s">
        <v>7</v>
      </c>
      <c r="K407" t="str">
        <f>T("172.515")</f>
        <v>172.515</v>
      </c>
      <c r="AG407" t="str">
        <f>T("2199")</f>
        <v>2199</v>
      </c>
      <c r="AH407" t="str">
        <f>T("3")</f>
        <v>3</v>
      </c>
      <c r="AK407" t="str">
        <f>T("169")</f>
        <v>169</v>
      </c>
    </row>
    <row r="408" spans="1:37" x14ac:dyDescent="0.3">
      <c r="A408" t="s">
        <v>1295</v>
      </c>
      <c r="B408" t="s">
        <v>1296</v>
      </c>
      <c r="C408" t="s">
        <v>1297</v>
      </c>
      <c r="D408" t="s">
        <v>15</v>
      </c>
      <c r="K408" t="str">
        <f>T("172.515")</f>
        <v>172.515</v>
      </c>
      <c r="AG408" t="str">
        <f>T("2201")</f>
        <v>2201</v>
      </c>
      <c r="AH408" t="str">
        <f>T("3")</f>
        <v>3</v>
      </c>
      <c r="AI408" t="str">
        <f>T("25")</f>
        <v>25</v>
      </c>
      <c r="AK408" t="str">
        <f>T("162")</f>
        <v>162</v>
      </c>
    </row>
    <row r="409" spans="1:37" x14ac:dyDescent="0.3">
      <c r="A409" t="s">
        <v>1298</v>
      </c>
      <c r="B409" t="s">
        <v>1299</v>
      </c>
      <c r="C409" t="s">
        <v>1300</v>
      </c>
      <c r="D409" t="s">
        <v>7</v>
      </c>
      <c r="K409" t="str">
        <f>T("172.515")</f>
        <v>172.515</v>
      </c>
      <c r="AG409" t="str">
        <f>T("2203")</f>
        <v>2203</v>
      </c>
      <c r="AH409" t="str">
        <f>T("3")</f>
        <v>3</v>
      </c>
      <c r="AK409" t="str">
        <f>T("870")</f>
        <v>870</v>
      </c>
    </row>
    <row r="410" spans="1:37" x14ac:dyDescent="0.3">
      <c r="A410" t="s">
        <v>1301</v>
      </c>
      <c r="B410" t="s">
        <v>1302</v>
      </c>
      <c r="C410" t="s">
        <v>1303</v>
      </c>
      <c r="D410" t="s">
        <v>1304</v>
      </c>
      <c r="K410" t="str">
        <f>T("173.310")</f>
        <v>173.310</v>
      </c>
      <c r="L410" t="str">
        <f>T("173.340")</f>
        <v>173.340</v>
      </c>
      <c r="M410" t="str">
        <f>T("175.105")</f>
        <v>175.105</v>
      </c>
      <c r="N410" t="str">
        <f>T("177.1632")</f>
        <v>177.1632</v>
      </c>
      <c r="O410" t="str">
        <f>T("178.3570")</f>
        <v>178.3570</v>
      </c>
      <c r="P410" t="str">
        <f>T("178.3910")</f>
        <v>178.3910</v>
      </c>
    </row>
    <row r="411" spans="1:37" x14ac:dyDescent="0.3">
      <c r="A411" t="s">
        <v>1305</v>
      </c>
      <c r="B411" t="s">
        <v>1306</v>
      </c>
      <c r="C411" t="s">
        <v>1307</v>
      </c>
      <c r="D411" t="s">
        <v>15</v>
      </c>
      <c r="AG411" t="str">
        <f>T("3333")</f>
        <v>3333</v>
      </c>
      <c r="AH411" t="s">
        <v>1308</v>
      </c>
      <c r="AK411" t="str">
        <f>T("1170")</f>
        <v>1170</v>
      </c>
    </row>
    <row r="412" spans="1:37" x14ac:dyDescent="0.3">
      <c r="A412" t="s">
        <v>1309</v>
      </c>
      <c r="B412" t="s">
        <v>1310</v>
      </c>
      <c r="C412" t="s">
        <v>1311</v>
      </c>
      <c r="D412" t="s">
        <v>7</v>
      </c>
      <c r="K412" t="str">
        <f>T("172.515")</f>
        <v>172.515</v>
      </c>
      <c r="AG412" t="str">
        <f>T("2188")</f>
        <v>2188</v>
      </c>
      <c r="AH412" t="str">
        <f>T("3")</f>
        <v>3</v>
      </c>
      <c r="AI412" t="str">
        <f>T("25")</f>
        <v>25</v>
      </c>
      <c r="AK412" t="str">
        <f>T("188")</f>
        <v>188</v>
      </c>
    </row>
    <row r="413" spans="1:37" x14ac:dyDescent="0.3">
      <c r="A413" t="s">
        <v>1312</v>
      </c>
      <c r="B413" t="s">
        <v>1313</v>
      </c>
      <c r="C413" t="s">
        <v>1314</v>
      </c>
      <c r="D413" t="s">
        <v>7</v>
      </c>
      <c r="AG413" t="str">
        <f>T("4082")</f>
        <v>4082</v>
      </c>
      <c r="AH413" t="str">
        <f>T("22")</f>
        <v>22</v>
      </c>
      <c r="AK413" t="str">
        <f>T("1561")</f>
        <v>1561</v>
      </c>
    </row>
    <row r="414" spans="1:37" x14ac:dyDescent="0.3">
      <c r="A414" t="s">
        <v>1315</v>
      </c>
      <c r="B414" t="s">
        <v>1316</v>
      </c>
      <c r="C414" t="s">
        <v>1317</v>
      </c>
      <c r="D414" t="s">
        <v>7</v>
      </c>
      <c r="AG414" t="str">
        <f>T("4419")</f>
        <v>4419</v>
      </c>
      <c r="AH414" t="str">
        <f>T("23")</f>
        <v>23</v>
      </c>
      <c r="AK414" t="str">
        <f>T("1890")</f>
        <v>1890</v>
      </c>
    </row>
    <row r="415" spans="1:37" x14ac:dyDescent="0.3">
      <c r="A415" t="s">
        <v>1318</v>
      </c>
      <c r="B415" t="s">
        <v>1319</v>
      </c>
      <c r="C415" t="s">
        <v>1320</v>
      </c>
      <c r="D415" t="s">
        <v>7</v>
      </c>
      <c r="K415" t="str">
        <f>T("172.515")</f>
        <v>172.515</v>
      </c>
      <c r="AG415" t="str">
        <f>T("2218")</f>
        <v>2218</v>
      </c>
      <c r="AH415" t="str">
        <f>T("3")</f>
        <v>3</v>
      </c>
      <c r="AK415" t="str">
        <f>T("198")</f>
        <v>198</v>
      </c>
    </row>
    <row r="416" spans="1:37" x14ac:dyDescent="0.3">
      <c r="A416" t="s">
        <v>1321</v>
      </c>
      <c r="B416" t="s">
        <v>1322</v>
      </c>
      <c r="C416" t="s">
        <v>1323</v>
      </c>
      <c r="D416" t="s">
        <v>15</v>
      </c>
      <c r="K416" t="str">
        <f>T("172.515")</f>
        <v>172.515</v>
      </c>
      <c r="L416" t="str">
        <f>T("175.105")</f>
        <v>175.105</v>
      </c>
      <c r="AG416" t="str">
        <f>T("2205")</f>
        <v>2205</v>
      </c>
      <c r="AH416" t="str">
        <f>T("3")</f>
        <v>3</v>
      </c>
      <c r="AI416" t="str">
        <f>T("25")</f>
        <v>25</v>
      </c>
      <c r="AK416" t="str">
        <f>T("932")</f>
        <v>932</v>
      </c>
    </row>
    <row r="417" spans="1:37" x14ac:dyDescent="0.3">
      <c r="A417" t="s">
        <v>1324</v>
      </c>
      <c r="B417" t="s">
        <v>1325</v>
      </c>
      <c r="C417" t="s">
        <v>1326</v>
      </c>
      <c r="D417" t="s">
        <v>7</v>
      </c>
      <c r="K417" t="str">
        <f>T("172.515")</f>
        <v>172.515</v>
      </c>
      <c r="L417" t="str">
        <f>T("177.2600")</f>
        <v>177.2600</v>
      </c>
      <c r="AG417" t="str">
        <f>T("2206")</f>
        <v>2206</v>
      </c>
      <c r="AH417" t="str">
        <f>T("3")</f>
        <v>3</v>
      </c>
      <c r="AI417" t="str">
        <f>T("25")</f>
        <v>25</v>
      </c>
      <c r="AK417" t="str">
        <f>T("181")</f>
        <v>181</v>
      </c>
    </row>
    <row r="418" spans="1:37" x14ac:dyDescent="0.3">
      <c r="A418" t="s">
        <v>1327</v>
      </c>
      <c r="B418" t="s">
        <v>1328</v>
      </c>
      <c r="C418" t="s">
        <v>1329</v>
      </c>
      <c r="D418" t="s">
        <v>7</v>
      </c>
      <c r="K418" t="str">
        <f>T("172.515")</f>
        <v>172.515</v>
      </c>
      <c r="AG418" t="str">
        <f>T("2207")</f>
        <v>2207</v>
      </c>
      <c r="AH418" t="str">
        <f>T("3")</f>
        <v>3</v>
      </c>
      <c r="AK418" t="str">
        <f>T("608")</f>
        <v>608</v>
      </c>
    </row>
    <row r="419" spans="1:37" x14ac:dyDescent="0.3">
      <c r="A419" t="s">
        <v>1330</v>
      </c>
      <c r="B419" t="s">
        <v>1331</v>
      </c>
      <c r="C419" t="s">
        <v>1332</v>
      </c>
      <c r="D419" t="s">
        <v>7</v>
      </c>
      <c r="AG419" t="str">
        <f>T("3393")</f>
        <v>3393</v>
      </c>
      <c r="AH419" t="str">
        <f>T("7")</f>
        <v>7</v>
      </c>
      <c r="AI419" t="str">
        <f>T("25")</f>
        <v>25</v>
      </c>
      <c r="AK419" t="str">
        <f>T("207")</f>
        <v>207</v>
      </c>
    </row>
    <row r="420" spans="1:37" x14ac:dyDescent="0.3">
      <c r="A420" t="s">
        <v>1333</v>
      </c>
      <c r="B420" t="s">
        <v>1334</v>
      </c>
      <c r="C420" t="s">
        <v>1335</v>
      </c>
      <c r="D420" t="s">
        <v>7</v>
      </c>
      <c r="AG420" t="str">
        <f>T("4571")</f>
        <v>4571</v>
      </c>
      <c r="AH420" t="str">
        <f>T("24")</f>
        <v>24</v>
      </c>
      <c r="AK420" t="str">
        <f>T("1921")</f>
        <v>1921</v>
      </c>
    </row>
    <row r="421" spans="1:37" x14ac:dyDescent="0.3">
      <c r="A421" t="s">
        <v>1336</v>
      </c>
      <c r="B421" t="s">
        <v>1337</v>
      </c>
      <c r="C421" t="s">
        <v>1338</v>
      </c>
      <c r="D421" t="s">
        <v>7</v>
      </c>
      <c r="AG421" t="str">
        <f>T("4634")</f>
        <v>4634</v>
      </c>
      <c r="AH421" t="str">
        <f>T("24")</f>
        <v>24</v>
      </c>
      <c r="AK421" t="str">
        <f>T("2141")</f>
        <v>2141</v>
      </c>
    </row>
    <row r="422" spans="1:37" x14ac:dyDescent="0.3">
      <c r="A422" t="s">
        <v>1339</v>
      </c>
      <c r="B422" t="s">
        <v>1340</v>
      </c>
      <c r="C422" t="s">
        <v>1341</v>
      </c>
      <c r="K422" t="str">
        <f>T("172.270")</f>
        <v>172.270</v>
      </c>
      <c r="L422" t="str">
        <f>T("177.2800")</f>
        <v>177.2800</v>
      </c>
    </row>
    <row r="423" spans="1:37" x14ac:dyDescent="0.3">
      <c r="A423" t="s">
        <v>1342</v>
      </c>
      <c r="B423" t="s">
        <v>1343</v>
      </c>
      <c r="C423" t="s">
        <v>1344</v>
      </c>
      <c r="D423" t="s">
        <v>7</v>
      </c>
      <c r="AG423" t="str">
        <f>T("2204")</f>
        <v>2204</v>
      </c>
      <c r="AH423" t="str">
        <f>T("3")</f>
        <v>3</v>
      </c>
      <c r="AK423" t="str">
        <f>T("1484")</f>
        <v>1484</v>
      </c>
    </row>
    <row r="424" spans="1:37" x14ac:dyDescent="0.3">
      <c r="A424" t="s">
        <v>1345</v>
      </c>
      <c r="B424" t="s">
        <v>1346</v>
      </c>
      <c r="C424" t="s">
        <v>1347</v>
      </c>
      <c r="D424" t="s">
        <v>7</v>
      </c>
      <c r="K424" t="str">
        <f>T("172.515")</f>
        <v>172.515</v>
      </c>
      <c r="AG424" t="str">
        <f>T("2209")</f>
        <v>2209</v>
      </c>
      <c r="AH424" t="str">
        <f>T("3")</f>
        <v>3</v>
      </c>
      <c r="AK424" t="str">
        <f>T("1012")</f>
        <v>1012</v>
      </c>
    </row>
    <row r="425" spans="1:37" x14ac:dyDescent="0.3">
      <c r="A425" t="s">
        <v>1348</v>
      </c>
      <c r="B425" t="s">
        <v>1349</v>
      </c>
      <c r="C425" t="s">
        <v>1350</v>
      </c>
      <c r="D425" t="s">
        <v>7</v>
      </c>
      <c r="AG425" t="str">
        <f>T("3334")</f>
        <v>3334</v>
      </c>
      <c r="AH425" t="str">
        <f>T("6")</f>
        <v>6</v>
      </c>
      <c r="AK425" t="str">
        <f>T("1169")</f>
        <v>1169</v>
      </c>
    </row>
    <row r="426" spans="1:37" x14ac:dyDescent="0.3">
      <c r="A426" t="s">
        <v>1351</v>
      </c>
      <c r="B426" t="s">
        <v>1352</v>
      </c>
      <c r="C426" t="s">
        <v>1353</v>
      </c>
      <c r="D426" t="s">
        <v>15</v>
      </c>
      <c r="K426" t="str">
        <f>T("172.515")</f>
        <v>172.515</v>
      </c>
      <c r="AG426" t="str">
        <f>T("2211")</f>
        <v>2211</v>
      </c>
      <c r="AH426" t="str">
        <f>T("3")</f>
        <v>3</v>
      </c>
      <c r="AK426" t="str">
        <f>T("143")</f>
        <v>143</v>
      </c>
    </row>
    <row r="427" spans="1:37" x14ac:dyDescent="0.3">
      <c r="A427" t="s">
        <v>1354</v>
      </c>
      <c r="B427" t="s">
        <v>1355</v>
      </c>
      <c r="C427" t="s">
        <v>1356</v>
      </c>
      <c r="D427" t="s">
        <v>15</v>
      </c>
      <c r="AG427" t="str">
        <f>T("3650")</f>
        <v>3650</v>
      </c>
      <c r="AH427" t="str">
        <f>T("12")</f>
        <v>12</v>
      </c>
      <c r="AK427" t="str">
        <f>T("901")</f>
        <v>901</v>
      </c>
    </row>
    <row r="428" spans="1:37" x14ac:dyDescent="0.3">
      <c r="A428" t="s">
        <v>1357</v>
      </c>
      <c r="B428" t="s">
        <v>1358</v>
      </c>
      <c r="C428" t="s">
        <v>1359</v>
      </c>
      <c r="D428" t="s">
        <v>1360</v>
      </c>
      <c r="K428" t="str">
        <f>T("172.515")</f>
        <v>172.515</v>
      </c>
      <c r="L428" t="str">
        <f>T("173.340")</f>
        <v>173.340</v>
      </c>
      <c r="M428" t="str">
        <f>T("175.105")</f>
        <v>175.105</v>
      </c>
      <c r="N428" t="str">
        <f>T("175.300")</f>
        <v>175.300</v>
      </c>
      <c r="O428" t="str">
        <f>T("175.320")</f>
        <v>175.320</v>
      </c>
      <c r="P428" t="str">
        <f>T("176.200")</f>
        <v>176.200</v>
      </c>
      <c r="Q428" t="str">
        <f>T("177.1200")</f>
        <v>177.1200</v>
      </c>
      <c r="R428" t="str">
        <f>T("177.2260")</f>
        <v>177.2260</v>
      </c>
      <c r="S428" t="str">
        <f>T("177.2600")</f>
        <v>177.2600</v>
      </c>
      <c r="T428" t="str">
        <f>T("178.3910")</f>
        <v>178.3910</v>
      </c>
      <c r="U428" t="str">
        <f>T("181.27")</f>
        <v>181.27</v>
      </c>
      <c r="AG428" t="str">
        <f>T("2214")</f>
        <v>2214</v>
      </c>
      <c r="AH428" t="str">
        <f>T("3")</f>
        <v>3</v>
      </c>
      <c r="AK428" t="str">
        <f>T("184")</f>
        <v>184</v>
      </c>
    </row>
    <row r="429" spans="1:37" x14ac:dyDescent="0.3">
      <c r="A429" t="s">
        <v>1361</v>
      </c>
      <c r="B429" t="s">
        <v>1362</v>
      </c>
      <c r="C429" t="s">
        <v>1363</v>
      </c>
      <c r="D429" t="s">
        <v>15</v>
      </c>
      <c r="K429" t="str">
        <f>T("172.515")</f>
        <v>172.515</v>
      </c>
      <c r="AG429" t="str">
        <f>T("2215")</f>
        <v>2215</v>
      </c>
      <c r="AH429" t="str">
        <f>T("3")</f>
        <v>3</v>
      </c>
      <c r="AI429" t="str">
        <f>T("25")</f>
        <v>25</v>
      </c>
      <c r="AK429" t="str">
        <f>T("455")</f>
        <v>455</v>
      </c>
    </row>
    <row r="430" spans="1:37" x14ac:dyDescent="0.3">
      <c r="A430" t="s">
        <v>1364</v>
      </c>
      <c r="B430" t="s">
        <v>1365</v>
      </c>
      <c r="C430" t="s">
        <v>1366</v>
      </c>
      <c r="D430" t="s">
        <v>15</v>
      </c>
      <c r="K430" t="str">
        <f>T("172.515")</f>
        <v>172.515</v>
      </c>
      <c r="AG430" t="str">
        <f>T("2216")</f>
        <v>2216</v>
      </c>
      <c r="AH430" t="str">
        <f>T("3")</f>
        <v>3</v>
      </c>
      <c r="AI430" t="str">
        <f>T("25")</f>
        <v>25</v>
      </c>
      <c r="AK430" t="str">
        <f>T("344")</f>
        <v>344</v>
      </c>
    </row>
    <row r="431" spans="1:37" x14ac:dyDescent="0.3">
      <c r="A431" t="s">
        <v>1367</v>
      </c>
      <c r="B431" t="s">
        <v>1368</v>
      </c>
      <c r="C431" t="s">
        <v>1369</v>
      </c>
      <c r="D431" t="s">
        <v>7</v>
      </c>
      <c r="K431" t="str">
        <f>T("172.515")</f>
        <v>172.515</v>
      </c>
      <c r="AG431" t="str">
        <f>T("2217")</f>
        <v>2217</v>
      </c>
      <c r="AH431" t="str">
        <f>T("3")</f>
        <v>3</v>
      </c>
      <c r="AI431" t="str">
        <f>T("25")</f>
        <v>25</v>
      </c>
      <c r="AK431" t="str">
        <f>T("160")</f>
        <v>160</v>
      </c>
    </row>
    <row r="432" spans="1:37" x14ac:dyDescent="0.3">
      <c r="A432" t="s">
        <v>1370</v>
      </c>
      <c r="B432" t="s">
        <v>1371</v>
      </c>
      <c r="C432" t="s">
        <v>1372</v>
      </c>
      <c r="D432" t="s">
        <v>7</v>
      </c>
      <c r="K432" t="str">
        <f>T("172.515")</f>
        <v>172.515</v>
      </c>
      <c r="L432" t="str">
        <f>T("175.105")</f>
        <v>175.105</v>
      </c>
      <c r="M432" t="str">
        <f>T("176.170")</f>
        <v>176.170</v>
      </c>
      <c r="AG432" t="str">
        <f>T("2219")</f>
        <v>2219</v>
      </c>
      <c r="AH432" t="str">
        <f>T("3")</f>
        <v>3</v>
      </c>
      <c r="AI432" t="str">
        <f>T("25")</f>
        <v>25</v>
      </c>
      <c r="AK432" t="str">
        <f>T("86")</f>
        <v>86</v>
      </c>
    </row>
    <row r="433" spans="1:37" x14ac:dyDescent="0.3">
      <c r="A433" t="s">
        <v>1373</v>
      </c>
      <c r="B433" t="s">
        <v>1374</v>
      </c>
      <c r="C433" t="s">
        <v>1375</v>
      </c>
      <c r="D433" t="s">
        <v>7</v>
      </c>
      <c r="AG433" t="str">
        <f>T("4252")</f>
        <v>4252</v>
      </c>
      <c r="AH433" t="str">
        <f>T("22")</f>
        <v>22</v>
      </c>
      <c r="AK433" t="str">
        <f>T("1593")</f>
        <v>1593</v>
      </c>
    </row>
    <row r="434" spans="1:37" x14ac:dyDescent="0.3">
      <c r="A434" t="s">
        <v>1376</v>
      </c>
      <c r="B434" t="s">
        <v>1377</v>
      </c>
      <c r="C434" t="s">
        <v>1378</v>
      </c>
      <c r="D434" t="s">
        <v>1379</v>
      </c>
      <c r="K434" t="str">
        <f>T("182.60")</f>
        <v>182.60</v>
      </c>
      <c r="AG434" t="str">
        <f>T("2221")</f>
        <v>2221</v>
      </c>
      <c r="AH434" t="str">
        <f>T("3")</f>
        <v>3</v>
      </c>
      <c r="AI434" t="str">
        <f>T("25")</f>
        <v>25</v>
      </c>
      <c r="AK434" t="str">
        <f>T("87")</f>
        <v>87</v>
      </c>
    </row>
    <row r="435" spans="1:37" x14ac:dyDescent="0.3">
      <c r="A435" t="s">
        <v>1380</v>
      </c>
      <c r="B435" t="s">
        <v>1381</v>
      </c>
      <c r="D435" t="s">
        <v>7</v>
      </c>
      <c r="AG435" t="str">
        <f>T("4083")</f>
        <v>4083</v>
      </c>
      <c r="AH435" t="str">
        <f>T("22")</f>
        <v>22</v>
      </c>
      <c r="AK435" t="str">
        <f>T("1507")</f>
        <v>1507</v>
      </c>
    </row>
    <row r="436" spans="1:37" x14ac:dyDescent="0.3">
      <c r="A436" t="s">
        <v>1382</v>
      </c>
      <c r="B436" t="s">
        <v>1383</v>
      </c>
      <c r="C436" t="s">
        <v>1384</v>
      </c>
      <c r="D436" t="s">
        <v>7</v>
      </c>
      <c r="K436" t="str">
        <f>T("172.515")</f>
        <v>172.515</v>
      </c>
    </row>
    <row r="437" spans="1:37" x14ac:dyDescent="0.3">
      <c r="A437" t="s">
        <v>1385</v>
      </c>
      <c r="B437" t="s">
        <v>1386</v>
      </c>
      <c r="C437" t="s">
        <v>1387</v>
      </c>
      <c r="D437" t="s">
        <v>7</v>
      </c>
      <c r="K437" t="str">
        <f>T("182.1180")</f>
        <v>182.1180</v>
      </c>
      <c r="AG437" t="str">
        <f>T("2224")</f>
        <v>2224</v>
      </c>
      <c r="AH437" t="str">
        <f>T("3")</f>
        <v>3</v>
      </c>
    </row>
    <row r="438" spans="1:37" x14ac:dyDescent="0.3">
      <c r="A438" t="s">
        <v>1388</v>
      </c>
      <c r="B438" t="s">
        <v>1389</v>
      </c>
      <c r="C438" t="s">
        <v>1390</v>
      </c>
      <c r="D438" t="s">
        <v>7</v>
      </c>
      <c r="K438" t="str">
        <f>T("172.510")</f>
        <v>172.510</v>
      </c>
      <c r="AG438" t="str">
        <f>T("2225")</f>
        <v>2225</v>
      </c>
      <c r="AH438" t="str">
        <f>T("3")</f>
        <v>3</v>
      </c>
    </row>
    <row r="439" spans="1:37" x14ac:dyDescent="0.3">
      <c r="A439" t="s">
        <v>1391</v>
      </c>
      <c r="B439" t="s">
        <v>1392</v>
      </c>
      <c r="C439" t="s">
        <v>1393</v>
      </c>
      <c r="AD439" t="str">
        <f>T("189.110")</f>
        <v>189.110</v>
      </c>
    </row>
    <row r="440" spans="1:37" x14ac:dyDescent="0.3">
      <c r="A440" t="s">
        <v>1394</v>
      </c>
      <c r="B440" t="s">
        <v>1395</v>
      </c>
      <c r="C440" t="s">
        <v>1396</v>
      </c>
      <c r="D440" t="s">
        <v>7</v>
      </c>
      <c r="AD440" t="str">
        <f>T("189.110")</f>
        <v>189.110</v>
      </c>
    </row>
    <row r="441" spans="1:37" x14ac:dyDescent="0.3">
      <c r="A441" t="s">
        <v>1397</v>
      </c>
      <c r="B441" t="s">
        <v>1398</v>
      </c>
      <c r="C441" t="s">
        <v>1399</v>
      </c>
      <c r="D441" t="s">
        <v>7</v>
      </c>
      <c r="AD441" t="str">
        <f>T("189.110")</f>
        <v>189.110</v>
      </c>
    </row>
    <row r="442" spans="1:37" x14ac:dyDescent="0.3">
      <c r="A442" t="s">
        <v>1400</v>
      </c>
      <c r="B442" t="s">
        <v>1401</v>
      </c>
      <c r="C442" t="s">
        <v>1402</v>
      </c>
      <c r="D442" t="s">
        <v>1403</v>
      </c>
      <c r="K442" t="str">
        <f>T("175.300")</f>
        <v>175.300</v>
      </c>
      <c r="L442" t="str">
        <f>T("181.29")</f>
        <v>181.29</v>
      </c>
      <c r="M442" t="str">
        <f>T("182.6197")</f>
        <v>182.6197</v>
      </c>
      <c r="N442" t="str">
        <f>T("184.1185")</f>
        <v>184.1185</v>
      </c>
      <c r="AG442" t="str">
        <f>T("2228")</f>
        <v>2228</v>
      </c>
      <c r="AH442" t="str">
        <f>T("3")</f>
        <v>3</v>
      </c>
    </row>
    <row r="443" spans="1:37" x14ac:dyDescent="0.3">
      <c r="A443" t="s">
        <v>1404</v>
      </c>
      <c r="B443" t="s">
        <v>1405</v>
      </c>
      <c r="C443" t="s">
        <v>1406</v>
      </c>
      <c r="D443" t="s">
        <v>773</v>
      </c>
      <c r="K443" t="str">
        <f>T("182.3189")</f>
        <v>182.3189</v>
      </c>
    </row>
    <row r="444" spans="1:37" x14ac:dyDescent="0.3">
      <c r="A444" t="s">
        <v>1407</v>
      </c>
      <c r="B444" t="s">
        <v>1408</v>
      </c>
      <c r="C444" t="s">
        <v>1409</v>
      </c>
      <c r="D444" t="s">
        <v>184</v>
      </c>
      <c r="K444" t="str">
        <f>T("178.2010")</f>
        <v>178.2010</v>
      </c>
      <c r="AF444" t="str">
        <f>T("166.11")</f>
        <v>166.11</v>
      </c>
    </row>
    <row r="445" spans="1:37" x14ac:dyDescent="0.3">
      <c r="A445" t="s">
        <v>1410</v>
      </c>
      <c r="B445" t="s">
        <v>1411</v>
      </c>
      <c r="C445" t="s">
        <v>1412</v>
      </c>
      <c r="D445" t="s">
        <v>1413</v>
      </c>
      <c r="AF445" t="str">
        <f>T("136.11")</f>
        <v>136.11</v>
      </c>
    </row>
    <row r="446" spans="1:37" x14ac:dyDescent="0.3">
      <c r="A446" t="s">
        <v>1414</v>
      </c>
      <c r="B446" t="s">
        <v>1415</v>
      </c>
      <c r="C446" t="s">
        <v>1416</v>
      </c>
      <c r="D446" t="s">
        <v>1417</v>
      </c>
      <c r="K446" t="str">
        <f>T("172.863")</f>
        <v>172.863</v>
      </c>
      <c r="L446" t="str">
        <f>T("175.300")</f>
        <v>175.300</v>
      </c>
    </row>
    <row r="447" spans="1:37" x14ac:dyDescent="0.3">
      <c r="A447" t="s">
        <v>1418</v>
      </c>
      <c r="B447" t="s">
        <v>1419</v>
      </c>
      <c r="C447" t="s">
        <v>1420</v>
      </c>
      <c r="D447" t="s">
        <v>1417</v>
      </c>
      <c r="K447" t="str">
        <f>T("172.863")</f>
        <v>172.863</v>
      </c>
      <c r="L447" t="str">
        <f>T("175.300")</f>
        <v>175.300</v>
      </c>
    </row>
    <row r="448" spans="1:37" x14ac:dyDescent="0.3">
      <c r="A448" t="s">
        <v>1421</v>
      </c>
      <c r="B448" t="s">
        <v>1422</v>
      </c>
      <c r="C448" t="s">
        <v>1423</v>
      </c>
      <c r="D448" t="s">
        <v>1424</v>
      </c>
      <c r="K448" t="str">
        <f>T("172.840")</f>
        <v>172.840</v>
      </c>
      <c r="AF448" t="s">
        <v>561</v>
      </c>
    </row>
    <row r="449" spans="1:32" x14ac:dyDescent="0.3">
      <c r="A449" t="s">
        <v>1425</v>
      </c>
      <c r="B449" t="s">
        <v>1426</v>
      </c>
      <c r="C449" t="s">
        <v>1427</v>
      </c>
      <c r="D449" t="s">
        <v>11</v>
      </c>
      <c r="AD449" t="str">
        <f>T("189.135")</f>
        <v>189.135</v>
      </c>
    </row>
    <row r="450" spans="1:32" x14ac:dyDescent="0.3">
      <c r="A450" t="s">
        <v>1428</v>
      </c>
      <c r="B450" t="s">
        <v>1429</v>
      </c>
      <c r="C450" t="s">
        <v>1430</v>
      </c>
    </row>
    <row r="451" spans="1:32" x14ac:dyDescent="0.3">
      <c r="A451" t="s">
        <v>1431</v>
      </c>
      <c r="B451" t="s">
        <v>1432</v>
      </c>
      <c r="C451" t="s">
        <v>1433</v>
      </c>
      <c r="D451" t="s">
        <v>137</v>
      </c>
      <c r="K451" t="str">
        <f>T("172.350")</f>
        <v>172.350</v>
      </c>
      <c r="AF451" t="str">
        <f>T("145.145")</f>
        <v>145.145</v>
      </c>
    </row>
    <row r="452" spans="1:32" x14ac:dyDescent="0.3">
      <c r="A452" t="s">
        <v>1434</v>
      </c>
      <c r="B452" t="s">
        <v>1435</v>
      </c>
      <c r="C452" t="s">
        <v>1436</v>
      </c>
      <c r="D452" t="s">
        <v>1437</v>
      </c>
      <c r="K452" t="str">
        <f>T("175.300")</f>
        <v>175.300</v>
      </c>
      <c r="L452" t="str">
        <f>T("181.29")</f>
        <v>181.29</v>
      </c>
      <c r="M452" t="str">
        <f>T("184.1201")</f>
        <v>184.1201</v>
      </c>
    </row>
    <row r="453" spans="1:32" x14ac:dyDescent="0.3">
      <c r="A453" t="s">
        <v>1438</v>
      </c>
      <c r="B453" t="s">
        <v>1439</v>
      </c>
      <c r="C453" t="s">
        <v>1440</v>
      </c>
      <c r="D453" t="s">
        <v>1441</v>
      </c>
      <c r="K453" t="str">
        <f>T("182.6203")</f>
        <v>182.6203</v>
      </c>
    </row>
    <row r="454" spans="1:32" x14ac:dyDescent="0.3">
      <c r="A454" t="s">
        <v>1442</v>
      </c>
      <c r="B454" t="s">
        <v>1443</v>
      </c>
      <c r="C454" t="s">
        <v>1444</v>
      </c>
      <c r="D454" t="s">
        <v>1445</v>
      </c>
      <c r="E454" t="str">
        <f>T("73.85")</f>
        <v>73.85</v>
      </c>
      <c r="K454" t="str">
        <f>T("176.180")</f>
        <v>176.180</v>
      </c>
      <c r="L454" t="str">
        <f>T("176.210")</f>
        <v>176.210</v>
      </c>
      <c r="M454" t="str">
        <f>T("184.1205")</f>
        <v>184.1205</v>
      </c>
      <c r="AF454" t="str">
        <f>T("135.11")</f>
        <v>135.11</v>
      </c>
    </row>
    <row r="455" spans="1:32" x14ac:dyDescent="0.3">
      <c r="A455" t="s">
        <v>1446</v>
      </c>
      <c r="B455" t="s">
        <v>1447</v>
      </c>
      <c r="C455" t="s">
        <v>1448</v>
      </c>
      <c r="D455" t="s">
        <v>773</v>
      </c>
    </row>
    <row r="456" spans="1:32" x14ac:dyDescent="0.3">
      <c r="A456" t="s">
        <v>1449</v>
      </c>
      <c r="B456" t="s">
        <v>1450</v>
      </c>
      <c r="C456" t="s">
        <v>1451</v>
      </c>
      <c r="D456" t="s">
        <v>1452</v>
      </c>
      <c r="K456" t="str">
        <f>T("184.1206")</f>
        <v>184.1206</v>
      </c>
      <c r="AF456" t="str">
        <f>T("136.11")</f>
        <v>136.11</v>
      </c>
    </row>
    <row r="457" spans="1:32" x14ac:dyDescent="0.3">
      <c r="A457" t="s">
        <v>1453</v>
      </c>
      <c r="B457" t="s">
        <v>1454</v>
      </c>
      <c r="C457" t="s">
        <v>1455</v>
      </c>
      <c r="D457" t="s">
        <v>442</v>
      </c>
      <c r="K457" t="str">
        <f>T("172.720")</f>
        <v>172.720</v>
      </c>
    </row>
    <row r="458" spans="1:32" x14ac:dyDescent="0.3">
      <c r="A458" t="s">
        <v>1456</v>
      </c>
      <c r="B458" t="s">
        <v>1457</v>
      </c>
      <c r="C458" t="s">
        <v>1458</v>
      </c>
      <c r="D458" t="s">
        <v>1417</v>
      </c>
      <c r="K458" t="str">
        <f>T("172.863")</f>
        <v>172.863</v>
      </c>
    </row>
    <row r="459" spans="1:32" x14ac:dyDescent="0.3">
      <c r="A459" t="s">
        <v>1459</v>
      </c>
      <c r="B459" t="s">
        <v>1460</v>
      </c>
      <c r="C459" t="s">
        <v>1461</v>
      </c>
      <c r="D459" t="s">
        <v>420</v>
      </c>
      <c r="K459" t="str">
        <f>T("172.715")</f>
        <v>172.715</v>
      </c>
      <c r="L459" t="str">
        <f>T("175.105")</f>
        <v>175.105</v>
      </c>
      <c r="M459" t="str">
        <f>T("176.170")</f>
        <v>176.170</v>
      </c>
      <c r="N459" t="str">
        <f>T("176.180")</f>
        <v>176.180</v>
      </c>
      <c r="O459" t="str">
        <f>T("176.210")</f>
        <v>176.210</v>
      </c>
    </row>
    <row r="460" spans="1:32" x14ac:dyDescent="0.3">
      <c r="A460" t="s">
        <v>1462</v>
      </c>
      <c r="B460" t="s">
        <v>1463</v>
      </c>
      <c r="C460" t="s">
        <v>1464</v>
      </c>
      <c r="D460" t="s">
        <v>1417</v>
      </c>
      <c r="K460" t="str">
        <f>T("172.863")</f>
        <v>172.863</v>
      </c>
      <c r="L460" t="str">
        <f>T("178.2010")</f>
        <v>178.2010</v>
      </c>
    </row>
    <row r="461" spans="1:32" x14ac:dyDescent="0.3">
      <c r="A461" t="s">
        <v>1465</v>
      </c>
      <c r="B461" t="s">
        <v>1466</v>
      </c>
      <c r="C461" t="s">
        <v>1467</v>
      </c>
      <c r="D461" t="s">
        <v>802</v>
      </c>
      <c r="K461" t="str">
        <f>T("172.863")</f>
        <v>172.863</v>
      </c>
      <c r="L461" t="str">
        <f>T("175.300")</f>
        <v>175.300</v>
      </c>
      <c r="M461" t="str">
        <f>T("181.29")</f>
        <v>181.29</v>
      </c>
    </row>
    <row r="462" spans="1:32" x14ac:dyDescent="0.3">
      <c r="A462" t="s">
        <v>1468</v>
      </c>
      <c r="B462" t="s">
        <v>1469</v>
      </c>
      <c r="C462" t="s">
        <v>1470</v>
      </c>
      <c r="D462" t="s">
        <v>1471</v>
      </c>
      <c r="K462" t="str">
        <f>T("184.1210")</f>
        <v>184.1210</v>
      </c>
    </row>
    <row r="463" spans="1:32" x14ac:dyDescent="0.3">
      <c r="A463" t="s">
        <v>1472</v>
      </c>
      <c r="B463" t="s">
        <v>1473</v>
      </c>
      <c r="C463" t="s">
        <v>1474</v>
      </c>
      <c r="D463" t="s">
        <v>1417</v>
      </c>
      <c r="K463" t="str">
        <f>T("172.863")</f>
        <v>172.863</v>
      </c>
      <c r="L463" t="str">
        <f>T("175.300")</f>
        <v>175.300</v>
      </c>
    </row>
    <row r="464" spans="1:32" x14ac:dyDescent="0.3">
      <c r="A464" t="s">
        <v>1475</v>
      </c>
      <c r="B464" t="s">
        <v>1476</v>
      </c>
      <c r="C464" t="s">
        <v>1477</v>
      </c>
      <c r="D464" t="s">
        <v>137</v>
      </c>
      <c r="K464" t="str">
        <f>T("184.1212")</f>
        <v>184.1212</v>
      </c>
    </row>
    <row r="465" spans="1:37" x14ac:dyDescent="0.3">
      <c r="A465" t="s">
        <v>1478</v>
      </c>
      <c r="B465" t="s">
        <v>1479</v>
      </c>
      <c r="C465" t="s">
        <v>1480</v>
      </c>
      <c r="D465" t="s">
        <v>137</v>
      </c>
      <c r="K465" t="str">
        <f>T("172.330")</f>
        <v>172.330</v>
      </c>
    </row>
    <row r="466" spans="1:37" x14ac:dyDescent="0.3">
      <c r="A466" t="s">
        <v>1481</v>
      </c>
      <c r="B466" t="s">
        <v>1482</v>
      </c>
      <c r="C466" t="s">
        <v>1483</v>
      </c>
      <c r="D466" t="s">
        <v>1484</v>
      </c>
      <c r="AF466" t="str">
        <f>T("136.11")</f>
        <v>136.11</v>
      </c>
    </row>
    <row r="467" spans="1:37" x14ac:dyDescent="0.3">
      <c r="A467" t="s">
        <v>1485</v>
      </c>
      <c r="B467" t="s">
        <v>1486</v>
      </c>
      <c r="C467" t="s">
        <v>1487</v>
      </c>
      <c r="D467" t="s">
        <v>1488</v>
      </c>
      <c r="K467" t="str">
        <f>T("175.300")</f>
        <v>175.300</v>
      </c>
      <c r="L467" t="str">
        <f>T("181.29")</f>
        <v>181.29</v>
      </c>
      <c r="M467" t="str">
        <f>T("182.1217")</f>
        <v>182.1217</v>
      </c>
      <c r="N467" t="str">
        <f>T("182.8217")</f>
        <v>182.8217</v>
      </c>
      <c r="AF467" t="str">
        <f>T("137.105")</f>
        <v>137.105</v>
      </c>
    </row>
    <row r="468" spans="1:37" x14ac:dyDescent="0.3">
      <c r="A468" t="s">
        <v>1489</v>
      </c>
      <c r="B468" t="s">
        <v>1490</v>
      </c>
      <c r="C468" t="s">
        <v>1491</v>
      </c>
      <c r="D468" t="s">
        <v>1492</v>
      </c>
      <c r="K468" t="str">
        <f>T("175.300")</f>
        <v>175.300</v>
      </c>
      <c r="L468" t="str">
        <f>T("182.1217")</f>
        <v>182.1217</v>
      </c>
      <c r="M468" t="str">
        <f>T("182.8217")</f>
        <v>182.8217</v>
      </c>
      <c r="AF468" t="s">
        <v>1493</v>
      </c>
      <c r="AG468" t="str">
        <f>T("3081")</f>
        <v>3081</v>
      </c>
      <c r="AH468" t="str">
        <f>T("3")</f>
        <v>3</v>
      </c>
    </row>
    <row r="469" spans="1:37" x14ac:dyDescent="0.3">
      <c r="A469" t="s">
        <v>1494</v>
      </c>
      <c r="B469" t="s">
        <v>1495</v>
      </c>
      <c r="C469" t="s">
        <v>1496</v>
      </c>
    </row>
    <row r="470" spans="1:37" x14ac:dyDescent="0.3">
      <c r="A470" t="s">
        <v>1497</v>
      </c>
      <c r="B470" t="s">
        <v>1498</v>
      </c>
      <c r="C470" t="s">
        <v>1499</v>
      </c>
      <c r="D470" t="s">
        <v>137</v>
      </c>
      <c r="K470" t="str">
        <f>T("182.8223")</f>
        <v>182.8223</v>
      </c>
    </row>
    <row r="471" spans="1:37" x14ac:dyDescent="0.3">
      <c r="A471" t="s">
        <v>1500</v>
      </c>
      <c r="B471" t="s">
        <v>1501</v>
      </c>
      <c r="C471" t="s">
        <v>1502</v>
      </c>
      <c r="D471" t="s">
        <v>1417</v>
      </c>
      <c r="K471" t="str">
        <f>T("172.863")</f>
        <v>172.863</v>
      </c>
      <c r="L471" t="str">
        <f>T("175.105")</f>
        <v>175.105</v>
      </c>
    </row>
    <row r="472" spans="1:37" x14ac:dyDescent="0.3">
      <c r="A472" t="s">
        <v>1503</v>
      </c>
      <c r="B472" t="s">
        <v>1504</v>
      </c>
      <c r="C472" t="s">
        <v>1505</v>
      </c>
      <c r="D472" t="s">
        <v>1506</v>
      </c>
      <c r="K472" t="str">
        <f>T("172.410")</f>
        <v>172.410</v>
      </c>
      <c r="L472" t="str">
        <f>T("175.300")</f>
        <v>175.300</v>
      </c>
      <c r="M472" t="str">
        <f>T("176.170")</f>
        <v>176.170</v>
      </c>
      <c r="N472" t="str">
        <f>T("177.1680")</f>
        <v>177.1680</v>
      </c>
      <c r="O472" t="str">
        <f>T("177.2260")</f>
        <v>177.2260</v>
      </c>
      <c r="P472" t="str">
        <f>T("177.2355")</f>
        <v>177.2355</v>
      </c>
      <c r="Q472" t="str">
        <f>T("178.3297")</f>
        <v>178.3297</v>
      </c>
      <c r="R472" t="str">
        <f>T("182.2227")</f>
        <v>182.2227</v>
      </c>
      <c r="S472" t="str">
        <f>T("182.2906")</f>
        <v>182.2906</v>
      </c>
      <c r="AF472" t="str">
        <f>T("169.179")</f>
        <v>169.179</v>
      </c>
    </row>
    <row r="473" spans="1:37" x14ac:dyDescent="0.3">
      <c r="A473" t="s">
        <v>1507</v>
      </c>
      <c r="B473" t="s">
        <v>1508</v>
      </c>
      <c r="C473" t="s">
        <v>1509</v>
      </c>
      <c r="D473" t="s">
        <v>1510</v>
      </c>
      <c r="K473" t="str">
        <f>T("182.3225")</f>
        <v>182.3225</v>
      </c>
      <c r="AF473" t="str">
        <f>T("166.11")</f>
        <v>166.11</v>
      </c>
    </row>
    <row r="474" spans="1:37" x14ac:dyDescent="0.3">
      <c r="A474" t="s">
        <v>1511</v>
      </c>
      <c r="B474" t="s">
        <v>1512</v>
      </c>
      <c r="C474" t="s">
        <v>1513</v>
      </c>
      <c r="D474" t="s">
        <v>1514</v>
      </c>
      <c r="K474" t="str">
        <f>T("172.863")</f>
        <v>172.863</v>
      </c>
      <c r="L474" t="str">
        <f>T("173.340")</f>
        <v>173.340</v>
      </c>
      <c r="M474" t="str">
        <f>T("175.300")</f>
        <v>175.300</v>
      </c>
      <c r="N474" t="str">
        <f>T("177.2410")</f>
        <v>177.2410</v>
      </c>
      <c r="O474" t="str">
        <f>T("177.2600")</f>
        <v>177.2600</v>
      </c>
      <c r="P474" t="str">
        <f>T("178.1010")</f>
        <v>178.1010</v>
      </c>
      <c r="Q474" t="str">
        <f>T("178.2010")</f>
        <v>178.2010</v>
      </c>
      <c r="R474" t="str">
        <f>T("179.45")</f>
        <v>179.45</v>
      </c>
      <c r="S474" t="str">
        <f>T("181.29")</f>
        <v>181.29</v>
      </c>
      <c r="T474" t="str">
        <f>T("184.1229")</f>
        <v>184.1229</v>
      </c>
      <c r="AF474" t="str">
        <f>T("169.179")</f>
        <v>169.179</v>
      </c>
    </row>
    <row r="475" spans="1:37" x14ac:dyDescent="0.3">
      <c r="A475" t="s">
        <v>1515</v>
      </c>
      <c r="B475" t="s">
        <v>1516</v>
      </c>
      <c r="C475" t="s">
        <v>1517</v>
      </c>
      <c r="D475" t="s">
        <v>1518</v>
      </c>
      <c r="K475" t="str">
        <f>T("172.844")</f>
        <v>172.844</v>
      </c>
      <c r="L475" t="str">
        <f>T("176.170")</f>
        <v>176.170</v>
      </c>
      <c r="M475" t="str">
        <f>T("177.1200")</f>
        <v>177.1200</v>
      </c>
    </row>
    <row r="476" spans="1:37" x14ac:dyDescent="0.3">
      <c r="A476" t="s">
        <v>1519</v>
      </c>
      <c r="B476" t="s">
        <v>1520</v>
      </c>
      <c r="C476" t="s">
        <v>1521</v>
      </c>
      <c r="D476" t="s">
        <v>15</v>
      </c>
      <c r="K476" t="str">
        <f>T("172.510")</f>
        <v>172.510</v>
      </c>
    </row>
    <row r="477" spans="1:37" x14ac:dyDescent="0.3">
      <c r="A477" t="s">
        <v>1522</v>
      </c>
      <c r="B477" t="s">
        <v>1523</v>
      </c>
      <c r="C477" t="s">
        <v>1524</v>
      </c>
      <c r="D477" t="s">
        <v>7</v>
      </c>
      <c r="K477" t="str">
        <f>T("172.510")</f>
        <v>172.510</v>
      </c>
    </row>
    <row r="478" spans="1:37" x14ac:dyDescent="0.3">
      <c r="A478" t="s">
        <v>1525</v>
      </c>
      <c r="B478" t="s">
        <v>1526</v>
      </c>
      <c r="C478" t="s">
        <v>1527</v>
      </c>
      <c r="D478" t="s">
        <v>286</v>
      </c>
      <c r="K478" t="str">
        <f>T("172.515")</f>
        <v>172.515</v>
      </c>
      <c r="AG478" t="str">
        <f>T("2229")</f>
        <v>2229</v>
      </c>
      <c r="AH478" t="str">
        <f>T("3")</f>
        <v>3</v>
      </c>
      <c r="AI478" t="str">
        <f>T("25")</f>
        <v>25</v>
      </c>
      <c r="AK478" t="str">
        <f>T("1323")</f>
        <v>1323</v>
      </c>
    </row>
    <row r="479" spans="1:37" x14ac:dyDescent="0.3">
      <c r="A479" t="s">
        <v>1528</v>
      </c>
      <c r="B479" t="s">
        <v>1529</v>
      </c>
      <c r="C479" t="s">
        <v>1530</v>
      </c>
      <c r="D479" t="s">
        <v>7</v>
      </c>
      <c r="AG479" t="str">
        <f>T("3657")</f>
        <v>3657</v>
      </c>
      <c r="AH479" t="str">
        <f>T("13")</f>
        <v>13</v>
      </c>
      <c r="AI479" t="str">
        <f>T("25")</f>
        <v>25</v>
      </c>
      <c r="AK479" t="str">
        <f>T("969")</f>
        <v>969</v>
      </c>
    </row>
    <row r="480" spans="1:37" x14ac:dyDescent="0.3">
      <c r="A480" t="s">
        <v>1531</v>
      </c>
      <c r="B480" t="s">
        <v>1532</v>
      </c>
      <c r="C480" t="s">
        <v>1533</v>
      </c>
      <c r="D480" t="s">
        <v>7</v>
      </c>
      <c r="AG480" t="str">
        <f>T("3741")</f>
        <v>3741</v>
      </c>
      <c r="AH480" t="str">
        <f>T("14")</f>
        <v>14</v>
      </c>
      <c r="AK480" t="str">
        <f>T("970")</f>
        <v>970</v>
      </c>
    </row>
    <row r="481" spans="1:37" x14ac:dyDescent="0.3">
      <c r="A481" t="s">
        <v>1534</v>
      </c>
      <c r="B481" t="s">
        <v>1535</v>
      </c>
      <c r="C481" t="s">
        <v>1536</v>
      </c>
      <c r="D481" t="s">
        <v>1537</v>
      </c>
      <c r="K481" t="str">
        <f>T("172.515")</f>
        <v>172.515</v>
      </c>
      <c r="AG481" t="str">
        <f>T("2230")</f>
        <v>2230</v>
      </c>
      <c r="AH481" t="str">
        <f>T("3")</f>
        <v>3</v>
      </c>
      <c r="AI481" t="str">
        <f>T("25")</f>
        <v>25</v>
      </c>
      <c r="AK481" t="str">
        <f>T("1395")</f>
        <v>1395</v>
      </c>
    </row>
    <row r="482" spans="1:37" x14ac:dyDescent="0.3">
      <c r="A482" t="s">
        <v>1538</v>
      </c>
      <c r="B482" t="s">
        <v>1539</v>
      </c>
      <c r="C482" t="s">
        <v>1540</v>
      </c>
      <c r="D482" t="s">
        <v>1537</v>
      </c>
      <c r="K482" t="str">
        <f>T("172.510")</f>
        <v>172.510</v>
      </c>
      <c r="AG482" t="str">
        <f>T("2231")</f>
        <v>2231</v>
      </c>
      <c r="AH482" t="str">
        <f>T("3")</f>
        <v>3</v>
      </c>
    </row>
    <row r="483" spans="1:37" x14ac:dyDescent="0.3">
      <c r="A483" t="s">
        <v>1541</v>
      </c>
      <c r="B483" t="s">
        <v>1542</v>
      </c>
      <c r="C483" t="s">
        <v>1543</v>
      </c>
      <c r="D483" t="s">
        <v>7</v>
      </c>
    </row>
    <row r="484" spans="1:37" x14ac:dyDescent="0.3">
      <c r="A484" t="s">
        <v>1544</v>
      </c>
      <c r="B484" t="s">
        <v>1545</v>
      </c>
      <c r="C484" t="s">
        <v>1546</v>
      </c>
      <c r="D484" t="s">
        <v>286</v>
      </c>
      <c r="K484" t="str">
        <f>T("182.20")</f>
        <v>182.20</v>
      </c>
      <c r="AG484" t="str">
        <f>T("2232")</f>
        <v>2232</v>
      </c>
      <c r="AH484" t="str">
        <f>T("3")</f>
        <v>3</v>
      </c>
    </row>
    <row r="485" spans="1:37" x14ac:dyDescent="0.3">
      <c r="A485" t="s">
        <v>1547</v>
      </c>
      <c r="B485" t="s">
        <v>1548</v>
      </c>
      <c r="C485" t="s">
        <v>1549</v>
      </c>
      <c r="D485" t="s">
        <v>1550</v>
      </c>
      <c r="K485" t="str">
        <f>T("175.105")</f>
        <v>175.105</v>
      </c>
      <c r="L485" t="str">
        <f>T("175.320")</f>
        <v>175.320</v>
      </c>
      <c r="M485" t="str">
        <f>T("176.180")</f>
        <v>176.180</v>
      </c>
      <c r="N485" t="str">
        <f>T("184.1976")</f>
        <v>184.1976</v>
      </c>
      <c r="AG485" t="str">
        <f>T("3479")</f>
        <v>3479</v>
      </c>
      <c r="AH485" t="str">
        <f>T("10")</f>
        <v>10</v>
      </c>
    </row>
    <row r="486" spans="1:37" x14ac:dyDescent="0.3">
      <c r="A486" t="s">
        <v>1551</v>
      </c>
      <c r="B486" t="s">
        <v>1552</v>
      </c>
      <c r="C486" t="s">
        <v>1553</v>
      </c>
      <c r="D486" t="s">
        <v>199</v>
      </c>
      <c r="K486" t="str">
        <f>T("173.160")</f>
        <v>173.160</v>
      </c>
    </row>
    <row r="487" spans="1:37" x14ac:dyDescent="0.3">
      <c r="A487" t="s">
        <v>1554</v>
      </c>
      <c r="B487" t="s">
        <v>1555</v>
      </c>
      <c r="C487" t="s">
        <v>1556</v>
      </c>
      <c r="K487" t="str">
        <f>T("173.165")</f>
        <v>173.165</v>
      </c>
    </row>
    <row r="488" spans="1:37" x14ac:dyDescent="0.3">
      <c r="A488" t="s">
        <v>1557</v>
      </c>
      <c r="B488" t="s">
        <v>1558</v>
      </c>
      <c r="C488" t="s">
        <v>1559</v>
      </c>
      <c r="D488" t="s">
        <v>606</v>
      </c>
      <c r="E488" t="str">
        <f>T("73.1075")</f>
        <v>73.1075</v>
      </c>
      <c r="F488" t="str">
        <f>T("73.75")</f>
        <v>73.75</v>
      </c>
    </row>
    <row r="489" spans="1:37" x14ac:dyDescent="0.3">
      <c r="A489" t="s">
        <v>1560</v>
      </c>
      <c r="B489" t="s">
        <v>1561</v>
      </c>
      <c r="C489" t="s">
        <v>1562</v>
      </c>
      <c r="D489" t="s">
        <v>15</v>
      </c>
      <c r="K489" t="str">
        <f>T("182.10")</f>
        <v>182.10</v>
      </c>
    </row>
    <row r="490" spans="1:37" x14ac:dyDescent="0.3">
      <c r="A490" t="s">
        <v>1563</v>
      </c>
      <c r="B490" t="s">
        <v>1564</v>
      </c>
      <c r="C490" t="s">
        <v>1565</v>
      </c>
      <c r="D490" t="s">
        <v>7</v>
      </c>
      <c r="K490" t="str">
        <f>T("176.180")</f>
        <v>176.180</v>
      </c>
      <c r="L490" t="str">
        <f>T("177.1200")</f>
        <v>177.1200</v>
      </c>
      <c r="M490" t="str">
        <f>T("177.1500")</f>
        <v>177.1500</v>
      </c>
      <c r="AG490" t="str">
        <f>T("4235")</f>
        <v>4235</v>
      </c>
      <c r="AH490" t="str">
        <f>T("22")</f>
        <v>22</v>
      </c>
      <c r="AK490" t="str">
        <f>T("1594")</f>
        <v>1594</v>
      </c>
    </row>
    <row r="491" spans="1:37" x14ac:dyDescent="0.3">
      <c r="A491" t="s">
        <v>1566</v>
      </c>
      <c r="B491" t="s">
        <v>1567</v>
      </c>
      <c r="C491" t="s">
        <v>1568</v>
      </c>
      <c r="D491" t="s">
        <v>1537</v>
      </c>
      <c r="E491" t="str">
        <f>T("73.340")</f>
        <v>73.340</v>
      </c>
      <c r="K491" t="str">
        <f>T("182.10")</f>
        <v>182.10</v>
      </c>
      <c r="AF491" t="str">
        <f>T("101.22")</f>
        <v>101.22</v>
      </c>
    </row>
    <row r="492" spans="1:37" x14ac:dyDescent="0.3">
      <c r="A492" t="s">
        <v>1569</v>
      </c>
      <c r="B492" t="s">
        <v>1570</v>
      </c>
      <c r="C492" t="s">
        <v>1571</v>
      </c>
      <c r="D492" t="s">
        <v>7</v>
      </c>
      <c r="K492" t="str">
        <f>T("182.20")</f>
        <v>182.20</v>
      </c>
      <c r="AG492" t="str">
        <f>T("2233")</f>
        <v>2233</v>
      </c>
      <c r="AH492" t="str">
        <f t="shared" ref="AH492:AH497" si="8">T("3")</f>
        <v>3</v>
      </c>
    </row>
    <row r="493" spans="1:37" x14ac:dyDescent="0.3">
      <c r="A493" t="s">
        <v>1572</v>
      </c>
      <c r="B493" t="s">
        <v>1573</v>
      </c>
      <c r="C493" t="s">
        <v>1574</v>
      </c>
      <c r="D493" t="s">
        <v>286</v>
      </c>
      <c r="E493" t="str">
        <f>T("73.345")</f>
        <v>73.345</v>
      </c>
      <c r="K493" t="str">
        <f>T("182.20")</f>
        <v>182.20</v>
      </c>
      <c r="AG493" t="str">
        <f>T("2234")</f>
        <v>2234</v>
      </c>
      <c r="AH493" t="str">
        <f t="shared" si="8"/>
        <v>3</v>
      </c>
      <c r="AI493" t="str">
        <f>T("25")</f>
        <v>25</v>
      </c>
    </row>
    <row r="494" spans="1:37" x14ac:dyDescent="0.3">
      <c r="A494" t="s">
        <v>1575</v>
      </c>
      <c r="B494" t="s">
        <v>1576</v>
      </c>
      <c r="C494" t="s">
        <v>1577</v>
      </c>
      <c r="D494" t="s">
        <v>1578</v>
      </c>
      <c r="E494" t="str">
        <f>T("73.1085")</f>
        <v>73.1085</v>
      </c>
      <c r="F494" t="str">
        <f>T("73.2085")</f>
        <v>73.2085</v>
      </c>
      <c r="G494" t="str">
        <f>T("73.85")</f>
        <v>73.85</v>
      </c>
      <c r="K494" t="str">
        <f>T("182.1235")</f>
        <v>182.1235</v>
      </c>
      <c r="AG494" t="str">
        <f>T("2235")</f>
        <v>2235</v>
      </c>
      <c r="AH494" t="str">
        <f t="shared" si="8"/>
        <v>3</v>
      </c>
    </row>
    <row r="495" spans="1:37" x14ac:dyDescent="0.3">
      <c r="A495" t="s">
        <v>1579</v>
      </c>
      <c r="B495" t="s">
        <v>1580</v>
      </c>
      <c r="C495" t="s">
        <v>1581</v>
      </c>
      <c r="D495" t="s">
        <v>7</v>
      </c>
      <c r="K495" t="str">
        <f>T("182.10")</f>
        <v>182.10</v>
      </c>
      <c r="AF495" t="s">
        <v>1582</v>
      </c>
      <c r="AG495" t="str">
        <f>T("2236")</f>
        <v>2236</v>
      </c>
      <c r="AH495" t="str">
        <f t="shared" si="8"/>
        <v>3</v>
      </c>
    </row>
    <row r="496" spans="1:37" x14ac:dyDescent="0.3">
      <c r="A496" t="s">
        <v>1583</v>
      </c>
      <c r="B496" t="s">
        <v>1584</v>
      </c>
      <c r="C496" t="s">
        <v>1585</v>
      </c>
      <c r="D496" t="s">
        <v>7</v>
      </c>
      <c r="K496" t="str">
        <f>T("182.10")</f>
        <v>182.10</v>
      </c>
      <c r="AG496" t="str">
        <f>T("2237")</f>
        <v>2237</v>
      </c>
      <c r="AH496" t="str">
        <f t="shared" si="8"/>
        <v>3</v>
      </c>
    </row>
    <row r="497" spans="1:37" x14ac:dyDescent="0.3">
      <c r="A497" t="s">
        <v>1586</v>
      </c>
      <c r="B497" t="s">
        <v>1587</v>
      </c>
      <c r="C497" t="s">
        <v>1588</v>
      </c>
      <c r="D497" t="s">
        <v>7</v>
      </c>
      <c r="K497" t="str">
        <f>T("182.20")</f>
        <v>182.20</v>
      </c>
      <c r="AG497" t="str">
        <f>T("2238")</f>
        <v>2238</v>
      </c>
      <c r="AH497" t="str">
        <f t="shared" si="8"/>
        <v>3</v>
      </c>
    </row>
    <row r="498" spans="1:37" x14ac:dyDescent="0.3">
      <c r="A498" t="s">
        <v>1589</v>
      </c>
      <c r="B498" t="s">
        <v>1590</v>
      </c>
      <c r="C498" t="s">
        <v>1591</v>
      </c>
      <c r="D498" t="s">
        <v>199</v>
      </c>
      <c r="K498" t="str">
        <f>T("173.120")</f>
        <v>173.120</v>
      </c>
    </row>
    <row r="499" spans="1:37" x14ac:dyDescent="0.3">
      <c r="A499" t="s">
        <v>1592</v>
      </c>
      <c r="B499" t="s">
        <v>1593</v>
      </c>
      <c r="C499" t="s">
        <v>1594</v>
      </c>
      <c r="D499" t="s">
        <v>74</v>
      </c>
    </row>
    <row r="500" spans="1:37" x14ac:dyDescent="0.3">
      <c r="A500" t="s">
        <v>1595</v>
      </c>
      <c r="B500" t="s">
        <v>1596</v>
      </c>
      <c r="C500" t="s">
        <v>1597</v>
      </c>
    </row>
    <row r="501" spans="1:37" x14ac:dyDescent="0.3">
      <c r="A501" t="s">
        <v>1598</v>
      </c>
      <c r="B501" t="s">
        <v>1599</v>
      </c>
      <c r="C501" t="s">
        <v>1600</v>
      </c>
      <c r="D501" t="s">
        <v>74</v>
      </c>
      <c r="K501" t="str">
        <f>T("184.1148")</f>
        <v>184.1148</v>
      </c>
    </row>
    <row r="502" spans="1:37" x14ac:dyDescent="0.3">
      <c r="A502" t="s">
        <v>1601</v>
      </c>
      <c r="B502" t="s">
        <v>1602</v>
      </c>
      <c r="C502" t="s">
        <v>1603</v>
      </c>
      <c r="D502" t="s">
        <v>74</v>
      </c>
    </row>
    <row r="503" spans="1:37" x14ac:dyDescent="0.3">
      <c r="A503" t="s">
        <v>1604</v>
      </c>
      <c r="B503" t="s">
        <v>1605</v>
      </c>
      <c r="C503" t="s">
        <v>1606</v>
      </c>
      <c r="D503" t="s">
        <v>74</v>
      </c>
      <c r="K503" t="str">
        <f>T("184.1148")</f>
        <v>184.1148</v>
      </c>
    </row>
    <row r="504" spans="1:37" x14ac:dyDescent="0.3">
      <c r="A504" t="s">
        <v>1607</v>
      </c>
      <c r="B504" t="s">
        <v>1608</v>
      </c>
      <c r="C504" t="s">
        <v>1609</v>
      </c>
      <c r="D504" t="s">
        <v>199</v>
      </c>
      <c r="K504" t="str">
        <f>T("173.130")</f>
        <v>173.130</v>
      </c>
    </row>
    <row r="505" spans="1:37" x14ac:dyDescent="0.3">
      <c r="A505" t="s">
        <v>1610</v>
      </c>
      <c r="B505" t="s">
        <v>1611</v>
      </c>
      <c r="C505" t="s">
        <v>1612</v>
      </c>
      <c r="D505" t="s">
        <v>74</v>
      </c>
    </row>
    <row r="506" spans="1:37" x14ac:dyDescent="0.3">
      <c r="A506" t="s">
        <v>1613</v>
      </c>
      <c r="B506" t="s">
        <v>1614</v>
      </c>
      <c r="C506" t="s">
        <v>1615</v>
      </c>
      <c r="D506" t="s">
        <v>74</v>
      </c>
      <c r="K506" t="str">
        <f>T("184.1027")</f>
        <v>184.1027</v>
      </c>
    </row>
    <row r="507" spans="1:37" x14ac:dyDescent="0.3">
      <c r="A507" t="s">
        <v>1616</v>
      </c>
      <c r="B507" t="s">
        <v>1617</v>
      </c>
      <c r="C507" t="s">
        <v>1618</v>
      </c>
      <c r="D507" t="s">
        <v>1619</v>
      </c>
      <c r="K507" t="str">
        <f>T("175.105")</f>
        <v>175.105</v>
      </c>
      <c r="L507" t="str">
        <f>T("175.300")</f>
        <v>175.300</v>
      </c>
      <c r="M507" t="str">
        <f>T("182.70")</f>
        <v>182.70</v>
      </c>
      <c r="AG507" t="str">
        <f>T("2239")</f>
        <v>2239</v>
      </c>
      <c r="AH507" t="str">
        <f>T("3")</f>
        <v>3</v>
      </c>
    </row>
    <row r="508" spans="1:37" x14ac:dyDescent="0.3">
      <c r="A508" t="s">
        <v>1620</v>
      </c>
      <c r="B508" t="s">
        <v>1621</v>
      </c>
      <c r="C508" t="s">
        <v>1622</v>
      </c>
      <c r="D508" t="s">
        <v>1623</v>
      </c>
      <c r="K508" t="str">
        <f>T("177.1200")</f>
        <v>177.1200</v>
      </c>
    </row>
    <row r="509" spans="1:37" x14ac:dyDescent="0.3">
      <c r="A509" t="s">
        <v>1624</v>
      </c>
      <c r="B509" t="s">
        <v>1625</v>
      </c>
      <c r="C509" t="s">
        <v>1626</v>
      </c>
      <c r="D509" t="s">
        <v>7</v>
      </c>
      <c r="K509" t="str">
        <f>T("182.10")</f>
        <v>182.10</v>
      </c>
      <c r="AF509" t="str">
        <f>T("101.22")</f>
        <v>101.22</v>
      </c>
      <c r="AG509" t="str">
        <f>T("2240")</f>
        <v>2240</v>
      </c>
      <c r="AH509" t="str">
        <f>T("3")</f>
        <v>3</v>
      </c>
    </row>
    <row r="510" spans="1:37" x14ac:dyDescent="0.3">
      <c r="A510" t="s">
        <v>1627</v>
      </c>
      <c r="B510" t="s">
        <v>1628</v>
      </c>
      <c r="C510" t="s">
        <v>1629</v>
      </c>
      <c r="D510" t="s">
        <v>7</v>
      </c>
      <c r="K510" t="str">
        <f>T("182.20")</f>
        <v>182.20</v>
      </c>
    </row>
    <row r="511" spans="1:37" x14ac:dyDescent="0.3">
      <c r="A511" t="s">
        <v>1630</v>
      </c>
      <c r="B511" t="s">
        <v>1631</v>
      </c>
      <c r="C511" t="s">
        <v>1632</v>
      </c>
      <c r="D511" t="s">
        <v>7</v>
      </c>
      <c r="K511" t="str">
        <f>T("182.20")</f>
        <v>182.20</v>
      </c>
      <c r="AG511" t="str">
        <f>T("2241")</f>
        <v>2241</v>
      </c>
      <c r="AH511" t="str">
        <f>T("3")</f>
        <v>3</v>
      </c>
      <c r="AI511" t="str">
        <f>T("23")</f>
        <v>23</v>
      </c>
    </row>
    <row r="512" spans="1:37" x14ac:dyDescent="0.3">
      <c r="A512" t="s">
        <v>1633</v>
      </c>
      <c r="B512" t="s">
        <v>1634</v>
      </c>
      <c r="C512" t="s">
        <v>1635</v>
      </c>
      <c r="D512" t="s">
        <v>7</v>
      </c>
      <c r="AG512" t="str">
        <f>T("3821")</f>
        <v>3821</v>
      </c>
      <c r="AH512" t="str">
        <f>T("18")</f>
        <v>18</v>
      </c>
      <c r="AI512" t="str">
        <f>T("25")</f>
        <v>25</v>
      </c>
      <c r="AK512" t="str">
        <f>T("1342")</f>
        <v>1342</v>
      </c>
    </row>
    <row r="513" spans="1:34" x14ac:dyDescent="0.3">
      <c r="A513" t="s">
        <v>1636</v>
      </c>
      <c r="B513" t="s">
        <v>1637</v>
      </c>
      <c r="C513" t="s">
        <v>1638</v>
      </c>
      <c r="D513" t="s">
        <v>286</v>
      </c>
      <c r="E513" t="str">
        <f>T("73.100")</f>
        <v>73.100</v>
      </c>
      <c r="F513" t="str">
        <f>T("73.1100")</f>
        <v>73.1100</v>
      </c>
      <c r="G513" t="str">
        <f>T("73.2087")</f>
        <v>73.2087</v>
      </c>
      <c r="AG513" t="str">
        <f>T("2242")</f>
        <v>2242</v>
      </c>
      <c r="AH513" t="str">
        <f>T("3")</f>
        <v>3</v>
      </c>
    </row>
    <row r="514" spans="1:34" x14ac:dyDescent="0.3">
      <c r="A514" t="s">
        <v>1639</v>
      </c>
      <c r="B514" t="s">
        <v>1640</v>
      </c>
      <c r="C514" t="s">
        <v>1641</v>
      </c>
      <c r="D514" t="s">
        <v>1642</v>
      </c>
      <c r="K514" t="str">
        <f>T("175.320")</f>
        <v>175.320</v>
      </c>
      <c r="L514" t="str">
        <f>T("184.1978")</f>
        <v>184.1978</v>
      </c>
    </row>
    <row r="515" spans="1:34" x14ac:dyDescent="0.3">
      <c r="A515" t="s">
        <v>1643</v>
      </c>
      <c r="B515" t="s">
        <v>1644</v>
      </c>
      <c r="C515" t="s">
        <v>1645</v>
      </c>
      <c r="D515" t="s">
        <v>137</v>
      </c>
    </row>
    <row r="516" spans="1:34" x14ac:dyDescent="0.3">
      <c r="A516" t="s">
        <v>1646</v>
      </c>
      <c r="B516" t="s">
        <v>1647</v>
      </c>
      <c r="C516" t="s">
        <v>1648</v>
      </c>
      <c r="D516" t="s">
        <v>7</v>
      </c>
      <c r="K516" t="str">
        <f>T("182.20")</f>
        <v>182.20</v>
      </c>
      <c r="AG516" t="str">
        <f>T("2243")</f>
        <v>2243</v>
      </c>
      <c r="AH516" t="str">
        <f>T("3")</f>
        <v>3</v>
      </c>
    </row>
    <row r="517" spans="1:34" x14ac:dyDescent="0.3">
      <c r="A517" t="s">
        <v>1649</v>
      </c>
      <c r="B517" t="s">
        <v>1650</v>
      </c>
      <c r="C517" t="s">
        <v>1651</v>
      </c>
      <c r="D517" t="s">
        <v>1652</v>
      </c>
      <c r="E517" t="str">
        <f>T("73.1095")</f>
        <v>73.1095</v>
      </c>
      <c r="F517" t="str">
        <f>T("73.2095")</f>
        <v>73.2095</v>
      </c>
      <c r="G517" t="str">
        <f>T("73.95")</f>
        <v>73.95</v>
      </c>
      <c r="K517" t="str">
        <f>T("184.1245")</f>
        <v>184.1245</v>
      </c>
      <c r="AF517" t="s">
        <v>1653</v>
      </c>
    </row>
    <row r="518" spans="1:34" x14ac:dyDescent="0.3">
      <c r="A518" t="s">
        <v>1654</v>
      </c>
      <c r="B518" t="s">
        <v>1655</v>
      </c>
      <c r="C518" t="s">
        <v>1656</v>
      </c>
      <c r="D518" t="s">
        <v>1623</v>
      </c>
      <c r="K518" t="str">
        <f>T("172.626")</f>
        <v>172.626</v>
      </c>
    </row>
    <row r="519" spans="1:34" x14ac:dyDescent="0.3">
      <c r="A519" t="s">
        <v>1657</v>
      </c>
      <c r="B519" t="s">
        <v>1658</v>
      </c>
      <c r="C519" t="s">
        <v>1659</v>
      </c>
      <c r="D519" t="s">
        <v>1623</v>
      </c>
    </row>
    <row r="520" spans="1:34" x14ac:dyDescent="0.3">
      <c r="A520" t="s">
        <v>1660</v>
      </c>
      <c r="B520" t="s">
        <v>1661</v>
      </c>
      <c r="C520" t="s">
        <v>1662</v>
      </c>
      <c r="D520" t="s">
        <v>1623</v>
      </c>
      <c r="K520" t="str">
        <f>T("172.626")</f>
        <v>172.626</v>
      </c>
    </row>
    <row r="521" spans="1:34" x14ac:dyDescent="0.3">
      <c r="A521" t="s">
        <v>1663</v>
      </c>
      <c r="B521" t="s">
        <v>1664</v>
      </c>
      <c r="C521" t="s">
        <v>1665</v>
      </c>
      <c r="D521" t="s">
        <v>1623</v>
      </c>
    </row>
    <row r="522" spans="1:34" x14ac:dyDescent="0.3">
      <c r="A522" t="s">
        <v>1666</v>
      </c>
      <c r="B522" t="s">
        <v>1667</v>
      </c>
      <c r="C522" t="s">
        <v>1668</v>
      </c>
      <c r="D522" t="s">
        <v>1623</v>
      </c>
      <c r="K522" t="str">
        <f>T("172.626")</f>
        <v>172.626</v>
      </c>
    </row>
    <row r="523" spans="1:34" x14ac:dyDescent="0.3">
      <c r="A523" t="s">
        <v>1669</v>
      </c>
      <c r="B523" t="s">
        <v>1670</v>
      </c>
      <c r="C523" t="s">
        <v>1671</v>
      </c>
      <c r="D523" t="s">
        <v>1623</v>
      </c>
    </row>
    <row r="524" spans="1:34" x14ac:dyDescent="0.3">
      <c r="A524" t="s">
        <v>1672</v>
      </c>
      <c r="B524" t="s">
        <v>1673</v>
      </c>
      <c r="C524" t="s">
        <v>1674</v>
      </c>
      <c r="D524" t="s">
        <v>1675</v>
      </c>
      <c r="K524" t="str">
        <f>T("172.623")</f>
        <v>172.623</v>
      </c>
    </row>
    <row r="525" spans="1:34" x14ac:dyDescent="0.3">
      <c r="A525" t="s">
        <v>1676</v>
      </c>
      <c r="B525" t="s">
        <v>1677</v>
      </c>
      <c r="C525" t="s">
        <v>1678</v>
      </c>
      <c r="D525" t="s">
        <v>1679</v>
      </c>
      <c r="K525" t="str">
        <f>T("172.626")</f>
        <v>172.626</v>
      </c>
    </row>
    <row r="526" spans="1:34" x14ac:dyDescent="0.3">
      <c r="A526" t="s">
        <v>1680</v>
      </c>
      <c r="B526" t="s">
        <v>1681</v>
      </c>
      <c r="C526" t="s">
        <v>1682</v>
      </c>
      <c r="D526" t="s">
        <v>1623</v>
      </c>
    </row>
    <row r="527" spans="1:34" x14ac:dyDescent="0.3">
      <c r="A527" t="s">
        <v>1683</v>
      </c>
      <c r="B527" t="s">
        <v>1684</v>
      </c>
      <c r="C527" t="s">
        <v>1685</v>
      </c>
      <c r="D527" t="s">
        <v>1623</v>
      </c>
      <c r="K527" t="str">
        <f>T("172.623")</f>
        <v>172.623</v>
      </c>
    </row>
    <row r="528" spans="1:34" x14ac:dyDescent="0.3">
      <c r="A528" t="s">
        <v>1686</v>
      </c>
      <c r="B528" t="s">
        <v>1687</v>
      </c>
      <c r="C528" t="s">
        <v>1688</v>
      </c>
      <c r="D528" t="s">
        <v>286</v>
      </c>
      <c r="E528" t="str">
        <f>T("73.300")</f>
        <v>73.300</v>
      </c>
      <c r="K528" t="str">
        <f>T("182.20")</f>
        <v>182.20</v>
      </c>
      <c r="AG528" t="str">
        <f>T("2244")</f>
        <v>2244</v>
      </c>
      <c r="AH528" t="str">
        <f>T("3")</f>
        <v>3</v>
      </c>
    </row>
    <row r="529" spans="1:37" x14ac:dyDescent="0.3">
      <c r="A529" t="s">
        <v>1689</v>
      </c>
      <c r="B529" t="s">
        <v>1690</v>
      </c>
      <c r="C529" t="s">
        <v>1691</v>
      </c>
      <c r="D529" t="s">
        <v>7</v>
      </c>
      <c r="K529" t="str">
        <f>T("172.515")</f>
        <v>172.515</v>
      </c>
      <c r="AG529" t="str">
        <f>T("2245")</f>
        <v>2245</v>
      </c>
      <c r="AH529" t="str">
        <f>T("3")</f>
        <v>3</v>
      </c>
      <c r="AK529" t="str">
        <f>T("710")</f>
        <v>710</v>
      </c>
    </row>
    <row r="530" spans="1:37" x14ac:dyDescent="0.3">
      <c r="A530" t="s">
        <v>1692</v>
      </c>
      <c r="B530" t="s">
        <v>1693</v>
      </c>
      <c r="C530" t="s">
        <v>1694</v>
      </c>
      <c r="D530" t="s">
        <v>15</v>
      </c>
      <c r="K530" t="str">
        <f>T("172.515")</f>
        <v>172.515</v>
      </c>
      <c r="AG530" t="str">
        <f>T("2246")</f>
        <v>2246</v>
      </c>
      <c r="AH530" t="str">
        <f>T("3")</f>
        <v>3</v>
      </c>
      <c r="AK530" t="str">
        <f>T("1247")</f>
        <v>1247</v>
      </c>
    </row>
    <row r="531" spans="1:37" x14ac:dyDescent="0.3">
      <c r="A531" t="s">
        <v>1695</v>
      </c>
      <c r="B531" t="s">
        <v>1696</v>
      </c>
      <c r="C531" t="s">
        <v>1697</v>
      </c>
      <c r="D531" t="s">
        <v>15</v>
      </c>
      <c r="K531" t="str">
        <f>T("172.515")</f>
        <v>172.515</v>
      </c>
      <c r="AG531" t="str">
        <f>T("2247")</f>
        <v>2247</v>
      </c>
      <c r="AH531" t="str">
        <f>T("3")</f>
        <v>3</v>
      </c>
      <c r="AK531" t="str">
        <f>T("381")</f>
        <v>381</v>
      </c>
    </row>
    <row r="532" spans="1:37" x14ac:dyDescent="0.3">
      <c r="A532" t="s">
        <v>1698</v>
      </c>
      <c r="B532" t="s">
        <v>1699</v>
      </c>
      <c r="C532" t="s">
        <v>1700</v>
      </c>
      <c r="D532" t="s">
        <v>15</v>
      </c>
      <c r="K532" t="str">
        <f>T("172.515")</f>
        <v>172.515</v>
      </c>
      <c r="AG532" t="str">
        <f>T("2248")</f>
        <v>2248</v>
      </c>
      <c r="AH532" t="str">
        <f>T("3")</f>
        <v>3</v>
      </c>
      <c r="AI532" t="str">
        <f>T("25")</f>
        <v>25</v>
      </c>
      <c r="AK532" t="str">
        <f>T("439")</f>
        <v>439</v>
      </c>
    </row>
    <row r="533" spans="1:37" x14ac:dyDescent="0.3">
      <c r="A533" t="s">
        <v>1701</v>
      </c>
      <c r="B533" t="s">
        <v>1702</v>
      </c>
      <c r="C533" t="s">
        <v>1703</v>
      </c>
      <c r="D533" t="s">
        <v>7</v>
      </c>
      <c r="AG533" t="str">
        <f>T("3562")</f>
        <v>3562</v>
      </c>
      <c r="AH533" t="str">
        <f>T("11")</f>
        <v>11</v>
      </c>
      <c r="AK533" t="str">
        <f>T("376")</f>
        <v>376</v>
      </c>
    </row>
    <row r="534" spans="1:37" x14ac:dyDescent="0.3">
      <c r="A534" t="s">
        <v>1704</v>
      </c>
      <c r="B534" t="s">
        <v>1705</v>
      </c>
      <c r="C534" t="s">
        <v>1706</v>
      </c>
      <c r="D534" t="s">
        <v>7</v>
      </c>
      <c r="K534" t="str">
        <f>T("182.60")</f>
        <v>182.60</v>
      </c>
      <c r="AG534" t="str">
        <f>T("2249")</f>
        <v>2249</v>
      </c>
      <c r="AH534" t="str">
        <f>T("3")</f>
        <v>3</v>
      </c>
      <c r="AI534" t="str">
        <f>T("26")</f>
        <v>26</v>
      </c>
      <c r="AK534" t="str">
        <f>T("380")</f>
        <v>380</v>
      </c>
    </row>
    <row r="535" spans="1:37" x14ac:dyDescent="0.3">
      <c r="A535" t="s">
        <v>1707</v>
      </c>
      <c r="B535" t="s">
        <v>1708</v>
      </c>
      <c r="C535" t="s">
        <v>1709</v>
      </c>
      <c r="D535" t="s">
        <v>7</v>
      </c>
      <c r="K535" t="str">
        <f>T("172.515")</f>
        <v>172.515</v>
      </c>
      <c r="AG535" t="str">
        <f>T("4084")</f>
        <v>4084</v>
      </c>
      <c r="AH535" t="str">
        <f>T("22")</f>
        <v>22</v>
      </c>
      <c r="AK535" t="str">
        <f>T("1572")</f>
        <v>1572</v>
      </c>
    </row>
    <row r="536" spans="1:37" x14ac:dyDescent="0.3">
      <c r="A536" t="s">
        <v>1710</v>
      </c>
      <c r="B536" t="s">
        <v>1711</v>
      </c>
      <c r="C536" t="s">
        <v>1712</v>
      </c>
      <c r="D536" t="s">
        <v>15</v>
      </c>
      <c r="K536" t="str">
        <f>T("172.515")</f>
        <v>172.515</v>
      </c>
      <c r="AG536" t="str">
        <f>T("2250")</f>
        <v>2250</v>
      </c>
      <c r="AH536" t="str">
        <f>T("3")</f>
        <v>3</v>
      </c>
      <c r="AK536" t="str">
        <f>T("382")</f>
        <v>382</v>
      </c>
    </row>
    <row r="537" spans="1:37" x14ac:dyDescent="0.3">
      <c r="A537" t="s">
        <v>1713</v>
      </c>
      <c r="B537" t="s">
        <v>1714</v>
      </c>
      <c r="C537" t="s">
        <v>1715</v>
      </c>
      <c r="D537" t="s">
        <v>7</v>
      </c>
      <c r="AG537" t="str">
        <f>T("4515")</f>
        <v>4515</v>
      </c>
      <c r="AH537" t="str">
        <f>T("24")</f>
        <v>24</v>
      </c>
    </row>
    <row r="538" spans="1:37" x14ac:dyDescent="0.3">
      <c r="A538" t="s">
        <v>1716</v>
      </c>
      <c r="B538" t="s">
        <v>1717</v>
      </c>
      <c r="C538" t="s">
        <v>1718</v>
      </c>
      <c r="D538" t="s">
        <v>15</v>
      </c>
      <c r="K538" t="str">
        <f>T("172.515")</f>
        <v>172.515</v>
      </c>
      <c r="AG538" t="str">
        <f>T("2251")</f>
        <v>2251</v>
      </c>
      <c r="AH538" t="str">
        <f>T("3")</f>
        <v>3</v>
      </c>
      <c r="AI538" t="str">
        <f>T("25")</f>
        <v>25</v>
      </c>
      <c r="AK538" t="str">
        <f>T("383")</f>
        <v>383</v>
      </c>
    </row>
    <row r="539" spans="1:37" x14ac:dyDescent="0.3">
      <c r="A539" t="s">
        <v>1719</v>
      </c>
      <c r="B539" t="s">
        <v>1720</v>
      </c>
      <c r="C539" t="s">
        <v>1721</v>
      </c>
      <c r="D539" t="s">
        <v>286</v>
      </c>
      <c r="K539" t="str">
        <f>T("172.515")</f>
        <v>172.515</v>
      </c>
      <c r="AG539" t="str">
        <f>T("2252")</f>
        <v>2252</v>
      </c>
      <c r="AH539" t="str">
        <f>T("3")</f>
        <v>3</v>
      </c>
      <c r="AK539" t="str">
        <f>T("1324")</f>
        <v>1324</v>
      </c>
    </row>
    <row r="540" spans="1:37" x14ac:dyDescent="0.3">
      <c r="A540" t="s">
        <v>1722</v>
      </c>
      <c r="B540" t="s">
        <v>1723</v>
      </c>
      <c r="C540" t="s">
        <v>1724</v>
      </c>
      <c r="D540" t="s">
        <v>7</v>
      </c>
      <c r="K540" t="str">
        <f>T("172.515")</f>
        <v>172.515</v>
      </c>
      <c r="AG540" t="str">
        <f>T("4410")</f>
        <v>4410</v>
      </c>
      <c r="AH540" t="str">
        <f>T("23")</f>
        <v>23</v>
      </c>
      <c r="AK540" t="str">
        <f>T("2027")</f>
        <v>2027</v>
      </c>
    </row>
    <row r="541" spans="1:37" x14ac:dyDescent="0.3">
      <c r="A541" t="s">
        <v>1725</v>
      </c>
      <c r="B541" t="s">
        <v>1726</v>
      </c>
      <c r="C541" t="s">
        <v>1727</v>
      </c>
      <c r="D541" t="s">
        <v>15</v>
      </c>
      <c r="K541" t="str">
        <f>T("172.515")</f>
        <v>172.515</v>
      </c>
    </row>
    <row r="542" spans="1:37" x14ac:dyDescent="0.3">
      <c r="A542" t="s">
        <v>1728</v>
      </c>
      <c r="B542" t="s">
        <v>1729</v>
      </c>
      <c r="C542" t="s">
        <v>1730</v>
      </c>
    </row>
    <row r="543" spans="1:37" x14ac:dyDescent="0.3">
      <c r="A543" t="s">
        <v>1731</v>
      </c>
      <c r="B543" t="s">
        <v>1732</v>
      </c>
      <c r="C543" t="s">
        <v>1733</v>
      </c>
      <c r="D543" t="s">
        <v>7</v>
      </c>
    </row>
    <row r="544" spans="1:37" x14ac:dyDescent="0.3">
      <c r="A544" t="s">
        <v>1734</v>
      </c>
      <c r="B544" t="s">
        <v>1735</v>
      </c>
      <c r="C544" t="s">
        <v>1736</v>
      </c>
      <c r="D544" t="s">
        <v>15</v>
      </c>
      <c r="K544" t="str">
        <f>T("172.515")</f>
        <v>172.515</v>
      </c>
      <c r="AG544" t="str">
        <f>T("4085")</f>
        <v>4085</v>
      </c>
      <c r="AH544" t="str">
        <f>T("22")</f>
        <v>22</v>
      </c>
      <c r="AK544" t="str">
        <f>T("1575")</f>
        <v>1575</v>
      </c>
    </row>
    <row r="545" spans="1:34" x14ac:dyDescent="0.3">
      <c r="A545" t="s">
        <v>1737</v>
      </c>
      <c r="B545" t="s">
        <v>1738</v>
      </c>
      <c r="C545" t="s">
        <v>1739</v>
      </c>
      <c r="D545" t="s">
        <v>1537</v>
      </c>
      <c r="K545" t="str">
        <f>T("172.510")</f>
        <v>172.510</v>
      </c>
      <c r="AG545" t="str">
        <f>T("2253")</f>
        <v>2253</v>
      </c>
      <c r="AH545" t="str">
        <f>T("3")</f>
        <v>3</v>
      </c>
    </row>
    <row r="546" spans="1:34" x14ac:dyDescent="0.3">
      <c r="A546" t="s">
        <v>1740</v>
      </c>
      <c r="B546" t="s">
        <v>1741</v>
      </c>
      <c r="C546" t="s">
        <v>1742</v>
      </c>
      <c r="D546" t="s">
        <v>7</v>
      </c>
      <c r="K546" t="str">
        <f>T("182.20")</f>
        <v>182.20</v>
      </c>
      <c r="AG546" t="str">
        <f>T("2254")</f>
        <v>2254</v>
      </c>
      <c r="AH546" t="str">
        <f>T("3")</f>
        <v>3</v>
      </c>
    </row>
    <row r="547" spans="1:34" x14ac:dyDescent="0.3">
      <c r="A547" t="s">
        <v>1743</v>
      </c>
      <c r="B547" t="s">
        <v>1744</v>
      </c>
      <c r="C547" t="s">
        <v>1745</v>
      </c>
      <c r="D547" t="s">
        <v>7</v>
      </c>
      <c r="K547" t="str">
        <f>T("182.20")</f>
        <v>182.20</v>
      </c>
      <c r="AG547" t="str">
        <f>T("2255")</f>
        <v>2255</v>
      </c>
      <c r="AH547" t="str">
        <f>T("3")</f>
        <v>3</v>
      </c>
    </row>
    <row r="548" spans="1:34" x14ac:dyDescent="0.3">
      <c r="A548" t="s">
        <v>1746</v>
      </c>
      <c r="B548" t="s">
        <v>1747</v>
      </c>
      <c r="C548" t="s">
        <v>1748</v>
      </c>
      <c r="D548" t="s">
        <v>1749</v>
      </c>
      <c r="K548" t="str">
        <f>T("182.90")</f>
        <v>182.90</v>
      </c>
      <c r="AF548" t="s">
        <v>1750</v>
      </c>
    </row>
    <row r="549" spans="1:34" x14ac:dyDescent="0.3">
      <c r="A549" t="s">
        <v>1751</v>
      </c>
      <c r="B549" t="s">
        <v>1752</v>
      </c>
      <c r="C549" t="s">
        <v>1753</v>
      </c>
      <c r="D549" t="s">
        <v>7</v>
      </c>
      <c r="K549" t="str">
        <f>T("182.10")</f>
        <v>182.10</v>
      </c>
      <c r="L549" t="str">
        <f>T("182.20")</f>
        <v>182.20</v>
      </c>
      <c r="AG549" t="str">
        <f>T("2259")</f>
        <v>2259</v>
      </c>
      <c r="AH549" t="str">
        <f>T("3")</f>
        <v>3</v>
      </c>
    </row>
    <row r="550" spans="1:34" x14ac:dyDescent="0.3">
      <c r="A550" t="s">
        <v>1754</v>
      </c>
      <c r="B550" t="s">
        <v>1755</v>
      </c>
      <c r="C550" t="s">
        <v>1756</v>
      </c>
      <c r="D550" t="s">
        <v>15</v>
      </c>
      <c r="K550" t="str">
        <f>T("172.510")</f>
        <v>172.510</v>
      </c>
      <c r="AG550" t="str">
        <f>T("2260")</f>
        <v>2260</v>
      </c>
      <c r="AH550" t="str">
        <f>T("3")</f>
        <v>3</v>
      </c>
    </row>
    <row r="551" spans="1:34" x14ac:dyDescent="0.3">
      <c r="A551" t="s">
        <v>1757</v>
      </c>
      <c r="B551" t="s">
        <v>1758</v>
      </c>
      <c r="C551" t="s">
        <v>1759</v>
      </c>
      <c r="D551" t="s">
        <v>15</v>
      </c>
      <c r="K551" t="str">
        <f>T("182.50")</f>
        <v>182.50</v>
      </c>
      <c r="AG551" t="str">
        <f>T("2261")</f>
        <v>2261</v>
      </c>
      <c r="AH551" t="str">
        <f>T("3")</f>
        <v>3</v>
      </c>
    </row>
    <row r="552" spans="1:34" x14ac:dyDescent="0.3">
      <c r="A552" t="s">
        <v>1760</v>
      </c>
      <c r="B552" t="s">
        <v>1761</v>
      </c>
      <c r="C552" t="s">
        <v>1762</v>
      </c>
      <c r="D552" t="s">
        <v>15</v>
      </c>
      <c r="K552" t="str">
        <f>T("182.50")</f>
        <v>182.50</v>
      </c>
      <c r="AG552" t="str">
        <f>T("2262")</f>
        <v>2262</v>
      </c>
      <c r="AH552" t="str">
        <f>T("3")</f>
        <v>3</v>
      </c>
    </row>
    <row r="553" spans="1:34" x14ac:dyDescent="0.3">
      <c r="A553" t="s">
        <v>1763</v>
      </c>
      <c r="B553" t="s">
        <v>1764</v>
      </c>
      <c r="C553" t="s">
        <v>1765</v>
      </c>
      <c r="D553" t="s">
        <v>1766</v>
      </c>
      <c r="E553" t="str">
        <f>T("73.1")</f>
        <v>73.1</v>
      </c>
      <c r="K553" t="str">
        <f>T("172.510")</f>
        <v>172.510</v>
      </c>
      <c r="L553" t="str">
        <f>T("172.876")</f>
        <v>172.876</v>
      </c>
      <c r="M553" t="str">
        <f>T("175.105")</f>
        <v>175.105</v>
      </c>
      <c r="N553" t="str">
        <f>T("175.300")</f>
        <v>175.300</v>
      </c>
      <c r="O553" t="str">
        <f>T("176.210")</f>
        <v>176.210</v>
      </c>
      <c r="P553" t="str">
        <f>T("177.2600")</f>
        <v>177.2600</v>
      </c>
      <c r="Q553" t="str">
        <f>T("177.2800")</f>
        <v>177.2800</v>
      </c>
      <c r="R553" t="str">
        <f>T("178.3520")</f>
        <v>178.3520</v>
      </c>
      <c r="S553" t="str">
        <f>T("178.3910")</f>
        <v>178.3910</v>
      </c>
      <c r="AG553" t="str">
        <f>T("2263")</f>
        <v>2263</v>
      </c>
      <c r="AH553" t="str">
        <f>T("3")</f>
        <v>3</v>
      </c>
    </row>
    <row r="554" spans="1:34" x14ac:dyDescent="0.3">
      <c r="A554" t="s">
        <v>1767</v>
      </c>
      <c r="B554" t="s">
        <v>1768</v>
      </c>
      <c r="C554" t="s">
        <v>1769</v>
      </c>
      <c r="D554" t="s">
        <v>1770</v>
      </c>
      <c r="AF554" t="s">
        <v>1771</v>
      </c>
    </row>
    <row r="555" spans="1:34" x14ac:dyDescent="0.3">
      <c r="A555" t="s">
        <v>1772</v>
      </c>
      <c r="B555" t="s">
        <v>1773</v>
      </c>
      <c r="C555" t="s">
        <v>1774</v>
      </c>
      <c r="D555" t="s">
        <v>1770</v>
      </c>
      <c r="K555" t="str">
        <f>T("184.1034")</f>
        <v>184.1034</v>
      </c>
      <c r="AF555" t="s">
        <v>1775</v>
      </c>
    </row>
    <row r="556" spans="1:34" x14ac:dyDescent="0.3">
      <c r="A556" t="s">
        <v>1776</v>
      </c>
      <c r="B556" t="s">
        <v>1777</v>
      </c>
      <c r="C556" t="s">
        <v>1778</v>
      </c>
      <c r="D556" t="s">
        <v>1770</v>
      </c>
      <c r="AF556" t="s">
        <v>1771</v>
      </c>
    </row>
    <row r="557" spans="1:34" x14ac:dyDescent="0.3">
      <c r="A557" t="s">
        <v>1779</v>
      </c>
      <c r="B557" t="s">
        <v>1780</v>
      </c>
      <c r="C557" t="s">
        <v>1781</v>
      </c>
      <c r="D557" t="s">
        <v>15</v>
      </c>
      <c r="K557" t="str">
        <f>T("172.510")</f>
        <v>172.510</v>
      </c>
      <c r="AG557" t="str">
        <f>T("2264")</f>
        <v>2264</v>
      </c>
      <c r="AH557" t="str">
        <f>T("3")</f>
        <v>3</v>
      </c>
    </row>
    <row r="558" spans="1:34" x14ac:dyDescent="0.3">
      <c r="A558" t="s">
        <v>1782</v>
      </c>
      <c r="B558" t="s">
        <v>1783</v>
      </c>
      <c r="C558" t="s">
        <v>1784</v>
      </c>
      <c r="D558" t="s">
        <v>1537</v>
      </c>
      <c r="K558" t="str">
        <f>T("172.510")</f>
        <v>172.510</v>
      </c>
      <c r="AG558" t="str">
        <f>T("2265")</f>
        <v>2265</v>
      </c>
      <c r="AH558" t="str">
        <f>T("3")</f>
        <v>3</v>
      </c>
    </row>
    <row r="559" spans="1:34" x14ac:dyDescent="0.3">
      <c r="A559" t="s">
        <v>1785</v>
      </c>
      <c r="B559" t="s">
        <v>1786</v>
      </c>
      <c r="C559" t="s">
        <v>1787</v>
      </c>
      <c r="D559" t="s">
        <v>7</v>
      </c>
      <c r="K559" t="str">
        <f>T("172.510")</f>
        <v>172.510</v>
      </c>
      <c r="AG559" t="str">
        <f>T("2267")</f>
        <v>2267</v>
      </c>
      <c r="AH559" t="str">
        <f>T("3")</f>
        <v>3</v>
      </c>
    </row>
    <row r="560" spans="1:34" x14ac:dyDescent="0.3">
      <c r="A560" t="s">
        <v>1788</v>
      </c>
      <c r="B560" t="s">
        <v>1789</v>
      </c>
      <c r="C560" t="s">
        <v>1790</v>
      </c>
      <c r="D560" t="s">
        <v>15</v>
      </c>
      <c r="K560" t="str">
        <f>T("172.515")</f>
        <v>172.515</v>
      </c>
    </row>
    <row r="561" spans="1:37" x14ac:dyDescent="0.3">
      <c r="A561" t="s">
        <v>1791</v>
      </c>
      <c r="B561" t="s">
        <v>1792</v>
      </c>
      <c r="C561" t="s">
        <v>1793</v>
      </c>
      <c r="D561" t="s">
        <v>15</v>
      </c>
      <c r="K561" t="str">
        <f>T("172.515")</f>
        <v>172.515</v>
      </c>
    </row>
    <row r="562" spans="1:37" x14ac:dyDescent="0.3">
      <c r="A562" t="s">
        <v>1794</v>
      </c>
      <c r="B562" t="s">
        <v>1795</v>
      </c>
      <c r="C562" t="s">
        <v>1796</v>
      </c>
      <c r="D562" t="s">
        <v>7</v>
      </c>
      <c r="AG562" t="str">
        <f>T("4503")</f>
        <v>4503</v>
      </c>
      <c r="AH562" t="str">
        <f>T("24")</f>
        <v>24</v>
      </c>
      <c r="AK562" t="str">
        <f>T("2030")</f>
        <v>2030</v>
      </c>
    </row>
    <row r="563" spans="1:37" x14ac:dyDescent="0.3">
      <c r="A563" t="s">
        <v>1797</v>
      </c>
      <c r="B563" t="s">
        <v>1798</v>
      </c>
      <c r="C563" t="s">
        <v>1799</v>
      </c>
      <c r="D563" t="s">
        <v>7</v>
      </c>
    </row>
    <row r="564" spans="1:37" x14ac:dyDescent="0.3">
      <c r="A564" t="s">
        <v>1800</v>
      </c>
      <c r="B564" t="s">
        <v>1801</v>
      </c>
      <c r="C564" t="s">
        <v>1802</v>
      </c>
      <c r="D564" t="s">
        <v>286</v>
      </c>
      <c r="K564" t="str">
        <f>T("182.10")</f>
        <v>182.10</v>
      </c>
      <c r="AF564" t="str">
        <f>T("101.22")</f>
        <v>101.22</v>
      </c>
      <c r="AG564" t="str">
        <f>T("2268")</f>
        <v>2268</v>
      </c>
      <c r="AH564" t="str">
        <f>T("3")</f>
        <v>3</v>
      </c>
    </row>
    <row r="565" spans="1:37" x14ac:dyDescent="0.3">
      <c r="A565" t="s">
        <v>1803</v>
      </c>
      <c r="B565" t="s">
        <v>1804</v>
      </c>
      <c r="C565" t="s">
        <v>1805</v>
      </c>
      <c r="D565" t="s">
        <v>7</v>
      </c>
      <c r="K565" t="str">
        <f>T("182.20")</f>
        <v>182.20</v>
      </c>
      <c r="AG565" t="str">
        <f>T("2269")</f>
        <v>2269</v>
      </c>
      <c r="AH565" t="str">
        <f>T("3")</f>
        <v>3</v>
      </c>
    </row>
    <row r="566" spans="1:37" x14ac:dyDescent="0.3">
      <c r="A566" t="s">
        <v>1806</v>
      </c>
      <c r="B566" t="s">
        <v>1807</v>
      </c>
      <c r="C566" t="s">
        <v>1808</v>
      </c>
      <c r="D566" t="s">
        <v>7</v>
      </c>
      <c r="K566" t="str">
        <f>T("182.20")</f>
        <v>182.20</v>
      </c>
      <c r="AG566" t="str">
        <f>T("2270")</f>
        <v>2270</v>
      </c>
      <c r="AH566" t="str">
        <f>T("3")</f>
        <v>3</v>
      </c>
    </row>
    <row r="567" spans="1:37" x14ac:dyDescent="0.3">
      <c r="A567" t="s">
        <v>1809</v>
      </c>
      <c r="B567" t="s">
        <v>1810</v>
      </c>
      <c r="C567" t="s">
        <v>1811</v>
      </c>
      <c r="D567" t="s">
        <v>88</v>
      </c>
      <c r="K567" t="str">
        <f>T("182.20")</f>
        <v>182.20</v>
      </c>
      <c r="AG567" t="str">
        <f>T("2271")</f>
        <v>2271</v>
      </c>
      <c r="AH567" t="str">
        <f>T("3")</f>
        <v>3</v>
      </c>
    </row>
    <row r="568" spans="1:37" x14ac:dyDescent="0.3">
      <c r="A568" t="s">
        <v>1812</v>
      </c>
      <c r="B568" t="s">
        <v>1813</v>
      </c>
      <c r="C568" t="s">
        <v>1814</v>
      </c>
      <c r="D568" t="s">
        <v>7</v>
      </c>
      <c r="K568" t="str">
        <f>T("182.20")</f>
        <v>182.20</v>
      </c>
    </row>
    <row r="569" spans="1:37" x14ac:dyDescent="0.3">
      <c r="A569" t="s">
        <v>1815</v>
      </c>
      <c r="B569" t="s">
        <v>1816</v>
      </c>
      <c r="C569" t="s">
        <v>1817</v>
      </c>
      <c r="D569" t="s">
        <v>74</v>
      </c>
      <c r="K569" t="str">
        <f>T("184.1250")</f>
        <v>184.1250</v>
      </c>
    </row>
    <row r="570" spans="1:37" x14ac:dyDescent="0.3">
      <c r="A570" t="s">
        <v>1818</v>
      </c>
      <c r="B570" t="s">
        <v>1819</v>
      </c>
      <c r="C570" t="s">
        <v>1820</v>
      </c>
      <c r="D570" t="s">
        <v>1623</v>
      </c>
      <c r="K570" t="str">
        <f>T("175.300")</f>
        <v>175.300</v>
      </c>
      <c r="L570" t="str">
        <f>T("182.90")</f>
        <v>182.90</v>
      </c>
    </row>
    <row r="571" spans="1:37" x14ac:dyDescent="0.3">
      <c r="A571" t="s">
        <v>1821</v>
      </c>
      <c r="B571" t="s">
        <v>1822</v>
      </c>
      <c r="C571" t="s">
        <v>1823</v>
      </c>
      <c r="K571" t="str">
        <f>T("173.357")</f>
        <v>173.357</v>
      </c>
    </row>
    <row r="572" spans="1:37" x14ac:dyDescent="0.3">
      <c r="A572" t="s">
        <v>1824</v>
      </c>
      <c r="B572" t="s">
        <v>1825</v>
      </c>
      <c r="C572" t="s">
        <v>1826</v>
      </c>
      <c r="D572" t="s">
        <v>1827</v>
      </c>
      <c r="K572" t="str">
        <f>T("172.872")</f>
        <v>172.872</v>
      </c>
    </row>
    <row r="573" spans="1:37" x14ac:dyDescent="0.3">
      <c r="A573" t="s">
        <v>1828</v>
      </c>
      <c r="B573" t="s">
        <v>1829</v>
      </c>
      <c r="C573" t="s">
        <v>1830</v>
      </c>
      <c r="D573" t="s">
        <v>1831</v>
      </c>
    </row>
    <row r="574" spans="1:37" x14ac:dyDescent="0.3">
      <c r="A574" t="s">
        <v>1832</v>
      </c>
      <c r="B574" t="s">
        <v>1833</v>
      </c>
      <c r="C574" t="s">
        <v>1834</v>
      </c>
      <c r="K574" t="str">
        <f>T("173.357")</f>
        <v>173.357</v>
      </c>
    </row>
    <row r="575" spans="1:37" x14ac:dyDescent="0.3">
      <c r="A575" t="s">
        <v>1835</v>
      </c>
      <c r="B575" t="s">
        <v>1836</v>
      </c>
      <c r="C575" t="s">
        <v>1837</v>
      </c>
      <c r="D575" t="s">
        <v>15</v>
      </c>
      <c r="K575" t="str">
        <f>T("172.510")</f>
        <v>172.510</v>
      </c>
    </row>
    <row r="576" spans="1:37" x14ac:dyDescent="0.3">
      <c r="A576" t="s">
        <v>1838</v>
      </c>
      <c r="B576" t="s">
        <v>1839</v>
      </c>
      <c r="C576" t="s">
        <v>1840</v>
      </c>
      <c r="D576" t="s">
        <v>846</v>
      </c>
    </row>
    <row r="577" spans="1:37" x14ac:dyDescent="0.3">
      <c r="A577" t="s">
        <v>1841</v>
      </c>
      <c r="B577" t="s">
        <v>1842</v>
      </c>
      <c r="C577" t="s">
        <v>1843</v>
      </c>
      <c r="D577" t="s">
        <v>7</v>
      </c>
      <c r="E577" t="str">
        <f>T("73.1")</f>
        <v>73.1</v>
      </c>
      <c r="F577" t="str">
        <f>T("73.1001")</f>
        <v>73.1001</v>
      </c>
      <c r="K577" t="str">
        <f>T("172.515")</f>
        <v>172.515</v>
      </c>
      <c r="L577" t="str">
        <f>T("172.864")</f>
        <v>172.864</v>
      </c>
      <c r="M577" t="str">
        <f>T("175.105")</f>
        <v>175.105</v>
      </c>
      <c r="N577" t="str">
        <f>T("175.300")</f>
        <v>175.300</v>
      </c>
      <c r="O577" t="str">
        <f>T("176.200")</f>
        <v>176.200</v>
      </c>
      <c r="P577" t="str">
        <f>T("177.1200")</f>
        <v>177.1200</v>
      </c>
      <c r="AG577" t="str">
        <f>T("2554")</f>
        <v>2554</v>
      </c>
      <c r="AH577" t="str">
        <f>T("3")</f>
        <v>3</v>
      </c>
      <c r="AK577" t="str">
        <f>T("114")</f>
        <v>114</v>
      </c>
    </row>
    <row r="578" spans="1:37" x14ac:dyDescent="0.3">
      <c r="A578" t="s">
        <v>1844</v>
      </c>
      <c r="B578" t="s">
        <v>1845</v>
      </c>
      <c r="C578" t="s">
        <v>1846</v>
      </c>
      <c r="D578" t="s">
        <v>7</v>
      </c>
      <c r="K578" t="str">
        <f>T("182.10")</f>
        <v>182.10</v>
      </c>
    </row>
    <row r="579" spans="1:37" x14ac:dyDescent="0.3">
      <c r="A579" t="s">
        <v>1847</v>
      </c>
      <c r="B579" t="s">
        <v>1848</v>
      </c>
      <c r="C579" t="s">
        <v>1849</v>
      </c>
      <c r="D579" t="s">
        <v>7</v>
      </c>
      <c r="K579" t="str">
        <f>T("182.20")</f>
        <v>182.20</v>
      </c>
      <c r="AG579" t="str">
        <f>T("2273")</f>
        <v>2273</v>
      </c>
      <c r="AH579" t="str">
        <f>T("3")</f>
        <v>3</v>
      </c>
    </row>
    <row r="580" spans="1:37" x14ac:dyDescent="0.3">
      <c r="A580" t="s">
        <v>1850</v>
      </c>
      <c r="B580" t="s">
        <v>1851</v>
      </c>
      <c r="C580" t="s">
        <v>1852</v>
      </c>
      <c r="K580" t="str">
        <f>T("182.10")</f>
        <v>182.10</v>
      </c>
    </row>
    <row r="581" spans="1:37" x14ac:dyDescent="0.3">
      <c r="A581" t="s">
        <v>1853</v>
      </c>
      <c r="B581" t="s">
        <v>1854</v>
      </c>
      <c r="C581" t="s">
        <v>1855</v>
      </c>
      <c r="D581" t="s">
        <v>7</v>
      </c>
      <c r="K581" t="str">
        <f>T("182.20")</f>
        <v>182.20</v>
      </c>
      <c r="AG581" t="str">
        <f>T("2272")</f>
        <v>2272</v>
      </c>
      <c r="AH581" t="str">
        <f>T("3")</f>
        <v>3</v>
      </c>
    </row>
    <row r="582" spans="1:37" x14ac:dyDescent="0.3">
      <c r="A582" t="s">
        <v>1856</v>
      </c>
      <c r="B582" t="s">
        <v>1857</v>
      </c>
      <c r="C582" t="s">
        <v>1858</v>
      </c>
      <c r="D582" t="s">
        <v>7</v>
      </c>
      <c r="K582" t="str">
        <f>T("182.20")</f>
        <v>182.20</v>
      </c>
      <c r="AG582" t="str">
        <f>T("2274")</f>
        <v>2274</v>
      </c>
      <c r="AH582" t="str">
        <f>T("3")</f>
        <v>3</v>
      </c>
    </row>
    <row r="583" spans="1:37" x14ac:dyDescent="0.3">
      <c r="A583" t="s">
        <v>1859</v>
      </c>
      <c r="B583" t="s">
        <v>1860</v>
      </c>
      <c r="C583" t="s">
        <v>1861</v>
      </c>
      <c r="D583" t="s">
        <v>15</v>
      </c>
    </row>
    <row r="584" spans="1:37" x14ac:dyDescent="0.3">
      <c r="A584" t="s">
        <v>1862</v>
      </c>
      <c r="B584" t="s">
        <v>1863</v>
      </c>
      <c r="C584" t="s">
        <v>1864</v>
      </c>
      <c r="D584" t="s">
        <v>15</v>
      </c>
      <c r="K584" t="str">
        <f>T("182.20")</f>
        <v>182.20</v>
      </c>
      <c r="AG584" t="str">
        <f>T("2276")</f>
        <v>2276</v>
      </c>
      <c r="AH584" t="str">
        <f>T("3")</f>
        <v>3</v>
      </c>
    </row>
    <row r="585" spans="1:37" x14ac:dyDescent="0.3">
      <c r="A585" t="s">
        <v>1865</v>
      </c>
      <c r="B585" t="s">
        <v>1866</v>
      </c>
      <c r="C585" t="s">
        <v>1867</v>
      </c>
      <c r="D585" t="s">
        <v>7</v>
      </c>
      <c r="K585" t="str">
        <f>T("172.510")</f>
        <v>172.510</v>
      </c>
    </row>
    <row r="586" spans="1:37" x14ac:dyDescent="0.3">
      <c r="A586" t="s">
        <v>1868</v>
      </c>
      <c r="B586" t="s">
        <v>1869</v>
      </c>
      <c r="C586" t="s">
        <v>1870</v>
      </c>
      <c r="D586" t="s">
        <v>15</v>
      </c>
      <c r="K586" t="str">
        <f>T("172.510")</f>
        <v>172.510</v>
      </c>
      <c r="AG586" t="str">
        <f>T("2277")</f>
        <v>2277</v>
      </c>
      <c r="AH586" t="str">
        <f>T("3")</f>
        <v>3</v>
      </c>
    </row>
    <row r="587" spans="1:37" x14ac:dyDescent="0.3">
      <c r="A587" t="s">
        <v>1871</v>
      </c>
      <c r="B587" t="s">
        <v>1872</v>
      </c>
      <c r="C587" t="s">
        <v>1873</v>
      </c>
      <c r="D587" t="s">
        <v>15</v>
      </c>
      <c r="K587" t="str">
        <f>T("172.510")</f>
        <v>172.510</v>
      </c>
    </row>
    <row r="588" spans="1:37" x14ac:dyDescent="0.3">
      <c r="A588" t="s">
        <v>1874</v>
      </c>
      <c r="B588" t="s">
        <v>1875</v>
      </c>
      <c r="C588" t="s">
        <v>1876</v>
      </c>
      <c r="D588" t="s">
        <v>7</v>
      </c>
      <c r="K588" t="str">
        <f>T("172.510")</f>
        <v>172.510</v>
      </c>
      <c r="AG588" t="str">
        <f>T("2278")</f>
        <v>2278</v>
      </c>
      <c r="AH588" t="str">
        <f>T("3")</f>
        <v>3</v>
      </c>
    </row>
    <row r="589" spans="1:37" x14ac:dyDescent="0.3">
      <c r="A589" t="s">
        <v>1877</v>
      </c>
      <c r="B589" t="s">
        <v>1878</v>
      </c>
      <c r="C589" t="s">
        <v>1879</v>
      </c>
      <c r="D589" t="s">
        <v>7</v>
      </c>
      <c r="K589" t="str">
        <f>T("182.10")</f>
        <v>182.10</v>
      </c>
      <c r="AF589" t="str">
        <f>T("101.22")</f>
        <v>101.22</v>
      </c>
      <c r="AG589" t="str">
        <f>T("2279")</f>
        <v>2279</v>
      </c>
      <c r="AH589" t="str">
        <f>T("3")</f>
        <v>3</v>
      </c>
    </row>
    <row r="590" spans="1:37" x14ac:dyDescent="0.3">
      <c r="A590" t="s">
        <v>1880</v>
      </c>
      <c r="B590" t="s">
        <v>1881</v>
      </c>
      <c r="C590" t="s">
        <v>1882</v>
      </c>
      <c r="D590" t="s">
        <v>7</v>
      </c>
      <c r="K590" t="str">
        <f>T("182.20")</f>
        <v>182.20</v>
      </c>
    </row>
    <row r="591" spans="1:37" x14ac:dyDescent="0.3">
      <c r="A591" t="s">
        <v>1883</v>
      </c>
      <c r="B591" t="s">
        <v>1884</v>
      </c>
      <c r="C591" t="s">
        <v>1885</v>
      </c>
      <c r="D591" t="s">
        <v>7</v>
      </c>
      <c r="K591" t="str">
        <f>T("172.510")</f>
        <v>172.510</v>
      </c>
    </row>
    <row r="592" spans="1:37" x14ac:dyDescent="0.3">
      <c r="A592" t="s">
        <v>1886</v>
      </c>
      <c r="B592" t="s">
        <v>1887</v>
      </c>
      <c r="C592" t="s">
        <v>1888</v>
      </c>
      <c r="D592" t="s">
        <v>15</v>
      </c>
      <c r="K592" t="str">
        <f>T("172.510")</f>
        <v>172.510</v>
      </c>
    </row>
    <row r="593" spans="1:34" x14ac:dyDescent="0.3">
      <c r="A593" t="s">
        <v>1889</v>
      </c>
      <c r="B593" t="s">
        <v>1890</v>
      </c>
      <c r="C593" t="s">
        <v>1891</v>
      </c>
      <c r="D593" t="s">
        <v>15</v>
      </c>
      <c r="K593" t="str">
        <f>T("172.510")</f>
        <v>172.510</v>
      </c>
    </row>
    <row r="594" spans="1:34" x14ac:dyDescent="0.3">
      <c r="A594" t="s">
        <v>1892</v>
      </c>
      <c r="B594" t="s">
        <v>1893</v>
      </c>
      <c r="C594" t="s">
        <v>1894</v>
      </c>
      <c r="D594" t="s">
        <v>1175</v>
      </c>
      <c r="K594" t="str">
        <f>T("172.615")</f>
        <v>172.615</v>
      </c>
    </row>
    <row r="595" spans="1:34" x14ac:dyDescent="0.3">
      <c r="A595" t="s">
        <v>1895</v>
      </c>
      <c r="B595" t="s">
        <v>1896</v>
      </c>
      <c r="C595" t="s">
        <v>1897</v>
      </c>
      <c r="D595" t="s">
        <v>1175</v>
      </c>
      <c r="K595" t="str">
        <f>T("172.615")</f>
        <v>172.615</v>
      </c>
    </row>
    <row r="596" spans="1:34" x14ac:dyDescent="0.3">
      <c r="A596" t="s">
        <v>1898</v>
      </c>
      <c r="B596" t="s">
        <v>1899</v>
      </c>
      <c r="C596" t="s">
        <v>1900</v>
      </c>
      <c r="D596" t="s">
        <v>1537</v>
      </c>
      <c r="K596" t="str">
        <f>T("182.20")</f>
        <v>182.20</v>
      </c>
      <c r="AG596" t="str">
        <f>T("2280")</f>
        <v>2280</v>
      </c>
      <c r="AH596" t="str">
        <f>T("3")</f>
        <v>3</v>
      </c>
    </row>
    <row r="597" spans="1:34" x14ac:dyDescent="0.3">
      <c r="A597" t="s">
        <v>1901</v>
      </c>
      <c r="B597" t="s">
        <v>1902</v>
      </c>
      <c r="C597" t="s">
        <v>1903</v>
      </c>
      <c r="D597" t="s">
        <v>1175</v>
      </c>
      <c r="K597" t="str">
        <f>T("172.615")</f>
        <v>172.615</v>
      </c>
    </row>
    <row r="598" spans="1:34" x14ac:dyDescent="0.3">
      <c r="A598" t="s">
        <v>1904</v>
      </c>
      <c r="B598" t="s">
        <v>1905</v>
      </c>
      <c r="C598" t="s">
        <v>1906</v>
      </c>
      <c r="D598" t="s">
        <v>1175</v>
      </c>
      <c r="K598" t="str">
        <f>T("172.615")</f>
        <v>172.615</v>
      </c>
    </row>
    <row r="599" spans="1:34" x14ac:dyDescent="0.3">
      <c r="A599" t="s">
        <v>1907</v>
      </c>
      <c r="B599" t="s">
        <v>1908</v>
      </c>
      <c r="C599" t="s">
        <v>1909</v>
      </c>
      <c r="D599" t="s">
        <v>7</v>
      </c>
      <c r="K599" t="str">
        <f>T("172.510")</f>
        <v>172.510</v>
      </c>
    </row>
    <row r="600" spans="1:34" x14ac:dyDescent="0.3">
      <c r="A600" t="s">
        <v>1910</v>
      </c>
      <c r="B600" t="s">
        <v>1911</v>
      </c>
      <c r="C600" t="s">
        <v>1912</v>
      </c>
      <c r="D600" t="s">
        <v>7</v>
      </c>
      <c r="K600" t="str">
        <f>T("172.510")</f>
        <v>172.510</v>
      </c>
    </row>
    <row r="601" spans="1:34" x14ac:dyDescent="0.3">
      <c r="A601" t="s">
        <v>1913</v>
      </c>
      <c r="B601" t="s">
        <v>1914</v>
      </c>
      <c r="C601" t="s">
        <v>1915</v>
      </c>
      <c r="D601" t="s">
        <v>15</v>
      </c>
      <c r="K601" t="str">
        <f>T("182.10")</f>
        <v>182.10</v>
      </c>
    </row>
    <row r="602" spans="1:34" x14ac:dyDescent="0.3">
      <c r="A602" t="s">
        <v>1916</v>
      </c>
      <c r="B602" t="s">
        <v>1917</v>
      </c>
      <c r="C602" t="s">
        <v>1918</v>
      </c>
      <c r="D602" t="s">
        <v>1919</v>
      </c>
      <c r="AF602" t="s">
        <v>623</v>
      </c>
    </row>
    <row r="603" spans="1:34" x14ac:dyDescent="0.3">
      <c r="A603" t="s">
        <v>1920</v>
      </c>
      <c r="B603" t="s">
        <v>1921</v>
      </c>
      <c r="C603" t="s">
        <v>1922</v>
      </c>
      <c r="D603" t="s">
        <v>1923</v>
      </c>
      <c r="K603" t="str">
        <f>T("173.300")</f>
        <v>173.300</v>
      </c>
      <c r="L603" t="str">
        <f>T("178.1010")</f>
        <v>178.1010</v>
      </c>
      <c r="AF603" t="s">
        <v>623</v>
      </c>
    </row>
    <row r="604" spans="1:34" x14ac:dyDescent="0.3">
      <c r="A604" t="s">
        <v>1924</v>
      </c>
      <c r="B604" t="s">
        <v>1925</v>
      </c>
      <c r="C604" t="s">
        <v>1926</v>
      </c>
      <c r="D604" t="s">
        <v>586</v>
      </c>
    </row>
    <row r="605" spans="1:34" x14ac:dyDescent="0.3">
      <c r="A605" t="s">
        <v>1927</v>
      </c>
      <c r="B605" t="s">
        <v>1928</v>
      </c>
      <c r="C605" t="s">
        <v>1929</v>
      </c>
      <c r="D605" t="s">
        <v>1930</v>
      </c>
      <c r="K605" t="str">
        <f>T("173.342")</f>
        <v>173.342</v>
      </c>
    </row>
    <row r="606" spans="1:34" x14ac:dyDescent="0.3">
      <c r="A606" t="s">
        <v>1931</v>
      </c>
      <c r="B606" t="s">
        <v>1932</v>
      </c>
      <c r="C606" t="s">
        <v>1933</v>
      </c>
      <c r="D606" t="s">
        <v>1185</v>
      </c>
      <c r="AD606" t="str">
        <f>T("189.191")</f>
        <v>189.191</v>
      </c>
      <c r="AE606" t="str">
        <f>T("2.125")</f>
        <v>2.125</v>
      </c>
      <c r="AF606" t="str">
        <f>T("101.17")</f>
        <v>101.17</v>
      </c>
    </row>
    <row r="607" spans="1:34" x14ac:dyDescent="0.3">
      <c r="A607" t="s">
        <v>1934</v>
      </c>
      <c r="B607" t="s">
        <v>1935</v>
      </c>
      <c r="C607" t="s">
        <v>1936</v>
      </c>
      <c r="D607" t="s">
        <v>199</v>
      </c>
      <c r="K607" t="str">
        <f>T("175.105")</f>
        <v>175.105</v>
      </c>
      <c r="L607" t="str">
        <f>T("177.1580")</f>
        <v>177.1580</v>
      </c>
      <c r="M607" t="str">
        <f>T("177.1585")</f>
        <v>177.1585</v>
      </c>
    </row>
    <row r="608" spans="1:34" x14ac:dyDescent="0.3">
      <c r="A608" t="s">
        <v>1937</v>
      </c>
      <c r="B608" t="s">
        <v>1938</v>
      </c>
      <c r="C608" t="s">
        <v>1939</v>
      </c>
      <c r="D608" t="s">
        <v>199</v>
      </c>
      <c r="K608" t="str">
        <f>T("173.20")</f>
        <v>173.20</v>
      </c>
    </row>
    <row r="609" spans="1:37" x14ac:dyDescent="0.3">
      <c r="A609" t="s">
        <v>1940</v>
      </c>
      <c r="B609" t="s">
        <v>1941</v>
      </c>
      <c r="C609" t="s">
        <v>1942</v>
      </c>
      <c r="D609" t="s">
        <v>1185</v>
      </c>
      <c r="K609" t="str">
        <f>T("173.345")</f>
        <v>173.345</v>
      </c>
    </row>
    <row r="610" spans="1:37" x14ac:dyDescent="0.3">
      <c r="A610" t="s">
        <v>1943</v>
      </c>
      <c r="B610" t="s">
        <v>1944</v>
      </c>
      <c r="C610" t="s">
        <v>1945</v>
      </c>
    </row>
    <row r="611" spans="1:37" x14ac:dyDescent="0.3">
      <c r="A611" t="s">
        <v>1946</v>
      </c>
      <c r="B611" t="s">
        <v>1947</v>
      </c>
      <c r="C611" t="s">
        <v>1948</v>
      </c>
      <c r="D611" t="s">
        <v>1949</v>
      </c>
    </row>
    <row r="612" spans="1:37" x14ac:dyDescent="0.3">
      <c r="A612" t="s">
        <v>1950</v>
      </c>
      <c r="B612" t="s">
        <v>1951</v>
      </c>
      <c r="C612" t="s">
        <v>1952</v>
      </c>
      <c r="D612" t="s">
        <v>137</v>
      </c>
      <c r="K612" t="str">
        <f>T("182.8250")</f>
        <v>182.8250</v>
      </c>
    </row>
    <row r="613" spans="1:37" x14ac:dyDescent="0.3">
      <c r="A613" t="s">
        <v>1953</v>
      </c>
      <c r="B613" t="s">
        <v>1954</v>
      </c>
      <c r="C613" t="s">
        <v>1955</v>
      </c>
      <c r="D613" t="s">
        <v>137</v>
      </c>
      <c r="K613" t="str">
        <f>T("182.8252")</f>
        <v>182.8252</v>
      </c>
    </row>
    <row r="614" spans="1:37" x14ac:dyDescent="0.3">
      <c r="A614" t="s">
        <v>1956</v>
      </c>
      <c r="B614" t="s">
        <v>1957</v>
      </c>
      <c r="C614" t="s">
        <v>1958</v>
      </c>
      <c r="D614" t="s">
        <v>7</v>
      </c>
      <c r="AG614" t="str">
        <f>T("4500")</f>
        <v>4500</v>
      </c>
      <c r="AH614" t="str">
        <f>T("24")</f>
        <v>24</v>
      </c>
      <c r="AI614" t="str">
        <f>T("26")</f>
        <v>26</v>
      </c>
      <c r="AK614" t="str">
        <f>T("2003")</f>
        <v>2003</v>
      </c>
    </row>
    <row r="615" spans="1:37" x14ac:dyDescent="0.3">
      <c r="A615" t="s">
        <v>1959</v>
      </c>
      <c r="B615" t="s">
        <v>1960</v>
      </c>
      <c r="C615" t="s">
        <v>1961</v>
      </c>
      <c r="D615" t="s">
        <v>7</v>
      </c>
      <c r="AG615" t="str">
        <f>T("4689")</f>
        <v>4689</v>
      </c>
      <c r="AH615" t="str">
        <f>T("25")</f>
        <v>25</v>
      </c>
    </row>
    <row r="616" spans="1:37" x14ac:dyDescent="0.3">
      <c r="A616" t="s">
        <v>1962</v>
      </c>
      <c r="B616" t="s">
        <v>1963</v>
      </c>
      <c r="C616" t="s">
        <v>1964</v>
      </c>
      <c r="D616" t="s">
        <v>1965</v>
      </c>
      <c r="K616" t="str">
        <f>T("184.1685")</f>
        <v>184.1685</v>
      </c>
    </row>
    <row r="617" spans="1:37" x14ac:dyDescent="0.3">
      <c r="A617" t="s">
        <v>1966</v>
      </c>
      <c r="B617" t="s">
        <v>1967</v>
      </c>
      <c r="C617" t="s">
        <v>1968</v>
      </c>
      <c r="D617" t="s">
        <v>1965</v>
      </c>
      <c r="K617" t="str">
        <f>T("184.1685")</f>
        <v>184.1685</v>
      </c>
    </row>
    <row r="618" spans="1:37" x14ac:dyDescent="0.3">
      <c r="A618" t="s">
        <v>1969</v>
      </c>
      <c r="B618" t="s">
        <v>1970</v>
      </c>
      <c r="C618" t="s">
        <v>1971</v>
      </c>
      <c r="D618" t="s">
        <v>74</v>
      </c>
      <c r="K618" t="str">
        <f>T("184.1685")</f>
        <v>184.1685</v>
      </c>
    </row>
    <row r="619" spans="1:37" x14ac:dyDescent="0.3">
      <c r="A619" t="s">
        <v>1972</v>
      </c>
      <c r="B619" t="s">
        <v>1973</v>
      </c>
      <c r="C619" t="s">
        <v>1974</v>
      </c>
      <c r="D619" t="s">
        <v>7</v>
      </c>
      <c r="K619" t="str">
        <f>T("172.510")</f>
        <v>172.510</v>
      </c>
      <c r="AG619" t="str">
        <f>T("2281")</f>
        <v>2281</v>
      </c>
      <c r="AH619" t="str">
        <f>T("3")</f>
        <v>3</v>
      </c>
    </row>
    <row r="620" spans="1:37" x14ac:dyDescent="0.3">
      <c r="A620" t="s">
        <v>1975</v>
      </c>
      <c r="B620" t="s">
        <v>1976</v>
      </c>
      <c r="C620" t="s">
        <v>1977</v>
      </c>
      <c r="D620" t="s">
        <v>7</v>
      </c>
      <c r="K620" t="str">
        <f>T("172.510")</f>
        <v>172.510</v>
      </c>
      <c r="AG620" t="str">
        <f>T("2282")</f>
        <v>2282</v>
      </c>
      <c r="AH620" t="str">
        <f>T("3")</f>
        <v>3</v>
      </c>
    </row>
    <row r="621" spans="1:37" x14ac:dyDescent="0.3">
      <c r="A621" t="s">
        <v>1978</v>
      </c>
      <c r="B621" t="s">
        <v>1979</v>
      </c>
      <c r="C621" t="s">
        <v>1980</v>
      </c>
      <c r="D621" t="s">
        <v>7</v>
      </c>
      <c r="K621" t="str">
        <f>T("172.510")</f>
        <v>172.510</v>
      </c>
      <c r="AG621" t="str">
        <f>T("2283")</f>
        <v>2283</v>
      </c>
      <c r="AH621" t="str">
        <f>T("3")</f>
        <v>3</v>
      </c>
    </row>
    <row r="622" spans="1:37" x14ac:dyDescent="0.3">
      <c r="A622" t="s">
        <v>1981</v>
      </c>
      <c r="B622" t="s">
        <v>1982</v>
      </c>
      <c r="C622" t="s">
        <v>1983</v>
      </c>
      <c r="D622" t="s">
        <v>7</v>
      </c>
      <c r="K622" t="str">
        <f>T("172.510")</f>
        <v>172.510</v>
      </c>
      <c r="AG622" t="str">
        <f>T("2284")</f>
        <v>2284</v>
      </c>
      <c r="AH622" t="str">
        <f>T("3")</f>
        <v>3</v>
      </c>
    </row>
    <row r="623" spans="1:37" x14ac:dyDescent="0.3">
      <c r="A623" t="s">
        <v>1984</v>
      </c>
      <c r="B623" t="s">
        <v>1985</v>
      </c>
      <c r="C623" t="s">
        <v>1986</v>
      </c>
      <c r="D623" t="s">
        <v>7</v>
      </c>
      <c r="K623" t="str">
        <f>T("172.510")</f>
        <v>172.510</v>
      </c>
      <c r="AG623" t="str">
        <f>T("2285")</f>
        <v>2285</v>
      </c>
      <c r="AH623" t="str">
        <f>T("3")</f>
        <v>3</v>
      </c>
    </row>
    <row r="624" spans="1:37" x14ac:dyDescent="0.3">
      <c r="A624" t="s">
        <v>1987</v>
      </c>
      <c r="B624" t="s">
        <v>1988</v>
      </c>
      <c r="C624" t="s">
        <v>1989</v>
      </c>
      <c r="D624" t="s">
        <v>7</v>
      </c>
      <c r="K624" t="str">
        <f>T("172.515")</f>
        <v>172.515</v>
      </c>
      <c r="AG624" t="str">
        <f>T("3658")</f>
        <v>3658</v>
      </c>
      <c r="AH624" t="str">
        <f>T("13")</f>
        <v>13</v>
      </c>
      <c r="AI624" t="str">
        <f>T("25")</f>
        <v>25</v>
      </c>
      <c r="AK624" t="str">
        <f>T("1233")</f>
        <v>1233</v>
      </c>
    </row>
    <row r="625" spans="1:37" x14ac:dyDescent="0.3">
      <c r="A625" t="s">
        <v>1990</v>
      </c>
      <c r="B625" t="s">
        <v>1991</v>
      </c>
      <c r="C625" t="s">
        <v>1992</v>
      </c>
      <c r="D625" t="s">
        <v>7</v>
      </c>
      <c r="K625" t="str">
        <f>T("182.60")</f>
        <v>182.60</v>
      </c>
      <c r="AG625" t="str">
        <f>T("2286")</f>
        <v>2286</v>
      </c>
      <c r="AH625" t="str">
        <f>T("3")</f>
        <v>3</v>
      </c>
      <c r="AK625" t="str">
        <f>T("656")</f>
        <v>656</v>
      </c>
    </row>
    <row r="626" spans="1:37" x14ac:dyDescent="0.3">
      <c r="A626" t="s">
        <v>1993</v>
      </c>
      <c r="B626" t="s">
        <v>1994</v>
      </c>
      <c r="C626" t="s">
        <v>1995</v>
      </c>
      <c r="D626" t="s">
        <v>7</v>
      </c>
      <c r="K626" t="str">
        <f>T("172.515")</f>
        <v>172.515</v>
      </c>
      <c r="AG626" t="str">
        <f>T("2287")</f>
        <v>2287</v>
      </c>
      <c r="AH626" t="str">
        <f>T("3")</f>
        <v>3</v>
      </c>
      <c r="AI626" t="str">
        <f>T("25")</f>
        <v>25</v>
      </c>
      <c r="AK626" t="str">
        <f>T("648")</f>
        <v>648</v>
      </c>
    </row>
    <row r="627" spans="1:37" x14ac:dyDescent="0.3">
      <c r="A627" t="s">
        <v>1996</v>
      </c>
      <c r="B627" t="s">
        <v>1997</v>
      </c>
      <c r="C627" t="s">
        <v>1998</v>
      </c>
      <c r="D627" t="s">
        <v>7</v>
      </c>
      <c r="AG627" t="str">
        <f>T("4596")</f>
        <v>4596</v>
      </c>
      <c r="AH627" t="str">
        <f>T("24")</f>
        <v>24</v>
      </c>
    </row>
    <row r="628" spans="1:37" x14ac:dyDescent="0.3">
      <c r="A628" t="s">
        <v>1999</v>
      </c>
      <c r="B628" t="s">
        <v>2000</v>
      </c>
      <c r="C628" t="s">
        <v>2001</v>
      </c>
      <c r="D628" t="s">
        <v>7</v>
      </c>
      <c r="K628" t="str">
        <f>T("172.515")</f>
        <v>172.515</v>
      </c>
      <c r="AG628" t="str">
        <f>T("2288")</f>
        <v>2288</v>
      </c>
      <c r="AH628" t="str">
        <f>T("3")</f>
        <v>3</v>
      </c>
      <c r="AI628" t="str">
        <f>T("25")</f>
        <v>25</v>
      </c>
      <c r="AK628" t="str">
        <f>T("657")</f>
        <v>657</v>
      </c>
    </row>
    <row r="629" spans="1:37" x14ac:dyDescent="0.3">
      <c r="A629" t="s">
        <v>2002</v>
      </c>
      <c r="B629" t="s">
        <v>2003</v>
      </c>
      <c r="C629" t="s">
        <v>2004</v>
      </c>
      <c r="D629" t="s">
        <v>2005</v>
      </c>
      <c r="K629" t="str">
        <f>T("182.10")</f>
        <v>182.10</v>
      </c>
      <c r="AF629" t="str">
        <f>T("101.22")</f>
        <v>101.22</v>
      </c>
      <c r="AG629" t="str">
        <f>T("2289")</f>
        <v>2289</v>
      </c>
      <c r="AH629" t="str">
        <f>T("3")</f>
        <v>3</v>
      </c>
    </row>
    <row r="630" spans="1:37" x14ac:dyDescent="0.3">
      <c r="A630" t="s">
        <v>2006</v>
      </c>
      <c r="B630" t="s">
        <v>2007</v>
      </c>
      <c r="C630" t="s">
        <v>2008</v>
      </c>
      <c r="D630" t="s">
        <v>7</v>
      </c>
      <c r="K630" t="str">
        <f>T("182.20")</f>
        <v>182.20</v>
      </c>
      <c r="AG630" t="str">
        <f>T("2290")</f>
        <v>2290</v>
      </c>
      <c r="AH630" t="str">
        <f>T("3")</f>
        <v>3</v>
      </c>
    </row>
    <row r="631" spans="1:37" x14ac:dyDescent="0.3">
      <c r="A631" t="s">
        <v>2009</v>
      </c>
      <c r="B631" t="s">
        <v>2010</v>
      </c>
      <c r="C631" t="s">
        <v>2011</v>
      </c>
      <c r="D631" t="s">
        <v>7</v>
      </c>
      <c r="K631" t="str">
        <f>T("182.20")</f>
        <v>182.20</v>
      </c>
      <c r="AG631" t="str">
        <f>T("2291")</f>
        <v>2291</v>
      </c>
      <c r="AH631" t="str">
        <f>T("3")</f>
        <v>3</v>
      </c>
    </row>
    <row r="632" spans="1:37" x14ac:dyDescent="0.3">
      <c r="A632" t="s">
        <v>2012</v>
      </c>
      <c r="B632" t="s">
        <v>2013</v>
      </c>
      <c r="C632" t="s">
        <v>2014</v>
      </c>
      <c r="D632" t="s">
        <v>7</v>
      </c>
      <c r="K632" t="str">
        <f>T("182.20")</f>
        <v>182.20</v>
      </c>
    </row>
    <row r="633" spans="1:37" x14ac:dyDescent="0.3">
      <c r="A633" t="s">
        <v>2015</v>
      </c>
      <c r="B633" t="s">
        <v>2016</v>
      </c>
      <c r="C633" t="s">
        <v>2017</v>
      </c>
      <c r="D633" t="s">
        <v>7</v>
      </c>
      <c r="K633" t="str">
        <f>T("182.20")</f>
        <v>182.20</v>
      </c>
      <c r="AG633" t="str">
        <f>T("2292")</f>
        <v>2292</v>
      </c>
      <c r="AH633" t="str">
        <f>T("3")</f>
        <v>3</v>
      </c>
    </row>
    <row r="634" spans="1:37" x14ac:dyDescent="0.3">
      <c r="A634" t="s">
        <v>2018</v>
      </c>
      <c r="B634" t="s">
        <v>2019</v>
      </c>
      <c r="C634" t="s">
        <v>2020</v>
      </c>
      <c r="K634" t="str">
        <f>T("182.20")</f>
        <v>182.20</v>
      </c>
    </row>
    <row r="635" spans="1:37" x14ac:dyDescent="0.3">
      <c r="A635" t="s">
        <v>2021</v>
      </c>
      <c r="B635" t="s">
        <v>2022</v>
      </c>
      <c r="C635" t="s">
        <v>2023</v>
      </c>
      <c r="D635" t="s">
        <v>7</v>
      </c>
      <c r="K635" t="str">
        <f>T("172.515")</f>
        <v>172.515</v>
      </c>
      <c r="AG635" t="str">
        <f>T("2293")</f>
        <v>2293</v>
      </c>
      <c r="AH635" t="str">
        <f>T("3")</f>
        <v>3</v>
      </c>
      <c r="AI635" t="str">
        <f>T("25")</f>
        <v>25</v>
      </c>
      <c r="AK635" t="str">
        <f>T("650")</f>
        <v>650</v>
      </c>
    </row>
    <row r="636" spans="1:37" x14ac:dyDescent="0.3">
      <c r="A636" t="s">
        <v>2024</v>
      </c>
      <c r="B636" t="s">
        <v>2025</v>
      </c>
      <c r="C636" t="s">
        <v>2026</v>
      </c>
      <c r="D636" t="s">
        <v>7</v>
      </c>
      <c r="K636" t="str">
        <f>T("172.515")</f>
        <v>172.515</v>
      </c>
      <c r="AG636" t="str">
        <f>T("2294")</f>
        <v>2294</v>
      </c>
      <c r="AH636" t="str">
        <f>T("3")</f>
        <v>3</v>
      </c>
      <c r="AK636" t="str">
        <f>T("647")</f>
        <v>647</v>
      </c>
    </row>
    <row r="637" spans="1:37" x14ac:dyDescent="0.3">
      <c r="A637" t="s">
        <v>2027</v>
      </c>
      <c r="B637" t="s">
        <v>2028</v>
      </c>
      <c r="C637" t="s">
        <v>2029</v>
      </c>
      <c r="D637" t="s">
        <v>7</v>
      </c>
      <c r="AD637" t="str">
        <f>T("189.113")</f>
        <v>189.113</v>
      </c>
    </row>
    <row r="638" spans="1:37" x14ac:dyDescent="0.3">
      <c r="A638" t="s">
        <v>2030</v>
      </c>
      <c r="B638" t="s">
        <v>2031</v>
      </c>
      <c r="C638" t="s">
        <v>2032</v>
      </c>
      <c r="D638" t="s">
        <v>7</v>
      </c>
      <c r="K638" t="str">
        <f t="shared" ref="K638:K645" si="9">T("172.515")</f>
        <v>172.515</v>
      </c>
      <c r="AG638" t="str">
        <f>T("4703")</f>
        <v>4703</v>
      </c>
      <c r="AH638" t="str">
        <f>T("25")</f>
        <v>25</v>
      </c>
      <c r="AK638" t="str">
        <f>T("760")</f>
        <v>760</v>
      </c>
    </row>
    <row r="639" spans="1:37" x14ac:dyDescent="0.3">
      <c r="A639" t="s">
        <v>2033</v>
      </c>
      <c r="B639" t="s">
        <v>2034</v>
      </c>
      <c r="C639" t="s">
        <v>2035</v>
      </c>
      <c r="D639" t="s">
        <v>7</v>
      </c>
      <c r="K639" t="str">
        <f t="shared" si="9"/>
        <v>172.515</v>
      </c>
      <c r="AG639" t="str">
        <f>T("2296")</f>
        <v>2296</v>
      </c>
      <c r="AH639" t="str">
        <f t="shared" ref="AH639:AH645" si="10">T("3")</f>
        <v>3</v>
      </c>
      <c r="AK639" t="str">
        <f>T("652")</f>
        <v>652</v>
      </c>
    </row>
    <row r="640" spans="1:37" x14ac:dyDescent="0.3">
      <c r="A640" t="s">
        <v>2036</v>
      </c>
      <c r="B640" t="s">
        <v>2037</v>
      </c>
      <c r="C640" t="s">
        <v>2038</v>
      </c>
      <c r="D640" t="s">
        <v>7</v>
      </c>
      <c r="K640" t="str">
        <f t="shared" si="9"/>
        <v>172.515</v>
      </c>
      <c r="AG640" t="str">
        <f>T("2298")</f>
        <v>2298</v>
      </c>
      <c r="AH640" t="str">
        <f t="shared" si="10"/>
        <v>3</v>
      </c>
      <c r="AI640" t="str">
        <f>T("25")</f>
        <v>25</v>
      </c>
      <c r="AK640" t="str">
        <f>T("673")</f>
        <v>673</v>
      </c>
    </row>
    <row r="641" spans="1:37" x14ac:dyDescent="0.3">
      <c r="A641" t="s">
        <v>2039</v>
      </c>
      <c r="B641" t="s">
        <v>2040</v>
      </c>
      <c r="C641" t="s">
        <v>2041</v>
      </c>
      <c r="D641" t="s">
        <v>7</v>
      </c>
      <c r="K641" t="str">
        <f t="shared" si="9"/>
        <v>172.515</v>
      </c>
      <c r="AG641" t="str">
        <f>T("2299")</f>
        <v>2299</v>
      </c>
      <c r="AH641" t="str">
        <f t="shared" si="10"/>
        <v>3</v>
      </c>
      <c r="AI641" t="str">
        <f>T("25")</f>
        <v>25</v>
      </c>
      <c r="AK641" t="str">
        <f>T("649")</f>
        <v>649</v>
      </c>
    </row>
    <row r="642" spans="1:37" x14ac:dyDescent="0.3">
      <c r="A642" t="s">
        <v>2042</v>
      </c>
      <c r="B642" t="s">
        <v>2043</v>
      </c>
      <c r="C642" t="s">
        <v>2044</v>
      </c>
      <c r="D642" t="s">
        <v>7</v>
      </c>
      <c r="K642" t="str">
        <f t="shared" si="9"/>
        <v>172.515</v>
      </c>
      <c r="AG642" t="str">
        <f>T("2297")</f>
        <v>2297</v>
      </c>
      <c r="AH642" t="str">
        <f t="shared" si="10"/>
        <v>3</v>
      </c>
      <c r="AK642" t="str">
        <f>T("653")</f>
        <v>653</v>
      </c>
    </row>
    <row r="643" spans="1:37" x14ac:dyDescent="0.3">
      <c r="A643" t="s">
        <v>2045</v>
      </c>
      <c r="B643" t="s">
        <v>2046</v>
      </c>
      <c r="C643" t="s">
        <v>2047</v>
      </c>
      <c r="D643" t="s">
        <v>7</v>
      </c>
      <c r="K643" t="str">
        <f t="shared" si="9"/>
        <v>172.515</v>
      </c>
      <c r="AG643" t="str">
        <f>T("2302")</f>
        <v>2302</v>
      </c>
      <c r="AH643" t="str">
        <f t="shared" si="10"/>
        <v>3</v>
      </c>
      <c r="AK643" t="str">
        <f>T("654")</f>
        <v>654</v>
      </c>
    </row>
    <row r="644" spans="1:37" x14ac:dyDescent="0.3">
      <c r="A644" t="s">
        <v>2048</v>
      </c>
      <c r="B644" t="s">
        <v>2049</v>
      </c>
      <c r="C644" t="s">
        <v>2050</v>
      </c>
      <c r="D644" t="s">
        <v>7</v>
      </c>
      <c r="K644" t="str">
        <f t="shared" si="9"/>
        <v>172.515</v>
      </c>
      <c r="AG644" t="str">
        <f>T("2300")</f>
        <v>2300</v>
      </c>
      <c r="AH644" t="str">
        <f t="shared" si="10"/>
        <v>3</v>
      </c>
      <c r="AK644" t="str">
        <f>T("655")</f>
        <v>655</v>
      </c>
    </row>
    <row r="645" spans="1:37" x14ac:dyDescent="0.3">
      <c r="A645" t="s">
        <v>2051</v>
      </c>
      <c r="B645" t="s">
        <v>2052</v>
      </c>
      <c r="C645" t="s">
        <v>2053</v>
      </c>
      <c r="D645" t="s">
        <v>7</v>
      </c>
      <c r="K645" t="str">
        <f t="shared" si="9"/>
        <v>172.515</v>
      </c>
      <c r="AG645" t="str">
        <f>T("2301")</f>
        <v>2301</v>
      </c>
      <c r="AH645" t="str">
        <f t="shared" si="10"/>
        <v>3</v>
      </c>
      <c r="AK645" t="str">
        <f>T("651")</f>
        <v>651</v>
      </c>
    </row>
    <row r="646" spans="1:37" x14ac:dyDescent="0.3">
      <c r="A646" t="s">
        <v>2054</v>
      </c>
      <c r="B646" t="s">
        <v>2055</v>
      </c>
      <c r="C646" t="s">
        <v>2056</v>
      </c>
      <c r="D646" t="s">
        <v>7</v>
      </c>
      <c r="AG646" t="str">
        <f>T("4294")</f>
        <v>4294</v>
      </c>
      <c r="AH646" t="str">
        <f t="shared" ref="AH646:AH652" si="11">T("23")</f>
        <v>23</v>
      </c>
      <c r="AK646" t="str">
        <f>T("1715")</f>
        <v>1715</v>
      </c>
    </row>
    <row r="647" spans="1:37" x14ac:dyDescent="0.3">
      <c r="A647" t="s">
        <v>2057</v>
      </c>
      <c r="B647" t="s">
        <v>2058</v>
      </c>
      <c r="C647" t="s">
        <v>2059</v>
      </c>
      <c r="D647" t="s">
        <v>7</v>
      </c>
      <c r="AG647" t="str">
        <f>T("4318")</f>
        <v>4318</v>
      </c>
      <c r="AH647" t="str">
        <f t="shared" si="11"/>
        <v>23</v>
      </c>
      <c r="AK647" t="str">
        <f>T("1762")</f>
        <v>1762</v>
      </c>
    </row>
    <row r="648" spans="1:37" x14ac:dyDescent="0.3">
      <c r="A648" t="s">
        <v>2060</v>
      </c>
      <c r="B648" t="s">
        <v>2061</v>
      </c>
      <c r="C648" t="s">
        <v>2062</v>
      </c>
      <c r="D648" t="s">
        <v>7</v>
      </c>
      <c r="AG648" t="str">
        <f>T("4319")</f>
        <v>4319</v>
      </c>
      <c r="AH648" t="str">
        <f t="shared" si="11"/>
        <v>23</v>
      </c>
      <c r="AK648" t="str">
        <f>T("1761")</f>
        <v>1761</v>
      </c>
    </row>
    <row r="649" spans="1:37" x14ac:dyDescent="0.3">
      <c r="A649" t="s">
        <v>2063</v>
      </c>
      <c r="B649" t="s">
        <v>2064</v>
      </c>
      <c r="C649" t="s">
        <v>2065</v>
      </c>
      <c r="D649" t="s">
        <v>7</v>
      </c>
      <c r="AG649" t="str">
        <f>T("4286")</f>
        <v>4286</v>
      </c>
      <c r="AH649" t="str">
        <f t="shared" si="11"/>
        <v>23</v>
      </c>
      <c r="AK649" t="str">
        <f>T("1732")</f>
        <v>1732</v>
      </c>
    </row>
    <row r="650" spans="1:37" x14ac:dyDescent="0.3">
      <c r="A650" t="s">
        <v>2066</v>
      </c>
      <c r="B650" t="s">
        <v>2067</v>
      </c>
      <c r="C650" t="s">
        <v>2068</v>
      </c>
      <c r="D650" t="s">
        <v>7</v>
      </c>
      <c r="AG650" t="str">
        <f>T("4287")</f>
        <v>4287</v>
      </c>
      <c r="AH650" t="str">
        <f t="shared" si="11"/>
        <v>23</v>
      </c>
      <c r="AK650" t="str">
        <f>T("1748")</f>
        <v>1748</v>
      </c>
    </row>
    <row r="651" spans="1:37" x14ac:dyDescent="0.3">
      <c r="A651" t="s">
        <v>2069</v>
      </c>
      <c r="B651" t="s">
        <v>2070</v>
      </c>
      <c r="C651" t="s">
        <v>2071</v>
      </c>
      <c r="D651" t="s">
        <v>7</v>
      </c>
      <c r="AG651" t="str">
        <f>T("4300")</f>
        <v>4300</v>
      </c>
      <c r="AH651" t="str">
        <f t="shared" si="11"/>
        <v>23</v>
      </c>
      <c r="AK651" t="str">
        <f>T("1673")</f>
        <v>1673</v>
      </c>
    </row>
    <row r="652" spans="1:37" x14ac:dyDescent="0.3">
      <c r="A652" t="s">
        <v>2072</v>
      </c>
      <c r="B652" t="s">
        <v>2073</v>
      </c>
      <c r="C652" t="s">
        <v>2074</v>
      </c>
      <c r="D652" t="s">
        <v>7</v>
      </c>
      <c r="AG652" t="str">
        <f>T("4393")</f>
        <v>4393</v>
      </c>
      <c r="AH652" t="str">
        <f t="shared" si="11"/>
        <v>23</v>
      </c>
      <c r="AK652" t="str">
        <f>T("1908")</f>
        <v>1908</v>
      </c>
    </row>
    <row r="653" spans="1:37" x14ac:dyDescent="0.3">
      <c r="A653" t="s">
        <v>2075</v>
      </c>
      <c r="B653" t="s">
        <v>2076</v>
      </c>
      <c r="C653" t="s">
        <v>2077</v>
      </c>
      <c r="D653" t="s">
        <v>7</v>
      </c>
      <c r="AG653" t="str">
        <f>T("4499")</f>
        <v>4499</v>
      </c>
      <c r="AH653" t="str">
        <f>T("24")</f>
        <v>24</v>
      </c>
      <c r="AK653" t="str">
        <f>T("1943")</f>
        <v>1943</v>
      </c>
    </row>
    <row r="654" spans="1:37" x14ac:dyDescent="0.3">
      <c r="A654" t="s">
        <v>2078</v>
      </c>
      <c r="B654" t="s">
        <v>2079</v>
      </c>
      <c r="C654" t="s">
        <v>2080</v>
      </c>
      <c r="D654" t="s">
        <v>7</v>
      </c>
      <c r="AG654" t="str">
        <f>T("4349")</f>
        <v>4349</v>
      </c>
      <c r="AH654" t="str">
        <f>T("23")</f>
        <v>23</v>
      </c>
      <c r="AK654" t="str">
        <f>T("1633")</f>
        <v>1633</v>
      </c>
    </row>
    <row r="655" spans="1:37" x14ac:dyDescent="0.3">
      <c r="A655" t="s">
        <v>2081</v>
      </c>
      <c r="B655" t="s">
        <v>2082</v>
      </c>
      <c r="C655" t="s">
        <v>2083</v>
      </c>
      <c r="D655" t="s">
        <v>7</v>
      </c>
      <c r="K655" t="str">
        <f>T("172.515")</f>
        <v>172.515</v>
      </c>
      <c r="AG655" t="str">
        <f>T("3289")</f>
        <v>3289</v>
      </c>
      <c r="AH655" t="str">
        <f>T("5")</f>
        <v>5</v>
      </c>
      <c r="AI655" t="str">
        <f>T("25")</f>
        <v>25</v>
      </c>
      <c r="AK655" t="str">
        <f>T("320")</f>
        <v>320</v>
      </c>
    </row>
    <row r="656" spans="1:37" x14ac:dyDescent="0.3">
      <c r="A656" t="s">
        <v>2084</v>
      </c>
      <c r="B656" t="s">
        <v>2085</v>
      </c>
      <c r="C656" t="s">
        <v>2086</v>
      </c>
      <c r="D656" t="s">
        <v>7</v>
      </c>
      <c r="AG656" t="str">
        <f>T("4493")</f>
        <v>4493</v>
      </c>
      <c r="AH656" t="str">
        <f>T("24")</f>
        <v>24</v>
      </c>
      <c r="AK656" t="str">
        <f>T("2181")</f>
        <v>2181</v>
      </c>
    </row>
    <row r="657" spans="1:37" x14ac:dyDescent="0.3">
      <c r="A657" t="s">
        <v>2087</v>
      </c>
      <c r="B657" t="s">
        <v>2088</v>
      </c>
      <c r="C657" t="s">
        <v>2089</v>
      </c>
      <c r="D657" t="s">
        <v>7</v>
      </c>
      <c r="K657" t="str">
        <f>T("172.515")</f>
        <v>172.515</v>
      </c>
      <c r="AG657" t="str">
        <f>T("2563")</f>
        <v>2563</v>
      </c>
      <c r="AH657" t="str">
        <f>T("3")</f>
        <v>3</v>
      </c>
      <c r="AK657" t="str">
        <f>T("315")</f>
        <v>315</v>
      </c>
    </row>
    <row r="658" spans="1:37" x14ac:dyDescent="0.3">
      <c r="A658" t="s">
        <v>2090</v>
      </c>
      <c r="B658" t="s">
        <v>2091</v>
      </c>
      <c r="C658" t="s">
        <v>2092</v>
      </c>
      <c r="D658" t="s">
        <v>7</v>
      </c>
      <c r="AG658" t="str">
        <f>T("3171")</f>
        <v>3171</v>
      </c>
      <c r="AH658" t="str">
        <f>T("4")</f>
        <v>4</v>
      </c>
      <c r="AI658" t="str">
        <f>T("25")</f>
        <v>25</v>
      </c>
      <c r="AK658" t="str">
        <f>T("134")</f>
        <v>134</v>
      </c>
    </row>
    <row r="659" spans="1:37" x14ac:dyDescent="0.3">
      <c r="A659" t="s">
        <v>2093</v>
      </c>
      <c r="B659" t="s">
        <v>2094</v>
      </c>
      <c r="C659" t="s">
        <v>2095</v>
      </c>
      <c r="D659" t="s">
        <v>7</v>
      </c>
      <c r="AG659" t="str">
        <f>T("4489")</f>
        <v>4489</v>
      </c>
      <c r="AH659" t="str">
        <f>T("24")</f>
        <v>24</v>
      </c>
      <c r="AK659" t="str">
        <f>T("1974")</f>
        <v>1974</v>
      </c>
    </row>
    <row r="660" spans="1:37" x14ac:dyDescent="0.3">
      <c r="A660" t="s">
        <v>2096</v>
      </c>
      <c r="B660" t="s">
        <v>2097</v>
      </c>
      <c r="C660" t="s">
        <v>2098</v>
      </c>
      <c r="D660" t="s">
        <v>7</v>
      </c>
      <c r="AG660" t="str">
        <f>T("3402")</f>
        <v>3402</v>
      </c>
      <c r="AH660" t="str">
        <f>T("7")</f>
        <v>7</v>
      </c>
      <c r="AI660" t="str">
        <f>T("25")</f>
        <v>25</v>
      </c>
      <c r="AK660" t="str">
        <f>T("157")</f>
        <v>157</v>
      </c>
    </row>
    <row r="661" spans="1:37" x14ac:dyDescent="0.3">
      <c r="A661" t="s">
        <v>2099</v>
      </c>
      <c r="B661" t="s">
        <v>2100</v>
      </c>
      <c r="C661" t="s">
        <v>2101</v>
      </c>
      <c r="D661" t="s">
        <v>7</v>
      </c>
      <c r="AG661" t="str">
        <f>T("3689")</f>
        <v>3689</v>
      </c>
      <c r="AH661" t="str">
        <f>T("13")</f>
        <v>13</v>
      </c>
      <c r="AI661" t="str">
        <f>T("25")</f>
        <v>25</v>
      </c>
      <c r="AK661" t="str">
        <f>T("336")</f>
        <v>336</v>
      </c>
    </row>
    <row r="662" spans="1:37" x14ac:dyDescent="0.3">
      <c r="A662" t="s">
        <v>2102</v>
      </c>
      <c r="B662" t="s">
        <v>2103</v>
      </c>
      <c r="C662" t="s">
        <v>2104</v>
      </c>
      <c r="D662" t="s">
        <v>7</v>
      </c>
      <c r="AG662" t="str">
        <f>T("3353")</f>
        <v>3353</v>
      </c>
      <c r="AH662" t="s">
        <v>1308</v>
      </c>
      <c r="AK662" t="str">
        <f>T("1272")</f>
        <v>1272</v>
      </c>
    </row>
    <row r="663" spans="1:37" x14ac:dyDescent="0.3">
      <c r="A663" t="s">
        <v>2105</v>
      </c>
      <c r="B663" t="s">
        <v>2106</v>
      </c>
      <c r="C663" t="s">
        <v>2107</v>
      </c>
      <c r="D663" t="s">
        <v>7</v>
      </c>
      <c r="AG663" t="str">
        <f>T("3403")</f>
        <v>3403</v>
      </c>
      <c r="AH663" t="str">
        <f>T("7")</f>
        <v>7</v>
      </c>
      <c r="AI663" t="str">
        <f>T("25")</f>
        <v>25</v>
      </c>
      <c r="AK663" t="str">
        <f>T("165")</f>
        <v>165</v>
      </c>
    </row>
    <row r="664" spans="1:37" x14ac:dyDescent="0.3">
      <c r="A664" t="s">
        <v>2108</v>
      </c>
      <c r="B664" t="s">
        <v>2109</v>
      </c>
      <c r="C664" t="s">
        <v>2110</v>
      </c>
      <c r="D664" t="s">
        <v>7</v>
      </c>
      <c r="AG664" t="str">
        <f>T("3645")</f>
        <v>3645</v>
      </c>
      <c r="AH664" t="str">
        <f>T("12")</f>
        <v>12</v>
      </c>
      <c r="AK664" t="str">
        <f>T("968")</f>
        <v>968</v>
      </c>
    </row>
    <row r="665" spans="1:37" x14ac:dyDescent="0.3">
      <c r="A665" t="s">
        <v>2111</v>
      </c>
      <c r="B665" t="s">
        <v>2112</v>
      </c>
      <c r="C665" t="s">
        <v>2113</v>
      </c>
      <c r="D665" t="s">
        <v>7</v>
      </c>
      <c r="AG665" t="str">
        <f>T("4412")</f>
        <v>4412</v>
      </c>
      <c r="AH665" t="str">
        <f>T("23")</f>
        <v>23</v>
      </c>
      <c r="AI665" t="str">
        <f>T("24")</f>
        <v>24</v>
      </c>
      <c r="AK665" t="str">
        <f>T("2177")</f>
        <v>2177</v>
      </c>
    </row>
    <row r="666" spans="1:37" x14ac:dyDescent="0.3">
      <c r="A666" t="s">
        <v>2114</v>
      </c>
      <c r="B666" t="s">
        <v>2115</v>
      </c>
      <c r="C666" t="s">
        <v>2116</v>
      </c>
      <c r="D666" t="s">
        <v>7</v>
      </c>
      <c r="AG666" t="str">
        <f>T("4359")</f>
        <v>4359</v>
      </c>
      <c r="AH666" t="str">
        <f>T("23")</f>
        <v>23</v>
      </c>
      <c r="AK666" t="str">
        <f>T("1638")</f>
        <v>1638</v>
      </c>
    </row>
    <row r="667" spans="1:37" x14ac:dyDescent="0.3">
      <c r="A667" t="s">
        <v>2117</v>
      </c>
      <c r="B667" t="s">
        <v>2118</v>
      </c>
      <c r="C667" t="s">
        <v>2119</v>
      </c>
      <c r="D667" t="s">
        <v>7</v>
      </c>
      <c r="AG667" t="str">
        <f>T("4350")</f>
        <v>4350</v>
      </c>
      <c r="AH667" t="str">
        <f>T("23")</f>
        <v>23</v>
      </c>
      <c r="AK667" t="str">
        <f>T("1631")</f>
        <v>1631</v>
      </c>
    </row>
    <row r="668" spans="1:37" x14ac:dyDescent="0.3">
      <c r="A668" t="s">
        <v>2120</v>
      </c>
      <c r="B668" t="s">
        <v>2121</v>
      </c>
      <c r="C668" t="s">
        <v>2122</v>
      </c>
      <c r="D668" t="s">
        <v>7</v>
      </c>
      <c r="K668" t="str">
        <f>T("182.60")</f>
        <v>182.60</v>
      </c>
      <c r="AG668" t="str">
        <f>T("2303")</f>
        <v>2303</v>
      </c>
      <c r="AH668" t="str">
        <f>T("3")</f>
        <v>3</v>
      </c>
      <c r="AI668" t="str">
        <f>T("25")</f>
        <v>25</v>
      </c>
      <c r="AK668" t="str">
        <f>T("1225")</f>
        <v>1225</v>
      </c>
    </row>
    <row r="669" spans="1:37" x14ac:dyDescent="0.3">
      <c r="A669" t="s">
        <v>2123</v>
      </c>
      <c r="B669" t="s">
        <v>2124</v>
      </c>
      <c r="C669" t="s">
        <v>2125</v>
      </c>
      <c r="D669" t="s">
        <v>7</v>
      </c>
      <c r="K669" t="str">
        <f>T("172.515")</f>
        <v>172.515</v>
      </c>
      <c r="AG669" t="str">
        <f>T("2304")</f>
        <v>2304</v>
      </c>
      <c r="AH669" t="str">
        <f>T("3")</f>
        <v>3</v>
      </c>
      <c r="AK669" t="str">
        <f>T("948")</f>
        <v>948</v>
      </c>
    </row>
    <row r="670" spans="1:37" x14ac:dyDescent="0.3">
      <c r="A670" t="s">
        <v>2126</v>
      </c>
      <c r="B670" t="s">
        <v>2127</v>
      </c>
      <c r="C670" t="s">
        <v>2128</v>
      </c>
      <c r="D670" t="s">
        <v>7</v>
      </c>
      <c r="K670" t="str">
        <f>T("172.515")</f>
        <v>172.515</v>
      </c>
      <c r="AG670" t="str">
        <f>T("2305")</f>
        <v>2305</v>
      </c>
      <c r="AH670" t="str">
        <f>T("3")</f>
        <v>3</v>
      </c>
      <c r="AI670" t="str">
        <f>T("25")</f>
        <v>25</v>
      </c>
      <c r="AK670" t="str">
        <f>T("944")</f>
        <v>944</v>
      </c>
    </row>
    <row r="671" spans="1:37" x14ac:dyDescent="0.3">
      <c r="A671" t="s">
        <v>2129</v>
      </c>
      <c r="B671" t="s">
        <v>2130</v>
      </c>
      <c r="C671" t="s">
        <v>2131</v>
      </c>
      <c r="D671" t="s">
        <v>7</v>
      </c>
      <c r="AG671" t="str">
        <f>T("4486")</f>
        <v>4486</v>
      </c>
      <c r="AH671" t="str">
        <f>T("24")</f>
        <v>24</v>
      </c>
    </row>
    <row r="672" spans="1:37" x14ac:dyDescent="0.3">
      <c r="A672" t="s">
        <v>2132</v>
      </c>
      <c r="B672" t="s">
        <v>2133</v>
      </c>
      <c r="C672" t="s">
        <v>2134</v>
      </c>
      <c r="D672" t="s">
        <v>7</v>
      </c>
      <c r="K672" t="str">
        <f>T("172.515")</f>
        <v>172.515</v>
      </c>
    </row>
    <row r="673" spans="1:37" x14ac:dyDescent="0.3">
      <c r="A673" t="s">
        <v>2135</v>
      </c>
      <c r="B673" t="s">
        <v>2136</v>
      </c>
      <c r="D673" t="s">
        <v>7</v>
      </c>
      <c r="AG673" t="str">
        <f>T("4307")</f>
        <v>4307</v>
      </c>
      <c r="AH673" t="str">
        <f>T("23")</f>
        <v>23</v>
      </c>
    </row>
    <row r="674" spans="1:37" x14ac:dyDescent="0.3">
      <c r="A674" t="s">
        <v>2137</v>
      </c>
      <c r="B674" t="s">
        <v>2138</v>
      </c>
      <c r="C674" t="s">
        <v>2139</v>
      </c>
      <c r="D674" t="s">
        <v>7</v>
      </c>
      <c r="K674" t="str">
        <f>T("172.515")</f>
        <v>172.515</v>
      </c>
      <c r="AG674" t="str">
        <f>T("2307")</f>
        <v>2307</v>
      </c>
      <c r="AH674" t="str">
        <f>T("3")</f>
        <v>3</v>
      </c>
      <c r="AK674" t="str">
        <f>T("1220")</f>
        <v>1220</v>
      </c>
    </row>
    <row r="675" spans="1:37" x14ac:dyDescent="0.3">
      <c r="A675" t="s">
        <v>2140</v>
      </c>
      <c r="B675" t="s">
        <v>2141</v>
      </c>
      <c r="C675" t="s">
        <v>2142</v>
      </c>
      <c r="D675" t="s">
        <v>7</v>
      </c>
      <c r="K675" t="str">
        <f>T("182.20")</f>
        <v>182.20</v>
      </c>
      <c r="AG675" t="str">
        <f>T("2308")</f>
        <v>2308</v>
      </c>
      <c r="AH675" t="str">
        <f>T("3")</f>
        <v>3</v>
      </c>
    </row>
    <row r="676" spans="1:37" x14ac:dyDescent="0.3">
      <c r="A676" t="s">
        <v>2143</v>
      </c>
      <c r="B676" t="s">
        <v>2144</v>
      </c>
      <c r="C676" t="s">
        <v>2145</v>
      </c>
      <c r="D676" t="s">
        <v>7</v>
      </c>
      <c r="K676" t="str">
        <f>T("172.515")</f>
        <v>172.515</v>
      </c>
      <c r="AG676" t="str">
        <f>T("2309")</f>
        <v>2309</v>
      </c>
      <c r="AH676" t="str">
        <f>T("3")</f>
        <v>3</v>
      </c>
      <c r="AK676" t="str">
        <f>T("1219")</f>
        <v>1219</v>
      </c>
    </row>
    <row r="677" spans="1:37" x14ac:dyDescent="0.3">
      <c r="A677" t="s">
        <v>2146</v>
      </c>
      <c r="B677" t="s">
        <v>2147</v>
      </c>
      <c r="C677" t="s">
        <v>2148</v>
      </c>
      <c r="D677" t="s">
        <v>7</v>
      </c>
      <c r="K677" t="str">
        <f>T("172.515")</f>
        <v>172.515</v>
      </c>
      <c r="AG677" t="str">
        <f>T("2310")</f>
        <v>2310</v>
      </c>
      <c r="AH677" t="str">
        <f>T("3")</f>
        <v>3</v>
      </c>
      <c r="AI677" t="str">
        <f>T("25")</f>
        <v>25</v>
      </c>
      <c r="AK677" t="str">
        <f>T("592")</f>
        <v>592</v>
      </c>
    </row>
    <row r="678" spans="1:37" x14ac:dyDescent="0.3">
      <c r="A678" t="s">
        <v>2149</v>
      </c>
      <c r="B678" t="s">
        <v>2150</v>
      </c>
      <c r="C678" t="s">
        <v>2151</v>
      </c>
      <c r="D678" t="s">
        <v>7</v>
      </c>
      <c r="K678" t="str">
        <f>T("172.515")</f>
        <v>172.515</v>
      </c>
      <c r="AG678" t="str">
        <f>T("2311")</f>
        <v>2311</v>
      </c>
      <c r="AH678" t="str">
        <f>T("3")</f>
        <v>3</v>
      </c>
      <c r="AK678" t="str">
        <f>T("57")</f>
        <v>57</v>
      </c>
    </row>
    <row r="679" spans="1:37" x14ac:dyDescent="0.3">
      <c r="A679" t="s">
        <v>2152</v>
      </c>
      <c r="B679" t="s">
        <v>2153</v>
      </c>
      <c r="C679" t="s">
        <v>2154</v>
      </c>
      <c r="D679" t="s">
        <v>7</v>
      </c>
      <c r="AG679" t="str">
        <f>T("4086")</f>
        <v>4086</v>
      </c>
      <c r="AH679" t="str">
        <f>T("22")</f>
        <v>22</v>
      </c>
      <c r="AK679" t="str">
        <f>T("1539")</f>
        <v>1539</v>
      </c>
    </row>
    <row r="680" spans="1:37" x14ac:dyDescent="0.3">
      <c r="A680" t="s">
        <v>2155</v>
      </c>
      <c r="B680" t="s">
        <v>2156</v>
      </c>
      <c r="C680" t="s">
        <v>2157</v>
      </c>
      <c r="D680" t="s">
        <v>7</v>
      </c>
      <c r="K680" t="str">
        <f>T("172.515")</f>
        <v>172.515</v>
      </c>
      <c r="AG680" t="str">
        <f>T("2312")</f>
        <v>2312</v>
      </c>
      <c r="AH680" t="str">
        <f>T("3")</f>
        <v>3</v>
      </c>
      <c r="AK680" t="str">
        <f>T("65")</f>
        <v>65</v>
      </c>
    </row>
    <row r="681" spans="1:37" x14ac:dyDescent="0.3">
      <c r="A681" t="s">
        <v>2158</v>
      </c>
      <c r="B681" t="s">
        <v>2159</v>
      </c>
      <c r="C681" t="s">
        <v>2160</v>
      </c>
      <c r="D681" t="s">
        <v>7</v>
      </c>
      <c r="K681" t="str">
        <f>T("172.515")</f>
        <v>172.515</v>
      </c>
      <c r="AG681" t="str">
        <f>T("2314")</f>
        <v>2314</v>
      </c>
      <c r="AH681" t="str">
        <f>T("3")</f>
        <v>3</v>
      </c>
      <c r="AI681" t="str">
        <f>T("25")</f>
        <v>25</v>
      </c>
      <c r="AK681" t="str">
        <f>T("53")</f>
        <v>53</v>
      </c>
    </row>
    <row r="682" spans="1:37" x14ac:dyDescent="0.3">
      <c r="A682" t="s">
        <v>2161</v>
      </c>
      <c r="B682" t="s">
        <v>2162</v>
      </c>
      <c r="C682" t="s">
        <v>2163</v>
      </c>
      <c r="D682" t="s">
        <v>7</v>
      </c>
      <c r="K682" t="str">
        <f>T("172.515")</f>
        <v>172.515</v>
      </c>
      <c r="AG682" t="str">
        <f>T("2313")</f>
        <v>2313</v>
      </c>
      <c r="AH682" t="str">
        <f>T("3")</f>
        <v>3</v>
      </c>
      <c r="AI682" t="str">
        <f>T("25")</f>
        <v>25</v>
      </c>
      <c r="AK682" t="str">
        <f>T("71")</f>
        <v>71</v>
      </c>
    </row>
    <row r="683" spans="1:37" x14ac:dyDescent="0.3">
      <c r="A683" t="s">
        <v>2164</v>
      </c>
      <c r="B683" t="s">
        <v>2165</v>
      </c>
      <c r="C683" t="s">
        <v>2166</v>
      </c>
      <c r="D683" t="s">
        <v>7</v>
      </c>
      <c r="K683" t="str">
        <f>T("172.515")</f>
        <v>172.515</v>
      </c>
      <c r="AG683" t="str">
        <f>T("2315")</f>
        <v>2315</v>
      </c>
      <c r="AH683" t="str">
        <f>T("3")</f>
        <v>3</v>
      </c>
      <c r="AI683" t="str">
        <f>T("25")</f>
        <v>25</v>
      </c>
      <c r="AK683" t="str">
        <f>T("1021")</f>
        <v>1021</v>
      </c>
    </row>
    <row r="684" spans="1:37" x14ac:dyDescent="0.3">
      <c r="A684" t="s">
        <v>2167</v>
      </c>
      <c r="B684" t="s">
        <v>2168</v>
      </c>
      <c r="C684" t="s">
        <v>2169</v>
      </c>
      <c r="D684" t="s">
        <v>7</v>
      </c>
      <c r="K684" t="str">
        <f>T("172.515")</f>
        <v>172.515</v>
      </c>
      <c r="AG684" t="str">
        <f>T("2316")</f>
        <v>2316</v>
      </c>
      <c r="AH684" t="str">
        <f>T("3")</f>
        <v>3</v>
      </c>
      <c r="AI684" t="str">
        <f>T("25")</f>
        <v>25</v>
      </c>
      <c r="AK684" t="str">
        <f>T("61")</f>
        <v>61</v>
      </c>
    </row>
    <row r="685" spans="1:37" x14ac:dyDescent="0.3">
      <c r="A685" t="s">
        <v>2170</v>
      </c>
      <c r="B685" t="s">
        <v>2171</v>
      </c>
      <c r="C685" t="s">
        <v>2172</v>
      </c>
      <c r="D685" t="s">
        <v>7</v>
      </c>
      <c r="AG685" t="str">
        <f>T("4295")</f>
        <v>4295</v>
      </c>
      <c r="AH685" t="str">
        <f>T("23")</f>
        <v>23</v>
      </c>
      <c r="AK685" t="str">
        <f>T("1823")</f>
        <v>1823</v>
      </c>
    </row>
    <row r="686" spans="1:37" x14ac:dyDescent="0.3">
      <c r="A686" t="s">
        <v>2173</v>
      </c>
      <c r="B686" t="s">
        <v>2174</v>
      </c>
      <c r="C686" t="s">
        <v>2175</v>
      </c>
      <c r="D686" t="s">
        <v>7</v>
      </c>
      <c r="K686" t="str">
        <f>T("172.515")</f>
        <v>172.515</v>
      </c>
      <c r="AG686" t="str">
        <f>T("2317")</f>
        <v>2317</v>
      </c>
      <c r="AH686" t="str">
        <f>T("3")</f>
        <v>3</v>
      </c>
      <c r="AK686" t="str">
        <f>T("69")</f>
        <v>69</v>
      </c>
    </row>
    <row r="687" spans="1:37" x14ac:dyDescent="0.3">
      <c r="A687" t="s">
        <v>2176</v>
      </c>
      <c r="B687" t="s">
        <v>2177</v>
      </c>
      <c r="C687" t="s">
        <v>2178</v>
      </c>
      <c r="D687" t="s">
        <v>7</v>
      </c>
      <c r="K687" t="str">
        <f>T("182.20")</f>
        <v>182.20</v>
      </c>
      <c r="AG687" t="str">
        <f>T("2318")</f>
        <v>2318</v>
      </c>
      <c r="AH687" t="str">
        <f>T("3")</f>
        <v>3</v>
      </c>
    </row>
    <row r="688" spans="1:37" x14ac:dyDescent="0.3">
      <c r="A688" t="s">
        <v>2179</v>
      </c>
      <c r="B688" t="s">
        <v>2180</v>
      </c>
      <c r="C688" t="s">
        <v>2181</v>
      </c>
      <c r="D688" t="s">
        <v>15</v>
      </c>
      <c r="K688" t="str">
        <f>T("182.50")</f>
        <v>182.50</v>
      </c>
      <c r="AG688" t="str">
        <f>T("2319")</f>
        <v>2319</v>
      </c>
      <c r="AH688" t="str">
        <f>T("3")</f>
        <v>3</v>
      </c>
    </row>
    <row r="689" spans="1:34" x14ac:dyDescent="0.3">
      <c r="A689" t="s">
        <v>2182</v>
      </c>
      <c r="B689" t="s">
        <v>2183</v>
      </c>
      <c r="C689" t="s">
        <v>2184</v>
      </c>
      <c r="D689" t="s">
        <v>7</v>
      </c>
      <c r="K689" t="str">
        <f>T("182.10")</f>
        <v>182.10</v>
      </c>
      <c r="AG689" t="str">
        <f>T("2320")</f>
        <v>2320</v>
      </c>
      <c r="AH689" t="str">
        <f>T("3")</f>
        <v>3</v>
      </c>
    </row>
    <row r="690" spans="1:34" x14ac:dyDescent="0.3">
      <c r="A690" t="s">
        <v>2185</v>
      </c>
      <c r="B690" t="s">
        <v>2186</v>
      </c>
      <c r="C690" t="s">
        <v>2187</v>
      </c>
      <c r="D690" t="s">
        <v>7</v>
      </c>
      <c r="K690" t="str">
        <f>T("182.20")</f>
        <v>182.20</v>
      </c>
      <c r="AG690" t="str">
        <f>T("2321")</f>
        <v>2321</v>
      </c>
      <c r="AH690" t="str">
        <f>T("3")</f>
        <v>3</v>
      </c>
    </row>
    <row r="691" spans="1:34" x14ac:dyDescent="0.3">
      <c r="A691" t="s">
        <v>2188</v>
      </c>
      <c r="B691" t="s">
        <v>2189</v>
      </c>
      <c r="C691" t="s">
        <v>2190</v>
      </c>
      <c r="K691" t="str">
        <f>T("182.20")</f>
        <v>182.20</v>
      </c>
    </row>
    <row r="692" spans="1:34" x14ac:dyDescent="0.3">
      <c r="A692" t="s">
        <v>2191</v>
      </c>
      <c r="B692" t="s">
        <v>2192</v>
      </c>
      <c r="C692" t="s">
        <v>2193</v>
      </c>
      <c r="K692" t="str">
        <f>T("182.20")</f>
        <v>182.20</v>
      </c>
    </row>
    <row r="693" spans="1:34" x14ac:dyDescent="0.3">
      <c r="A693" t="s">
        <v>2194</v>
      </c>
      <c r="B693" t="s">
        <v>2195</v>
      </c>
      <c r="C693" t="s">
        <v>2196</v>
      </c>
      <c r="D693" t="s">
        <v>199</v>
      </c>
    </row>
    <row r="694" spans="1:34" x14ac:dyDescent="0.3">
      <c r="A694" t="s">
        <v>2197</v>
      </c>
      <c r="B694" t="s">
        <v>2198</v>
      </c>
      <c r="C694" t="s">
        <v>2199</v>
      </c>
      <c r="D694" t="s">
        <v>7</v>
      </c>
      <c r="K694" t="str">
        <f>T("184.1257")</f>
        <v>184.1257</v>
      </c>
      <c r="AG694" t="str">
        <f>T("2322")</f>
        <v>2322</v>
      </c>
      <c r="AH694" t="str">
        <f>T("3")</f>
        <v>3</v>
      </c>
    </row>
    <row r="695" spans="1:34" x14ac:dyDescent="0.3">
      <c r="A695" t="s">
        <v>2200</v>
      </c>
      <c r="B695" t="s">
        <v>2201</v>
      </c>
      <c r="C695" t="s">
        <v>2202</v>
      </c>
      <c r="D695" t="s">
        <v>7</v>
      </c>
      <c r="K695" t="str">
        <f>T("184.1257")</f>
        <v>184.1257</v>
      </c>
      <c r="AG695" t="str">
        <f>T("2323")</f>
        <v>2323</v>
      </c>
      <c r="AH695" t="str">
        <f>T("3")</f>
        <v>3</v>
      </c>
    </row>
    <row r="696" spans="1:34" x14ac:dyDescent="0.3">
      <c r="A696" t="s">
        <v>2203</v>
      </c>
      <c r="B696" t="s">
        <v>2204</v>
      </c>
      <c r="C696" t="s">
        <v>2205</v>
      </c>
      <c r="D696" t="s">
        <v>7</v>
      </c>
      <c r="K696" t="str">
        <f>T("184.1257")</f>
        <v>184.1257</v>
      </c>
      <c r="AG696" t="str">
        <f>T("2324")</f>
        <v>2324</v>
      </c>
      <c r="AH696" t="str">
        <f>T("3")</f>
        <v>3</v>
      </c>
    </row>
    <row r="697" spans="1:34" x14ac:dyDescent="0.3">
      <c r="A697" t="s">
        <v>2206</v>
      </c>
      <c r="B697" t="s">
        <v>2207</v>
      </c>
      <c r="C697" t="s">
        <v>2208</v>
      </c>
      <c r="D697" t="s">
        <v>7</v>
      </c>
      <c r="K697" t="str">
        <f>T("184.1257")</f>
        <v>184.1257</v>
      </c>
      <c r="AG697" t="str">
        <f>T("2325")</f>
        <v>2325</v>
      </c>
      <c r="AH697" t="str">
        <f>T("3")</f>
        <v>3</v>
      </c>
    </row>
    <row r="698" spans="1:34" x14ac:dyDescent="0.3">
      <c r="A698" t="s">
        <v>2209</v>
      </c>
      <c r="B698" t="s">
        <v>2210</v>
      </c>
      <c r="C698" t="s">
        <v>2211</v>
      </c>
      <c r="D698" t="s">
        <v>7</v>
      </c>
      <c r="K698" t="str">
        <f>T("182.10")</f>
        <v>182.10</v>
      </c>
    </row>
    <row r="699" spans="1:34" x14ac:dyDescent="0.3">
      <c r="A699" t="s">
        <v>2212</v>
      </c>
      <c r="B699" t="s">
        <v>2213</v>
      </c>
      <c r="C699" t="s">
        <v>2214</v>
      </c>
      <c r="D699" t="s">
        <v>7</v>
      </c>
      <c r="K699" t="str">
        <f>T("182.20")</f>
        <v>182.20</v>
      </c>
    </row>
    <row r="700" spans="1:34" x14ac:dyDescent="0.3">
      <c r="A700" t="s">
        <v>2215</v>
      </c>
      <c r="B700" t="s">
        <v>2216</v>
      </c>
      <c r="C700" t="s">
        <v>2217</v>
      </c>
      <c r="D700" t="s">
        <v>7</v>
      </c>
      <c r="AG700" t="str">
        <f>T("4727")</f>
        <v>4727</v>
      </c>
      <c r="AH700" t="str">
        <f>T("25")</f>
        <v>25</v>
      </c>
    </row>
    <row r="701" spans="1:34" x14ac:dyDescent="0.3">
      <c r="A701" t="s">
        <v>2218</v>
      </c>
      <c r="B701" t="s">
        <v>2219</v>
      </c>
      <c r="C701" t="s">
        <v>2220</v>
      </c>
      <c r="D701" t="s">
        <v>7</v>
      </c>
      <c r="K701" t="str">
        <f>T("182.20")</f>
        <v>182.20</v>
      </c>
    </row>
    <row r="702" spans="1:34" x14ac:dyDescent="0.3">
      <c r="A702" t="s">
        <v>2221</v>
      </c>
      <c r="B702" t="s">
        <v>2222</v>
      </c>
      <c r="C702" t="s">
        <v>2223</v>
      </c>
      <c r="D702" t="s">
        <v>7</v>
      </c>
      <c r="K702" t="str">
        <f>T("182.20")</f>
        <v>182.20</v>
      </c>
      <c r="AG702" t="str">
        <f>T("2326")</f>
        <v>2326</v>
      </c>
      <c r="AH702" t="str">
        <f>T("3")</f>
        <v>3</v>
      </c>
    </row>
    <row r="703" spans="1:34" x14ac:dyDescent="0.3">
      <c r="A703" t="s">
        <v>2224</v>
      </c>
      <c r="B703" t="s">
        <v>2225</v>
      </c>
      <c r="C703" t="s">
        <v>2226</v>
      </c>
      <c r="D703" t="s">
        <v>7</v>
      </c>
      <c r="K703" t="str">
        <f>T("184.1257")</f>
        <v>184.1257</v>
      </c>
      <c r="AF703" t="str">
        <f>T("101.22")</f>
        <v>101.22</v>
      </c>
      <c r="AG703" t="str">
        <f>T("2327")</f>
        <v>2327</v>
      </c>
      <c r="AH703" t="str">
        <f>T("3")</f>
        <v>3</v>
      </c>
    </row>
    <row r="704" spans="1:34" x14ac:dyDescent="0.3">
      <c r="A704" t="s">
        <v>2227</v>
      </c>
      <c r="B704" t="s">
        <v>2228</v>
      </c>
      <c r="C704" t="s">
        <v>2229</v>
      </c>
      <c r="D704" t="s">
        <v>7</v>
      </c>
      <c r="K704" t="str">
        <f>T("184.1257")</f>
        <v>184.1257</v>
      </c>
      <c r="AG704" t="str">
        <f>T("2328")</f>
        <v>2328</v>
      </c>
      <c r="AH704" t="str">
        <f>T("3")</f>
        <v>3</v>
      </c>
    </row>
    <row r="705" spans="1:34" x14ac:dyDescent="0.3">
      <c r="A705" t="s">
        <v>2230</v>
      </c>
      <c r="B705" t="s">
        <v>2231</v>
      </c>
      <c r="C705" t="s">
        <v>2232</v>
      </c>
      <c r="AD705" t="str">
        <f>T("189.120")</f>
        <v>189.120</v>
      </c>
    </row>
    <row r="706" spans="1:34" x14ac:dyDescent="0.3">
      <c r="A706" t="s">
        <v>2233</v>
      </c>
      <c r="B706" t="s">
        <v>2234</v>
      </c>
      <c r="C706" t="s">
        <v>2235</v>
      </c>
      <c r="D706" t="s">
        <v>2236</v>
      </c>
      <c r="K706" t="str">
        <f>T("173.310")</f>
        <v>173.310</v>
      </c>
      <c r="AD706" t="str">
        <f>T("189.120")</f>
        <v>189.120</v>
      </c>
    </row>
    <row r="707" spans="1:34" x14ac:dyDescent="0.3">
      <c r="A707" t="s">
        <v>2237</v>
      </c>
      <c r="B707" t="s">
        <v>2238</v>
      </c>
      <c r="C707" t="s">
        <v>2239</v>
      </c>
      <c r="D707" t="s">
        <v>7</v>
      </c>
      <c r="K707" t="str">
        <f>T("182.20")</f>
        <v>182.20</v>
      </c>
      <c r="AG707" t="str">
        <f>T("2329")</f>
        <v>2329</v>
      </c>
      <c r="AH707" t="str">
        <f>T("3")</f>
        <v>3</v>
      </c>
    </row>
    <row r="708" spans="1:34" x14ac:dyDescent="0.3">
      <c r="A708" t="s">
        <v>2240</v>
      </c>
      <c r="B708" t="s">
        <v>2241</v>
      </c>
      <c r="C708" t="s">
        <v>2242</v>
      </c>
      <c r="D708" t="s">
        <v>286</v>
      </c>
      <c r="E708" t="str">
        <f>T("73.100")</f>
        <v>73.100</v>
      </c>
      <c r="F708" t="str">
        <f>T("73.1100")</f>
        <v>73.1100</v>
      </c>
      <c r="AG708" t="str">
        <f>T("2330")</f>
        <v>2330</v>
      </c>
      <c r="AH708" t="str">
        <f>T("3")</f>
        <v>3</v>
      </c>
    </row>
    <row r="709" spans="1:34" x14ac:dyDescent="0.3">
      <c r="A709" t="s">
        <v>2243</v>
      </c>
      <c r="B709" t="s">
        <v>2244</v>
      </c>
      <c r="C709" t="s">
        <v>2245</v>
      </c>
      <c r="K709" t="str">
        <f>T("172.861")</f>
        <v>172.861</v>
      </c>
    </row>
    <row r="710" spans="1:34" x14ac:dyDescent="0.3">
      <c r="A710" t="s">
        <v>2246</v>
      </c>
      <c r="B710" t="s">
        <v>2247</v>
      </c>
      <c r="C710" t="s">
        <v>2248</v>
      </c>
      <c r="D710" t="s">
        <v>2249</v>
      </c>
      <c r="K710" t="str">
        <f>T("184.1259")</f>
        <v>184.1259</v>
      </c>
    </row>
    <row r="711" spans="1:34" x14ac:dyDescent="0.3">
      <c r="A711" t="s">
        <v>2250</v>
      </c>
      <c r="B711" t="s">
        <v>2251</v>
      </c>
      <c r="C711" t="s">
        <v>2252</v>
      </c>
      <c r="D711" t="s">
        <v>2253</v>
      </c>
      <c r="K711" t="str">
        <f>T("184.1259")</f>
        <v>184.1259</v>
      </c>
    </row>
    <row r="712" spans="1:34" x14ac:dyDescent="0.3">
      <c r="A712" t="s">
        <v>2254</v>
      </c>
      <c r="B712" t="s">
        <v>2255</v>
      </c>
      <c r="C712" t="s">
        <v>2256</v>
      </c>
      <c r="D712" t="s">
        <v>15</v>
      </c>
    </row>
    <row r="713" spans="1:34" x14ac:dyDescent="0.3">
      <c r="A713" t="s">
        <v>2257</v>
      </c>
      <c r="B713" t="s">
        <v>2258</v>
      </c>
      <c r="C713" t="s">
        <v>2259</v>
      </c>
      <c r="K713" t="str">
        <f>T("172.520")</f>
        <v>172.520</v>
      </c>
      <c r="L713" t="str">
        <f>T("172.810")</f>
        <v>172.810</v>
      </c>
      <c r="AF713" t="str">
        <f>T("163.117")</f>
        <v>163.117</v>
      </c>
    </row>
    <row r="714" spans="1:34" x14ac:dyDescent="0.3">
      <c r="A714" t="s">
        <v>2260</v>
      </c>
      <c r="B714" t="s">
        <v>2261</v>
      </c>
      <c r="C714" t="s">
        <v>2262</v>
      </c>
      <c r="D714" t="s">
        <v>2263</v>
      </c>
      <c r="K714" t="str">
        <f>T("175.300")</f>
        <v>175.300</v>
      </c>
      <c r="L714" t="str">
        <f>T("176.210")</f>
        <v>176.210</v>
      </c>
      <c r="M714" t="str">
        <f>T("177.2800")</f>
        <v>177.2800</v>
      </c>
    </row>
    <row r="715" spans="1:34" x14ac:dyDescent="0.3">
      <c r="A715" t="s">
        <v>2264</v>
      </c>
      <c r="B715" t="s">
        <v>2265</v>
      </c>
      <c r="C715" t="s">
        <v>2266</v>
      </c>
      <c r="K715" t="str">
        <f>T("182.70")</f>
        <v>182.70</v>
      </c>
    </row>
    <row r="716" spans="1:34" x14ac:dyDescent="0.3">
      <c r="A716" t="s">
        <v>2267</v>
      </c>
      <c r="B716" t="s">
        <v>2268</v>
      </c>
      <c r="C716" t="s">
        <v>2269</v>
      </c>
      <c r="D716" t="s">
        <v>7</v>
      </c>
      <c r="K716" t="str">
        <f>T("182.20")</f>
        <v>182.20</v>
      </c>
    </row>
    <row r="717" spans="1:34" x14ac:dyDescent="0.3">
      <c r="A717" t="s">
        <v>2270</v>
      </c>
      <c r="B717" t="s">
        <v>2271</v>
      </c>
      <c r="C717" t="s">
        <v>2272</v>
      </c>
      <c r="D717" t="s">
        <v>15</v>
      </c>
      <c r="K717" t="str">
        <f>T("173.255")</f>
        <v>173.255</v>
      </c>
      <c r="L717" t="str">
        <f>T("173.290")</f>
        <v>173.290</v>
      </c>
      <c r="M717" t="str">
        <f>T("182.20")</f>
        <v>182.20</v>
      </c>
    </row>
    <row r="718" spans="1:34" x14ac:dyDescent="0.3">
      <c r="A718" t="s">
        <v>2273</v>
      </c>
      <c r="B718" t="s">
        <v>2274</v>
      </c>
      <c r="C718" t="s">
        <v>2275</v>
      </c>
      <c r="D718" t="s">
        <v>7</v>
      </c>
      <c r="K718" t="str">
        <f>T("182.20")</f>
        <v>182.20</v>
      </c>
    </row>
    <row r="719" spans="1:34" x14ac:dyDescent="0.3">
      <c r="A719" t="s">
        <v>2276</v>
      </c>
      <c r="B719" t="s">
        <v>2277</v>
      </c>
      <c r="C719" t="s">
        <v>2278</v>
      </c>
      <c r="D719" t="s">
        <v>7</v>
      </c>
      <c r="K719" t="str">
        <f>T("182.50")</f>
        <v>182.50</v>
      </c>
      <c r="AG719" t="str">
        <f>T("2331")</f>
        <v>2331</v>
      </c>
      <c r="AH719" t="str">
        <f>T("3")</f>
        <v>3</v>
      </c>
    </row>
    <row r="720" spans="1:34" x14ac:dyDescent="0.3">
      <c r="A720" t="s">
        <v>2279</v>
      </c>
      <c r="B720" t="s">
        <v>2280</v>
      </c>
      <c r="C720" t="s">
        <v>2281</v>
      </c>
      <c r="D720" t="s">
        <v>7</v>
      </c>
      <c r="K720" t="str">
        <f>T("182.50")</f>
        <v>182.50</v>
      </c>
      <c r="AG720" t="str">
        <f>T("2332")</f>
        <v>2332</v>
      </c>
      <c r="AH720" t="str">
        <f>T("3")</f>
        <v>3</v>
      </c>
    </row>
    <row r="721" spans="1:34" x14ac:dyDescent="0.3">
      <c r="A721" t="s">
        <v>2282</v>
      </c>
      <c r="B721" t="s">
        <v>2283</v>
      </c>
      <c r="C721" t="s">
        <v>2284</v>
      </c>
      <c r="D721" t="s">
        <v>2285</v>
      </c>
    </row>
    <row r="722" spans="1:34" x14ac:dyDescent="0.3">
      <c r="A722" t="s">
        <v>2286</v>
      </c>
      <c r="B722" t="s">
        <v>2287</v>
      </c>
      <c r="C722" t="s">
        <v>2288</v>
      </c>
      <c r="D722" t="s">
        <v>2289</v>
      </c>
      <c r="K722" t="str">
        <f>T("173.350")</f>
        <v>173.350</v>
      </c>
    </row>
    <row r="723" spans="1:34" x14ac:dyDescent="0.3">
      <c r="A723" t="s">
        <v>2290</v>
      </c>
      <c r="B723" t="s">
        <v>2291</v>
      </c>
      <c r="C723" t="s">
        <v>2292</v>
      </c>
      <c r="D723" t="s">
        <v>7</v>
      </c>
      <c r="K723" t="str">
        <f>T("172.510")</f>
        <v>172.510</v>
      </c>
    </row>
    <row r="724" spans="1:34" x14ac:dyDescent="0.3">
      <c r="A724" t="s">
        <v>2293</v>
      </c>
      <c r="B724" t="s">
        <v>2294</v>
      </c>
      <c r="C724" t="s">
        <v>2295</v>
      </c>
      <c r="D724" t="s">
        <v>7</v>
      </c>
      <c r="K724" t="str">
        <f>T("172.510")</f>
        <v>172.510</v>
      </c>
    </row>
    <row r="725" spans="1:34" x14ac:dyDescent="0.3">
      <c r="A725" t="s">
        <v>2296</v>
      </c>
      <c r="B725" t="s">
        <v>2297</v>
      </c>
      <c r="C725" t="s">
        <v>2298</v>
      </c>
      <c r="E725" t="str">
        <f>T("73.1")</f>
        <v>73.1</v>
      </c>
    </row>
    <row r="726" spans="1:34" x14ac:dyDescent="0.3">
      <c r="A726" t="s">
        <v>2299</v>
      </c>
      <c r="B726" t="s">
        <v>2300</v>
      </c>
      <c r="C726" t="s">
        <v>2301</v>
      </c>
      <c r="D726" t="s">
        <v>2302</v>
      </c>
      <c r="K726" t="str">
        <f>T("184.1260")</f>
        <v>184.1260</v>
      </c>
    </row>
    <row r="727" spans="1:34" x14ac:dyDescent="0.3">
      <c r="A727" t="s">
        <v>2303</v>
      </c>
      <c r="B727" t="s">
        <v>2304</v>
      </c>
      <c r="C727" t="s">
        <v>2305</v>
      </c>
      <c r="D727" t="s">
        <v>2306</v>
      </c>
      <c r="K727" t="str">
        <f>T("184.1261")</f>
        <v>184.1261</v>
      </c>
    </row>
    <row r="728" spans="1:34" x14ac:dyDescent="0.3">
      <c r="A728" t="s">
        <v>2307</v>
      </c>
      <c r="B728" t="s">
        <v>2308</v>
      </c>
      <c r="C728" t="s">
        <v>2309</v>
      </c>
      <c r="D728" t="s">
        <v>7</v>
      </c>
      <c r="K728" t="str">
        <f>T("182.10")</f>
        <v>182.10</v>
      </c>
      <c r="AF728" t="str">
        <f>T("101.22")</f>
        <v>101.22</v>
      </c>
      <c r="AG728" t="str">
        <f>T("2333")</f>
        <v>2333</v>
      </c>
      <c r="AH728" t="str">
        <f>T("3")</f>
        <v>3</v>
      </c>
    </row>
    <row r="729" spans="1:34" x14ac:dyDescent="0.3">
      <c r="A729" t="s">
        <v>2310</v>
      </c>
      <c r="B729" t="s">
        <v>2311</v>
      </c>
      <c r="C729" t="s">
        <v>2312</v>
      </c>
      <c r="K729" t="str">
        <f>T("182.20")</f>
        <v>182.20</v>
      </c>
    </row>
    <row r="730" spans="1:34" x14ac:dyDescent="0.3">
      <c r="A730" t="s">
        <v>2313</v>
      </c>
      <c r="B730" t="s">
        <v>2314</v>
      </c>
      <c r="C730" t="s">
        <v>2315</v>
      </c>
      <c r="D730" t="s">
        <v>7</v>
      </c>
      <c r="K730" t="str">
        <f>T("182.20")</f>
        <v>182.20</v>
      </c>
      <c r="AG730" t="str">
        <f>T("2334")</f>
        <v>2334</v>
      </c>
      <c r="AH730" t="str">
        <f>T("3")</f>
        <v>3</v>
      </c>
    </row>
    <row r="731" spans="1:34" x14ac:dyDescent="0.3">
      <c r="A731" t="s">
        <v>2316</v>
      </c>
      <c r="B731" t="s">
        <v>2317</v>
      </c>
      <c r="C731" t="s">
        <v>2318</v>
      </c>
      <c r="D731" t="s">
        <v>7</v>
      </c>
      <c r="K731" t="str">
        <f>T("172.510")</f>
        <v>172.510</v>
      </c>
    </row>
    <row r="732" spans="1:34" x14ac:dyDescent="0.3">
      <c r="A732" t="s">
        <v>2319</v>
      </c>
      <c r="B732" t="s">
        <v>2320</v>
      </c>
      <c r="C732" t="s">
        <v>2321</v>
      </c>
      <c r="E732" t="str">
        <f>T("73.315")</f>
        <v>73.315</v>
      </c>
    </row>
    <row r="733" spans="1:34" ht="57.6" x14ac:dyDescent="0.3">
      <c r="A733" t="s">
        <v>2322</v>
      </c>
      <c r="B733" t="s">
        <v>2323</v>
      </c>
      <c r="C733" s="1" t="s">
        <v>2324</v>
      </c>
      <c r="D733" t="s">
        <v>137</v>
      </c>
      <c r="K733" t="str">
        <f>T("184.1321")</f>
        <v>184.1321</v>
      </c>
    </row>
    <row r="734" spans="1:34" x14ac:dyDescent="0.3">
      <c r="A734" t="s">
        <v>2325</v>
      </c>
      <c r="B734" t="s">
        <v>2326</v>
      </c>
      <c r="C734" t="s">
        <v>2327</v>
      </c>
      <c r="D734" t="s">
        <v>7</v>
      </c>
      <c r="AG734" t="str">
        <f>T("4219")</f>
        <v>4219</v>
      </c>
      <c r="AH734" t="str">
        <f>T("22")</f>
        <v>22</v>
      </c>
    </row>
    <row r="735" spans="1:34" x14ac:dyDescent="0.3">
      <c r="A735" t="s">
        <v>2328</v>
      </c>
      <c r="B735" t="s">
        <v>2329</v>
      </c>
      <c r="C735" t="s">
        <v>2330</v>
      </c>
      <c r="D735" t="s">
        <v>7</v>
      </c>
      <c r="K735" t="str">
        <f>T("184.1262")</f>
        <v>184.1262</v>
      </c>
      <c r="AG735" t="str">
        <f>T("2335")</f>
        <v>2335</v>
      </c>
      <c r="AH735" t="str">
        <f>T("3")</f>
        <v>3</v>
      </c>
    </row>
    <row r="736" spans="1:34" x14ac:dyDescent="0.3">
      <c r="A736" t="s">
        <v>2331</v>
      </c>
      <c r="B736" t="s">
        <v>2332</v>
      </c>
      <c r="C736" t="s">
        <v>2333</v>
      </c>
      <c r="D736" t="s">
        <v>7</v>
      </c>
      <c r="K736" t="str">
        <f>T("184.1262")</f>
        <v>184.1262</v>
      </c>
    </row>
    <row r="737" spans="1:37" x14ac:dyDescent="0.3">
      <c r="A737" t="s">
        <v>2334</v>
      </c>
      <c r="B737" t="s">
        <v>2335</v>
      </c>
      <c r="C737" t="s">
        <v>2336</v>
      </c>
      <c r="D737" t="s">
        <v>7</v>
      </c>
    </row>
    <row r="738" spans="1:37" x14ac:dyDescent="0.3">
      <c r="A738" t="s">
        <v>2337</v>
      </c>
      <c r="B738" t="s">
        <v>2338</v>
      </c>
      <c r="C738" t="s">
        <v>2339</v>
      </c>
      <c r="D738" t="s">
        <v>2340</v>
      </c>
      <c r="K738" t="str">
        <f>T("182.70")</f>
        <v>182.70</v>
      </c>
      <c r="L738" t="str">
        <f>T("182.90")</f>
        <v>182.90</v>
      </c>
    </row>
    <row r="739" spans="1:37" x14ac:dyDescent="0.3">
      <c r="A739" t="s">
        <v>2341</v>
      </c>
      <c r="B739" t="s">
        <v>2342</v>
      </c>
      <c r="C739" t="s">
        <v>2343</v>
      </c>
      <c r="D739" t="s">
        <v>2344</v>
      </c>
    </row>
    <row r="740" spans="1:37" x14ac:dyDescent="0.3">
      <c r="A740" t="s">
        <v>2345</v>
      </c>
      <c r="B740" t="s">
        <v>2346</v>
      </c>
      <c r="C740" t="s">
        <v>2347</v>
      </c>
      <c r="E740" t="str">
        <f>T("73.275")</f>
        <v>73.275</v>
      </c>
    </row>
    <row r="741" spans="1:37" x14ac:dyDescent="0.3">
      <c r="A741" t="s">
        <v>2348</v>
      </c>
      <c r="B741" t="s">
        <v>2349</v>
      </c>
      <c r="C741" t="s">
        <v>2350</v>
      </c>
      <c r="D741" t="s">
        <v>2351</v>
      </c>
      <c r="K741" t="str">
        <f>T("184.1865")</f>
        <v>184.1865</v>
      </c>
      <c r="AF741" t="s">
        <v>2352</v>
      </c>
    </row>
    <row r="742" spans="1:37" x14ac:dyDescent="0.3">
      <c r="A742" t="s">
        <v>2353</v>
      </c>
      <c r="B742" t="s">
        <v>2354</v>
      </c>
      <c r="C742" t="s">
        <v>2355</v>
      </c>
      <c r="D742" t="s">
        <v>7</v>
      </c>
      <c r="K742" t="str">
        <f>T("172.510")</f>
        <v>172.510</v>
      </c>
    </row>
    <row r="743" spans="1:37" x14ac:dyDescent="0.3">
      <c r="A743" t="s">
        <v>2356</v>
      </c>
      <c r="B743" t="s">
        <v>2357</v>
      </c>
      <c r="C743" t="s">
        <v>2358</v>
      </c>
      <c r="D743" t="s">
        <v>7</v>
      </c>
      <c r="K743" t="str">
        <f>T("172.510")</f>
        <v>172.510</v>
      </c>
      <c r="AG743" t="str">
        <f>T("2336")</f>
        <v>2336</v>
      </c>
      <c r="AH743" t="str">
        <f>T("3")</f>
        <v>3</v>
      </c>
    </row>
    <row r="744" spans="1:37" x14ac:dyDescent="0.3">
      <c r="A744" t="s">
        <v>2359</v>
      </c>
      <c r="B744" t="s">
        <v>2360</v>
      </c>
      <c r="C744" t="s">
        <v>2361</v>
      </c>
      <c r="D744" t="s">
        <v>199</v>
      </c>
      <c r="K744" t="str">
        <f>T("172.894")</f>
        <v>172.894</v>
      </c>
    </row>
    <row r="745" spans="1:37" x14ac:dyDescent="0.3">
      <c r="A745" t="s">
        <v>2362</v>
      </c>
      <c r="B745" t="s">
        <v>2363</v>
      </c>
      <c r="C745" t="s">
        <v>2364</v>
      </c>
      <c r="D745" t="s">
        <v>199</v>
      </c>
      <c r="K745" t="str">
        <f>T("172.894")</f>
        <v>172.894</v>
      </c>
    </row>
    <row r="746" spans="1:37" x14ac:dyDescent="0.3">
      <c r="A746" t="s">
        <v>2365</v>
      </c>
      <c r="B746" t="s">
        <v>2366</v>
      </c>
      <c r="C746" t="s">
        <v>2367</v>
      </c>
      <c r="D746" t="s">
        <v>460</v>
      </c>
      <c r="E746" t="str">
        <f>T("73.140")</f>
        <v>73.140</v>
      </c>
    </row>
    <row r="747" spans="1:37" x14ac:dyDescent="0.3">
      <c r="A747" t="s">
        <v>2368</v>
      </c>
      <c r="B747" t="s">
        <v>2369</v>
      </c>
      <c r="C747" t="s">
        <v>2370</v>
      </c>
      <c r="D747" t="s">
        <v>199</v>
      </c>
      <c r="K747" t="str">
        <f>T("172.894")</f>
        <v>172.894</v>
      </c>
    </row>
    <row r="748" spans="1:37" x14ac:dyDescent="0.3">
      <c r="A748" t="s">
        <v>2371</v>
      </c>
      <c r="B748" t="s">
        <v>2372</v>
      </c>
      <c r="C748" t="s">
        <v>2373</v>
      </c>
      <c r="D748" t="s">
        <v>199</v>
      </c>
      <c r="K748" t="str">
        <f>T("172.894")</f>
        <v>172.894</v>
      </c>
    </row>
    <row r="749" spans="1:37" x14ac:dyDescent="0.3">
      <c r="A749" t="s">
        <v>2374</v>
      </c>
      <c r="B749" t="s">
        <v>2375</v>
      </c>
      <c r="C749" t="s">
        <v>2376</v>
      </c>
      <c r="D749" t="s">
        <v>7</v>
      </c>
      <c r="AD749" t="str">
        <f>T("189.130")</f>
        <v>189.130</v>
      </c>
    </row>
    <row r="750" spans="1:37" x14ac:dyDescent="0.3">
      <c r="A750" t="s">
        <v>2377</v>
      </c>
      <c r="B750" t="s">
        <v>2378</v>
      </c>
      <c r="C750" t="s">
        <v>2379</v>
      </c>
      <c r="D750" t="s">
        <v>2380</v>
      </c>
      <c r="K750" t="str">
        <f>T("172.215")</f>
        <v>172.215</v>
      </c>
      <c r="L750" t="str">
        <f>T("175.105")</f>
        <v>175.105</v>
      </c>
      <c r="M750" t="str">
        <f>T("175.300")</f>
        <v>175.300</v>
      </c>
      <c r="N750" t="str">
        <f>T("177.2600")</f>
        <v>177.2600</v>
      </c>
    </row>
    <row r="751" spans="1:37" x14ac:dyDescent="0.3">
      <c r="A751" t="s">
        <v>2381</v>
      </c>
      <c r="B751" t="s">
        <v>2382</v>
      </c>
      <c r="C751" t="s">
        <v>2383</v>
      </c>
      <c r="D751" t="s">
        <v>7</v>
      </c>
      <c r="K751" t="str">
        <f>T("175.300")</f>
        <v>175.300</v>
      </c>
      <c r="L751" t="str">
        <f>T("177.2410")</f>
        <v>177.2410</v>
      </c>
      <c r="AG751" t="str">
        <f>T("3530")</f>
        <v>3530</v>
      </c>
      <c r="AH751" t="str">
        <f>T("11")</f>
        <v>11</v>
      </c>
      <c r="AK751" t="str">
        <f>T("692")</f>
        <v>692</v>
      </c>
    </row>
    <row r="752" spans="1:37" x14ac:dyDescent="0.3">
      <c r="A752" t="s">
        <v>2384</v>
      </c>
      <c r="B752" t="s">
        <v>2385</v>
      </c>
      <c r="C752" t="s">
        <v>2386</v>
      </c>
      <c r="D752" t="s">
        <v>7</v>
      </c>
      <c r="K752" t="str">
        <f>T("175.300")</f>
        <v>175.300</v>
      </c>
      <c r="L752" t="str">
        <f>T("177.2410")</f>
        <v>177.2410</v>
      </c>
      <c r="AG752" t="str">
        <f>T("3480")</f>
        <v>3480</v>
      </c>
      <c r="AH752" t="str">
        <f>T("10")</f>
        <v>10</v>
      </c>
      <c r="AK752" t="str">
        <f>T("691")</f>
        <v>691</v>
      </c>
    </row>
    <row r="753" spans="1:37" x14ac:dyDescent="0.3">
      <c r="A753" t="s">
        <v>2387</v>
      </c>
      <c r="B753" t="s">
        <v>2388</v>
      </c>
      <c r="C753" t="s">
        <v>2389</v>
      </c>
      <c r="D753" t="s">
        <v>7</v>
      </c>
      <c r="K753" t="str">
        <f>T("172.515")</f>
        <v>172.515</v>
      </c>
      <c r="L753" t="str">
        <f>T("175.300")</f>
        <v>175.300</v>
      </c>
      <c r="M753" t="str">
        <f>T("177.2410")</f>
        <v>177.2410</v>
      </c>
      <c r="AG753" t="str">
        <f>T("2337")</f>
        <v>2337</v>
      </c>
      <c r="AH753" t="str">
        <f>T("3")</f>
        <v>3</v>
      </c>
      <c r="AI753" t="str">
        <f>T("25")</f>
        <v>25</v>
      </c>
      <c r="AK753" t="str">
        <f>T("693")</f>
        <v>693</v>
      </c>
    </row>
    <row r="754" spans="1:37" x14ac:dyDescent="0.3">
      <c r="A754" t="s">
        <v>2390</v>
      </c>
      <c r="B754" t="s">
        <v>2391</v>
      </c>
      <c r="C754" t="s">
        <v>2392</v>
      </c>
      <c r="D754" t="s">
        <v>1175</v>
      </c>
      <c r="K754" t="str">
        <f>T("172.615")</f>
        <v>172.615</v>
      </c>
    </row>
    <row r="755" spans="1:37" x14ac:dyDescent="0.3">
      <c r="A755" t="s">
        <v>2393</v>
      </c>
      <c r="B755" t="s">
        <v>2394</v>
      </c>
      <c r="C755" t="s">
        <v>2395</v>
      </c>
      <c r="D755" t="s">
        <v>7</v>
      </c>
      <c r="K755" t="str">
        <f>T("172.510")</f>
        <v>172.510</v>
      </c>
      <c r="AG755" t="str">
        <f>T("2338")</f>
        <v>2338</v>
      </c>
      <c r="AH755" t="str">
        <f>T("3")</f>
        <v>3</v>
      </c>
    </row>
    <row r="756" spans="1:37" x14ac:dyDescent="0.3">
      <c r="A756" t="s">
        <v>2396</v>
      </c>
      <c r="B756" t="s">
        <v>2397</v>
      </c>
      <c r="C756" t="s">
        <v>2398</v>
      </c>
      <c r="D756" t="s">
        <v>7</v>
      </c>
      <c r="K756" t="str">
        <f>T("172.510")</f>
        <v>172.510</v>
      </c>
      <c r="AG756" t="str">
        <f>T("2339")</f>
        <v>2339</v>
      </c>
      <c r="AH756" t="str">
        <f>T("3")</f>
        <v>3</v>
      </c>
    </row>
    <row r="757" spans="1:37" x14ac:dyDescent="0.3">
      <c r="A757" t="s">
        <v>2399</v>
      </c>
      <c r="B757" t="s">
        <v>2400</v>
      </c>
      <c r="C757" t="s">
        <v>2401</v>
      </c>
      <c r="D757" t="s">
        <v>7</v>
      </c>
      <c r="AG757" t="str">
        <f>T("4497")</f>
        <v>4497</v>
      </c>
      <c r="AH757" t="str">
        <f>T("24")</f>
        <v>24</v>
      </c>
      <c r="AK757" t="str">
        <f>T("2028")</f>
        <v>2028</v>
      </c>
    </row>
    <row r="758" spans="1:37" x14ac:dyDescent="0.3">
      <c r="A758" t="s">
        <v>2402</v>
      </c>
      <c r="B758" t="s">
        <v>2403</v>
      </c>
      <c r="C758" t="s">
        <v>2404</v>
      </c>
      <c r="D758" t="s">
        <v>7</v>
      </c>
      <c r="K758" t="str">
        <f>T("182.10")</f>
        <v>182.10</v>
      </c>
      <c r="AF758" t="str">
        <f>T("101.22")</f>
        <v>101.22</v>
      </c>
      <c r="AG758" t="str">
        <f>T("2340")</f>
        <v>2340</v>
      </c>
      <c r="AH758" t="str">
        <f>T("3")</f>
        <v>3</v>
      </c>
    </row>
    <row r="759" spans="1:37" x14ac:dyDescent="0.3">
      <c r="A759" t="s">
        <v>2405</v>
      </c>
      <c r="B759" t="s">
        <v>2406</v>
      </c>
      <c r="C759" t="s">
        <v>2407</v>
      </c>
      <c r="D759" t="s">
        <v>7</v>
      </c>
      <c r="K759" t="str">
        <f>T("172.515")</f>
        <v>172.515</v>
      </c>
      <c r="AG759" t="str">
        <f>T("2341")</f>
        <v>2341</v>
      </c>
      <c r="AH759" t="str">
        <f>T("3")</f>
        <v>3</v>
      </c>
      <c r="AK759" t="str">
        <f>T("868")</f>
        <v>868</v>
      </c>
    </row>
    <row r="760" spans="1:37" x14ac:dyDescent="0.3">
      <c r="A760" t="s">
        <v>2408</v>
      </c>
      <c r="B760" t="s">
        <v>2409</v>
      </c>
      <c r="C760" t="s">
        <v>2410</v>
      </c>
      <c r="D760" t="s">
        <v>7</v>
      </c>
      <c r="K760" t="str">
        <f>T("182.20")</f>
        <v>182.20</v>
      </c>
      <c r="AG760" t="str">
        <f>T("2343")</f>
        <v>2343</v>
      </c>
      <c r="AH760" t="str">
        <f>T("3")</f>
        <v>3</v>
      </c>
    </row>
    <row r="761" spans="1:37" x14ac:dyDescent="0.3">
      <c r="A761" t="s">
        <v>2411</v>
      </c>
      <c r="B761" t="s">
        <v>2412</v>
      </c>
      <c r="C761" t="s">
        <v>2413</v>
      </c>
      <c r="K761" t="str">
        <f>T("177.2470")</f>
        <v>177.2470</v>
      </c>
      <c r="L761" t="str">
        <f>T("178.2010")</f>
        <v>178.2010</v>
      </c>
      <c r="M761" t="str">
        <f>T("184.1265")</f>
        <v>184.1265</v>
      </c>
    </row>
    <row r="762" spans="1:37" x14ac:dyDescent="0.3">
      <c r="A762" t="s">
        <v>2414</v>
      </c>
      <c r="B762" t="s">
        <v>2415</v>
      </c>
      <c r="C762" t="s">
        <v>2416</v>
      </c>
      <c r="D762" t="s">
        <v>2417</v>
      </c>
      <c r="K762" t="str">
        <f>T("172.809")</f>
        <v>172.809</v>
      </c>
    </row>
    <row r="763" spans="1:37" x14ac:dyDescent="0.3">
      <c r="A763" t="s">
        <v>2418</v>
      </c>
      <c r="B763" t="s">
        <v>2419</v>
      </c>
      <c r="C763" t="s">
        <v>2420</v>
      </c>
      <c r="D763" t="s">
        <v>15</v>
      </c>
      <c r="K763" t="str">
        <f>T("172.510")</f>
        <v>172.510</v>
      </c>
      <c r="AG763" t="str">
        <f>T("2346")</f>
        <v>2346</v>
      </c>
      <c r="AH763" t="str">
        <f>T("3")</f>
        <v>3</v>
      </c>
    </row>
    <row r="764" spans="1:37" x14ac:dyDescent="0.3">
      <c r="A764" t="s">
        <v>2421</v>
      </c>
      <c r="B764" t="s">
        <v>2422</v>
      </c>
      <c r="C764" t="s">
        <v>2423</v>
      </c>
      <c r="D764" t="s">
        <v>7</v>
      </c>
      <c r="K764" t="str">
        <f>T("172.510")</f>
        <v>172.510</v>
      </c>
    </row>
    <row r="765" spans="1:37" x14ac:dyDescent="0.3">
      <c r="A765" t="s">
        <v>2424</v>
      </c>
      <c r="B765" t="s">
        <v>2425</v>
      </c>
      <c r="C765" t="s">
        <v>2426</v>
      </c>
      <c r="D765" t="s">
        <v>7</v>
      </c>
      <c r="K765" t="str">
        <f>T("172.510")</f>
        <v>172.510</v>
      </c>
    </row>
    <row r="766" spans="1:37" x14ac:dyDescent="0.3">
      <c r="A766" t="s">
        <v>2427</v>
      </c>
      <c r="B766" t="s">
        <v>2428</v>
      </c>
      <c r="C766" t="s">
        <v>2429</v>
      </c>
      <c r="D766" t="s">
        <v>11</v>
      </c>
      <c r="AD766" t="str">
        <f>T("189.135")</f>
        <v>189.135</v>
      </c>
    </row>
    <row r="767" spans="1:37" x14ac:dyDescent="0.3">
      <c r="A767" t="s">
        <v>2430</v>
      </c>
      <c r="B767" t="s">
        <v>2431</v>
      </c>
      <c r="C767" t="s">
        <v>2432</v>
      </c>
      <c r="D767" t="s">
        <v>2433</v>
      </c>
      <c r="AG767" t="str">
        <f>T("4028")</f>
        <v>4028</v>
      </c>
      <c r="AH767" t="str">
        <f>T("21")</f>
        <v>21</v>
      </c>
    </row>
    <row r="768" spans="1:37" x14ac:dyDescent="0.3">
      <c r="A768" t="s">
        <v>2434</v>
      </c>
      <c r="B768" t="s">
        <v>2435</v>
      </c>
      <c r="C768" t="s">
        <v>2436</v>
      </c>
      <c r="D768" t="s">
        <v>7</v>
      </c>
      <c r="AG768" t="str">
        <f>T("3425")</f>
        <v>3425</v>
      </c>
      <c r="AH768" t="str">
        <f>T("8")</f>
        <v>8</v>
      </c>
      <c r="AK768" t="str">
        <f>T("1401")</f>
        <v>1401</v>
      </c>
    </row>
    <row r="769" spans="1:37" x14ac:dyDescent="0.3">
      <c r="A769" t="s">
        <v>2437</v>
      </c>
      <c r="B769" t="s">
        <v>2438</v>
      </c>
      <c r="C769" t="s">
        <v>2439</v>
      </c>
      <c r="D769" t="s">
        <v>846</v>
      </c>
      <c r="E769" t="str">
        <f>T("73.1")</f>
        <v>73.1</v>
      </c>
      <c r="K769" t="str">
        <f>T("175.105")</f>
        <v>175.105</v>
      </c>
      <c r="L769" t="str">
        <f>T("176.200")</f>
        <v>176.200</v>
      </c>
      <c r="M769" t="str">
        <f>T("178.3620")</f>
        <v>178.3620</v>
      </c>
    </row>
    <row r="770" spans="1:37" x14ac:dyDescent="0.3">
      <c r="A770" t="s">
        <v>2440</v>
      </c>
      <c r="B770" t="s">
        <v>2441</v>
      </c>
      <c r="C770" t="s">
        <v>2442</v>
      </c>
      <c r="D770" t="s">
        <v>7</v>
      </c>
      <c r="K770" t="str">
        <f>T("172.515")</f>
        <v>172.515</v>
      </c>
      <c r="AG770" t="str">
        <f>T("2347")</f>
        <v>2347</v>
      </c>
      <c r="AH770" t="str">
        <f>T("3")</f>
        <v>3</v>
      </c>
      <c r="AK770" t="str">
        <f>T("965")</f>
        <v>965</v>
      </c>
    </row>
    <row r="771" spans="1:37" x14ac:dyDescent="0.3">
      <c r="A771" t="s">
        <v>2443</v>
      </c>
      <c r="B771" t="s">
        <v>2444</v>
      </c>
      <c r="C771" t="s">
        <v>2445</v>
      </c>
      <c r="D771" t="s">
        <v>7</v>
      </c>
      <c r="AG771" t="str">
        <f>T("3531")</f>
        <v>3531</v>
      </c>
      <c r="AH771" t="str">
        <f>T("11")</f>
        <v>11</v>
      </c>
      <c r="AK771" t="str">
        <f>T("961")</f>
        <v>961</v>
      </c>
    </row>
    <row r="772" spans="1:37" x14ac:dyDescent="0.3">
      <c r="A772" t="s">
        <v>2446</v>
      </c>
      <c r="B772" t="s">
        <v>2447</v>
      </c>
      <c r="C772" t="s">
        <v>2448</v>
      </c>
      <c r="D772" t="s">
        <v>15</v>
      </c>
      <c r="K772" t="str">
        <f>T("172.515")</f>
        <v>172.515</v>
      </c>
      <c r="AG772" t="str">
        <f>T("2348")</f>
        <v>2348</v>
      </c>
      <c r="AH772" t="str">
        <f>T("3")</f>
        <v>3</v>
      </c>
      <c r="AK772" t="str">
        <f>T("964")</f>
        <v>964</v>
      </c>
    </row>
    <row r="773" spans="1:37" x14ac:dyDescent="0.3">
      <c r="A773" t="s">
        <v>2449</v>
      </c>
      <c r="B773" t="s">
        <v>2450</v>
      </c>
      <c r="C773" t="s">
        <v>2451</v>
      </c>
      <c r="D773" t="s">
        <v>7</v>
      </c>
      <c r="K773" t="str">
        <f>T("177.2250")</f>
        <v>177.2250</v>
      </c>
      <c r="AG773" t="str">
        <f>T("3909")</f>
        <v>3909</v>
      </c>
      <c r="AH773" t="str">
        <f>T("19")</f>
        <v>19</v>
      </c>
      <c r="AK773" t="str">
        <f>T("1100")</f>
        <v>1100</v>
      </c>
    </row>
    <row r="774" spans="1:37" x14ac:dyDescent="0.3">
      <c r="A774" t="s">
        <v>2452</v>
      </c>
      <c r="B774" t="s">
        <v>2453</v>
      </c>
      <c r="C774" t="s">
        <v>2454</v>
      </c>
      <c r="D774" t="s">
        <v>7</v>
      </c>
      <c r="AG774" t="str">
        <f>T("4516")</f>
        <v>4516</v>
      </c>
      <c r="AH774" t="str">
        <f>T("24")</f>
        <v>24</v>
      </c>
      <c r="AK774" t="str">
        <f>T("2051")</f>
        <v>2051</v>
      </c>
    </row>
    <row r="775" spans="1:37" x14ac:dyDescent="0.3">
      <c r="A775" t="s">
        <v>2455</v>
      </c>
      <c r="B775" t="s">
        <v>2456</v>
      </c>
      <c r="C775" t="s">
        <v>2457</v>
      </c>
      <c r="D775" t="s">
        <v>7</v>
      </c>
      <c r="AG775" t="str">
        <f>T("4517")</f>
        <v>4517</v>
      </c>
      <c r="AH775" t="str">
        <f>T("24")</f>
        <v>24</v>
      </c>
      <c r="AK775" t="str">
        <f>T("2052")</f>
        <v>2052</v>
      </c>
    </row>
    <row r="776" spans="1:37" x14ac:dyDescent="0.3">
      <c r="A776" t="s">
        <v>2458</v>
      </c>
      <c r="B776" t="s">
        <v>2459</v>
      </c>
      <c r="C776" t="s">
        <v>2460</v>
      </c>
      <c r="D776" t="s">
        <v>7</v>
      </c>
      <c r="K776" t="str">
        <f>T("172.515")</f>
        <v>172.515</v>
      </c>
      <c r="AG776" t="str">
        <f>T("2349")</f>
        <v>2349</v>
      </c>
      <c r="AH776" t="str">
        <f>T("3")</f>
        <v>3</v>
      </c>
      <c r="AI776" t="str">
        <f>T("25")</f>
        <v>25</v>
      </c>
      <c r="AK776" t="str">
        <f>T("1093")</f>
        <v>1093</v>
      </c>
    </row>
    <row r="777" spans="1:37" x14ac:dyDescent="0.3">
      <c r="A777" t="s">
        <v>2461</v>
      </c>
      <c r="B777" t="s">
        <v>2462</v>
      </c>
      <c r="C777" t="s">
        <v>2463</v>
      </c>
      <c r="D777" t="s">
        <v>192</v>
      </c>
      <c r="K777" t="str">
        <f>T("173.310")</f>
        <v>173.310</v>
      </c>
    </row>
    <row r="778" spans="1:37" x14ac:dyDescent="0.3">
      <c r="A778" t="s">
        <v>2464</v>
      </c>
      <c r="B778" t="s">
        <v>2465</v>
      </c>
      <c r="C778" t="s">
        <v>2466</v>
      </c>
      <c r="D778" t="s">
        <v>7</v>
      </c>
      <c r="K778" t="str">
        <f>T("172.515")</f>
        <v>172.515</v>
      </c>
      <c r="AG778" t="str">
        <f>T("2350")</f>
        <v>2350</v>
      </c>
      <c r="AH778" t="str">
        <f>T("3")</f>
        <v>3</v>
      </c>
      <c r="AK778" t="str">
        <f>T("1541")</f>
        <v>1541</v>
      </c>
    </row>
    <row r="779" spans="1:37" x14ac:dyDescent="0.3">
      <c r="A779" t="s">
        <v>2467</v>
      </c>
      <c r="B779" t="s">
        <v>2468</v>
      </c>
      <c r="C779" t="s">
        <v>2469</v>
      </c>
      <c r="D779" t="s">
        <v>7</v>
      </c>
      <c r="K779" t="str">
        <f>T("172.515")</f>
        <v>172.515</v>
      </c>
      <c r="AG779" t="str">
        <f>T("2351")</f>
        <v>2351</v>
      </c>
      <c r="AH779" t="str">
        <f>T("3")</f>
        <v>3</v>
      </c>
      <c r="AI779" t="str">
        <f>T("25")</f>
        <v>25</v>
      </c>
      <c r="AK779" t="str">
        <f>T("1094")</f>
        <v>1094</v>
      </c>
    </row>
    <row r="780" spans="1:37" x14ac:dyDescent="0.3">
      <c r="A780" t="s">
        <v>2470</v>
      </c>
      <c r="B780" t="s">
        <v>2471</v>
      </c>
      <c r="C780" t="s">
        <v>2472</v>
      </c>
      <c r="D780" t="s">
        <v>7</v>
      </c>
      <c r="K780" t="str">
        <f>T("172.515")</f>
        <v>172.515</v>
      </c>
      <c r="AG780" t="str">
        <f>T("2352")</f>
        <v>2352</v>
      </c>
      <c r="AH780" t="str">
        <f>T("3")</f>
        <v>3</v>
      </c>
      <c r="AI780" t="str">
        <f>T("25")</f>
        <v>25</v>
      </c>
      <c r="AK780" t="str">
        <f>T("667")</f>
        <v>667</v>
      </c>
    </row>
    <row r="781" spans="1:37" x14ac:dyDescent="0.3">
      <c r="A781" t="s">
        <v>2473</v>
      </c>
      <c r="B781" t="s">
        <v>2474</v>
      </c>
      <c r="C781" t="s">
        <v>2475</v>
      </c>
      <c r="D781" t="s">
        <v>7</v>
      </c>
      <c r="K781" t="str">
        <f>T("172.515")</f>
        <v>172.515</v>
      </c>
      <c r="AG781" t="str">
        <f>T("2353")</f>
        <v>2353</v>
      </c>
      <c r="AH781" t="str">
        <f>T("3")</f>
        <v>3</v>
      </c>
      <c r="AI781" t="str">
        <f>T("25")</f>
        <v>25</v>
      </c>
      <c r="AK781" t="str">
        <f>T("1095")</f>
        <v>1095</v>
      </c>
    </row>
    <row r="782" spans="1:37" x14ac:dyDescent="0.3">
      <c r="A782" t="s">
        <v>2476</v>
      </c>
      <c r="B782" t="s">
        <v>2477</v>
      </c>
      <c r="C782" t="s">
        <v>2478</v>
      </c>
      <c r="D782" t="s">
        <v>7</v>
      </c>
      <c r="K782" t="str">
        <f>T("172.515")</f>
        <v>172.515</v>
      </c>
      <c r="AG782" t="str">
        <f>T("2355")</f>
        <v>2355</v>
      </c>
      <c r="AH782" t="str">
        <f>T("3")</f>
        <v>3</v>
      </c>
      <c r="AI782" t="str">
        <f>T("25")</f>
        <v>25</v>
      </c>
      <c r="AK782" t="str">
        <f>T("1096")</f>
        <v>1096</v>
      </c>
    </row>
    <row r="783" spans="1:37" x14ac:dyDescent="0.3">
      <c r="A783" t="s">
        <v>2479</v>
      </c>
      <c r="B783" t="s">
        <v>2480</v>
      </c>
      <c r="C783" t="s">
        <v>2481</v>
      </c>
      <c r="D783" t="s">
        <v>7</v>
      </c>
      <c r="AG783" t="str">
        <f>T("3631")</f>
        <v>3631</v>
      </c>
      <c r="AH783" t="str">
        <f>T("12")</f>
        <v>12</v>
      </c>
      <c r="AK783" t="str">
        <f>T("783")</f>
        <v>783</v>
      </c>
    </row>
    <row r="784" spans="1:37" x14ac:dyDescent="0.3">
      <c r="A784" t="s">
        <v>2482</v>
      </c>
      <c r="B784" t="s">
        <v>2483</v>
      </c>
      <c r="C784" t="s">
        <v>2484</v>
      </c>
      <c r="D784" t="s">
        <v>15</v>
      </c>
      <c r="K784" t="str">
        <f>T("172.515")</f>
        <v>172.515</v>
      </c>
      <c r="AG784" t="str">
        <f>T("2354")</f>
        <v>2354</v>
      </c>
      <c r="AH784" t="str">
        <f>T("3")</f>
        <v>3</v>
      </c>
      <c r="AK784" t="str">
        <f>T("1097")</f>
        <v>1097</v>
      </c>
    </row>
    <row r="785" spans="1:37" x14ac:dyDescent="0.3">
      <c r="A785" t="s">
        <v>2485</v>
      </c>
      <c r="B785" t="s">
        <v>2486</v>
      </c>
      <c r="C785" t="s">
        <v>2487</v>
      </c>
      <c r="D785" t="s">
        <v>7</v>
      </c>
      <c r="AG785" t="str">
        <f>T("3822")</f>
        <v>3822</v>
      </c>
      <c r="AH785" t="str">
        <f>T("18")</f>
        <v>18</v>
      </c>
      <c r="AK785" t="str">
        <f>T("1239")</f>
        <v>1239</v>
      </c>
    </row>
    <row r="786" spans="1:37" x14ac:dyDescent="0.3">
      <c r="A786" t="s">
        <v>2488</v>
      </c>
      <c r="B786" t="s">
        <v>2489</v>
      </c>
      <c r="C786" t="s">
        <v>2490</v>
      </c>
      <c r="D786" t="s">
        <v>7</v>
      </c>
      <c r="AG786" t="str">
        <f>T("3262")</f>
        <v>3262</v>
      </c>
      <c r="AH786" t="str">
        <f>T("5")</f>
        <v>5</v>
      </c>
      <c r="AK786" t="str">
        <f>T("516")</f>
        <v>516</v>
      </c>
    </row>
    <row r="787" spans="1:37" x14ac:dyDescent="0.3">
      <c r="A787" t="s">
        <v>2491</v>
      </c>
      <c r="B787" t="s">
        <v>2492</v>
      </c>
      <c r="C787" t="s">
        <v>2493</v>
      </c>
      <c r="D787" t="s">
        <v>7</v>
      </c>
      <c r="AG787" t="str">
        <f>T("3910")</f>
        <v>3910</v>
      </c>
      <c r="AH787" t="str">
        <f>T("19")</f>
        <v>19</v>
      </c>
      <c r="AI787" t="str">
        <f>T("20")</f>
        <v>20</v>
      </c>
      <c r="AK787" t="str">
        <f>T("1101")</f>
        <v>1101</v>
      </c>
    </row>
    <row r="788" spans="1:37" x14ac:dyDescent="0.3">
      <c r="A788" t="s">
        <v>2494</v>
      </c>
      <c r="B788" t="s">
        <v>2495</v>
      </c>
      <c r="C788" t="s">
        <v>2496</v>
      </c>
      <c r="D788" t="s">
        <v>7</v>
      </c>
      <c r="AG788" t="str">
        <f>T("4514")</f>
        <v>4514</v>
      </c>
      <c r="AH788" t="str">
        <f>T("24")</f>
        <v>24</v>
      </c>
      <c r="AK788" t="str">
        <f>T("2050")</f>
        <v>2050</v>
      </c>
    </row>
    <row r="789" spans="1:37" x14ac:dyDescent="0.3">
      <c r="A789" t="s">
        <v>2497</v>
      </c>
      <c r="B789" t="s">
        <v>2498</v>
      </c>
      <c r="C789" t="s">
        <v>2499</v>
      </c>
      <c r="D789" t="s">
        <v>7</v>
      </c>
      <c r="AG789" t="str">
        <f>T("4558")</f>
        <v>4558</v>
      </c>
      <c r="AH789" t="str">
        <f>T("24")</f>
        <v>24</v>
      </c>
      <c r="AI789" t="str">
        <f>T("26")</f>
        <v>26</v>
      </c>
      <c r="AK789" t="str">
        <f>T("2006")</f>
        <v>2006</v>
      </c>
    </row>
    <row r="790" spans="1:37" x14ac:dyDescent="0.3">
      <c r="A790" t="s">
        <v>2500</v>
      </c>
      <c r="B790" t="s">
        <v>2501</v>
      </c>
      <c r="C790" t="s">
        <v>2502</v>
      </c>
      <c r="D790" t="s">
        <v>7</v>
      </c>
      <c r="AG790" t="str">
        <f>T("4693")</f>
        <v>4693</v>
      </c>
      <c r="AH790" t="str">
        <f>T("25")</f>
        <v>25</v>
      </c>
      <c r="AK790" t="str">
        <f>T("2080")</f>
        <v>2080</v>
      </c>
    </row>
    <row r="791" spans="1:37" x14ac:dyDescent="0.3">
      <c r="A791" t="s">
        <v>2503</v>
      </c>
      <c r="B791" t="s">
        <v>2504</v>
      </c>
      <c r="C791" t="s">
        <v>2505</v>
      </c>
      <c r="D791" t="s">
        <v>7</v>
      </c>
      <c r="AG791" t="str">
        <f>T("4087")</f>
        <v>4087</v>
      </c>
      <c r="AH791" t="str">
        <f>T("22")</f>
        <v>22</v>
      </c>
      <c r="AK791" t="str">
        <f>T("1597")</f>
        <v>1597</v>
      </c>
    </row>
    <row r="792" spans="1:37" x14ac:dyDescent="0.3">
      <c r="A792" t="s">
        <v>2506</v>
      </c>
      <c r="B792" t="s">
        <v>2507</v>
      </c>
      <c r="C792" t="s">
        <v>2508</v>
      </c>
      <c r="D792" t="s">
        <v>7</v>
      </c>
      <c r="AG792" t="str">
        <f>T("4648")</f>
        <v>4648</v>
      </c>
      <c r="AH792" t="str">
        <f>T("24")</f>
        <v>24</v>
      </c>
      <c r="AK792" t="str">
        <f>T("2056")</f>
        <v>2056</v>
      </c>
    </row>
    <row r="793" spans="1:37" x14ac:dyDescent="0.3">
      <c r="A793" t="s">
        <v>2509</v>
      </c>
      <c r="B793" t="s">
        <v>2510</v>
      </c>
      <c r="C793" t="s">
        <v>2511</v>
      </c>
      <c r="D793" t="s">
        <v>7</v>
      </c>
      <c r="AG793" t="str">
        <f>T("4511")</f>
        <v>4511</v>
      </c>
      <c r="AH793" t="str">
        <f>T("24")</f>
        <v>24</v>
      </c>
      <c r="AK793" t="str">
        <f>T("2055")</f>
        <v>2055</v>
      </c>
    </row>
    <row r="794" spans="1:37" x14ac:dyDescent="0.3">
      <c r="A794" t="s">
        <v>2512</v>
      </c>
      <c r="B794" t="s">
        <v>2513</v>
      </c>
      <c r="C794" t="s">
        <v>2514</v>
      </c>
      <c r="D794" t="s">
        <v>7</v>
      </c>
      <c r="K794" t="str">
        <f>T("172.515")</f>
        <v>172.515</v>
      </c>
      <c r="AG794" t="str">
        <f>T("2356")</f>
        <v>2356</v>
      </c>
      <c r="AH794" t="str">
        <f>T("3")</f>
        <v>3</v>
      </c>
      <c r="AK794" t="str">
        <f>T("1325")</f>
        <v>1325</v>
      </c>
    </row>
    <row r="795" spans="1:37" x14ac:dyDescent="0.3">
      <c r="A795" t="s">
        <v>2515</v>
      </c>
      <c r="B795" t="s">
        <v>2516</v>
      </c>
      <c r="C795" t="s">
        <v>2517</v>
      </c>
      <c r="D795" t="s">
        <v>2518</v>
      </c>
      <c r="K795" t="str">
        <f>T("172.320")</f>
        <v>172.320</v>
      </c>
      <c r="L795" t="str">
        <f>T("184.1271")</f>
        <v>184.1271</v>
      </c>
      <c r="AG795" t="str">
        <f>T("3263")</f>
        <v>3263</v>
      </c>
      <c r="AH795" t="str">
        <f>T("5")</f>
        <v>5</v>
      </c>
      <c r="AK795" t="str">
        <f>T("1419")</f>
        <v>1419</v>
      </c>
    </row>
    <row r="796" spans="1:37" x14ac:dyDescent="0.3">
      <c r="A796" t="s">
        <v>2519</v>
      </c>
      <c r="B796" t="s">
        <v>2520</v>
      </c>
      <c r="C796" t="s">
        <v>2521</v>
      </c>
      <c r="D796" t="s">
        <v>2522</v>
      </c>
      <c r="K796" t="str">
        <f>T("172.320")</f>
        <v>172.320</v>
      </c>
      <c r="L796" t="str">
        <f>T("184.1272")</f>
        <v>184.1272</v>
      </c>
    </row>
    <row r="797" spans="1:37" x14ac:dyDescent="0.3">
      <c r="A797" t="s">
        <v>2523</v>
      </c>
      <c r="B797" t="s">
        <v>2524</v>
      </c>
      <c r="C797" t="s">
        <v>2525</v>
      </c>
      <c r="D797" t="s">
        <v>2526</v>
      </c>
    </row>
    <row r="798" spans="1:37" x14ac:dyDescent="0.3">
      <c r="A798" t="s">
        <v>2527</v>
      </c>
      <c r="B798" t="s">
        <v>2528</v>
      </c>
      <c r="C798" t="s">
        <v>2529</v>
      </c>
      <c r="D798" t="s">
        <v>2526</v>
      </c>
      <c r="K798" t="str">
        <f>T("172.320")</f>
        <v>172.320</v>
      </c>
    </row>
    <row r="799" spans="1:37" x14ac:dyDescent="0.3">
      <c r="A799" t="s">
        <v>2530</v>
      </c>
      <c r="B799" t="s">
        <v>2531</v>
      </c>
      <c r="C799" t="s">
        <v>2532</v>
      </c>
      <c r="D799" t="s">
        <v>7</v>
      </c>
      <c r="AG799" t="str">
        <f>T("3823")</f>
        <v>3823</v>
      </c>
      <c r="AH799" t="str">
        <f>T("18")</f>
        <v>18</v>
      </c>
    </row>
    <row r="800" spans="1:37" x14ac:dyDescent="0.3">
      <c r="A800" t="s">
        <v>2533</v>
      </c>
      <c r="B800" t="s">
        <v>2534</v>
      </c>
      <c r="C800" t="s">
        <v>2535</v>
      </c>
      <c r="D800" t="s">
        <v>199</v>
      </c>
      <c r="E800" t="str">
        <f>T("73.1")</f>
        <v>73.1</v>
      </c>
      <c r="K800" t="str">
        <f>T("175.105")</f>
        <v>175.105</v>
      </c>
      <c r="L800" t="str">
        <f>T("175.300")</f>
        <v>175.300</v>
      </c>
      <c r="M800" t="str">
        <f>T("177.1200")</f>
        <v>177.1200</v>
      </c>
      <c r="N800" t="str">
        <f>T("177.1400")</f>
        <v>177.1400</v>
      </c>
    </row>
    <row r="801" spans="1:37" x14ac:dyDescent="0.3">
      <c r="A801" t="s">
        <v>2536</v>
      </c>
      <c r="B801" t="s">
        <v>2537</v>
      </c>
      <c r="C801" t="s">
        <v>2538</v>
      </c>
      <c r="D801" t="s">
        <v>7</v>
      </c>
      <c r="AG801" t="str">
        <f>T("3659")</f>
        <v>3659</v>
      </c>
      <c r="AH801" t="str">
        <f>T("13")</f>
        <v>13</v>
      </c>
      <c r="AK801" t="str">
        <f>T("385")</f>
        <v>385</v>
      </c>
    </row>
    <row r="802" spans="1:37" x14ac:dyDescent="0.3">
      <c r="A802" t="s">
        <v>2539</v>
      </c>
      <c r="B802" t="s">
        <v>2540</v>
      </c>
      <c r="C802" t="s">
        <v>2541</v>
      </c>
      <c r="D802" t="s">
        <v>7</v>
      </c>
      <c r="AG802" t="str">
        <f>T("4088")</f>
        <v>4088</v>
      </c>
      <c r="AH802" t="str">
        <f>T("22")</f>
        <v>22</v>
      </c>
      <c r="AK802" t="str">
        <f>T("2188")</f>
        <v>2188</v>
      </c>
    </row>
    <row r="803" spans="1:37" x14ac:dyDescent="0.3">
      <c r="A803" t="s">
        <v>2542</v>
      </c>
      <c r="B803" t="s">
        <v>2543</v>
      </c>
      <c r="C803" t="s">
        <v>2544</v>
      </c>
      <c r="D803" t="s">
        <v>7</v>
      </c>
      <c r="AG803" t="str">
        <f>T("3622")</f>
        <v>3622</v>
      </c>
      <c r="AH803" t="str">
        <f>T("12")</f>
        <v>12</v>
      </c>
      <c r="AI803" t="str">
        <f>T("25")</f>
        <v>25</v>
      </c>
      <c r="AK803" t="str">
        <f>T("386")</f>
        <v>386</v>
      </c>
    </row>
    <row r="804" spans="1:37" x14ac:dyDescent="0.3">
      <c r="A804" t="s">
        <v>2545</v>
      </c>
      <c r="B804" t="s">
        <v>2546</v>
      </c>
      <c r="C804" t="s">
        <v>2547</v>
      </c>
      <c r="D804" t="s">
        <v>7</v>
      </c>
      <c r="K804" t="str">
        <f>T("172.510")</f>
        <v>172.510</v>
      </c>
    </row>
    <row r="805" spans="1:37" x14ac:dyDescent="0.3">
      <c r="A805" t="s">
        <v>2548</v>
      </c>
      <c r="B805" t="s">
        <v>2549</v>
      </c>
      <c r="C805" t="s">
        <v>2550</v>
      </c>
      <c r="D805" t="s">
        <v>7</v>
      </c>
      <c r="K805" t="str">
        <f>T("182.20")</f>
        <v>182.20</v>
      </c>
      <c r="AG805" t="str">
        <f>T("2357")</f>
        <v>2357</v>
      </c>
      <c r="AH805" t="str">
        <f>T("3")</f>
        <v>3</v>
      </c>
    </row>
    <row r="806" spans="1:37" x14ac:dyDescent="0.3">
      <c r="A806" t="s">
        <v>2551</v>
      </c>
      <c r="B806" t="s">
        <v>2552</v>
      </c>
      <c r="C806" t="s">
        <v>2553</v>
      </c>
      <c r="D806" t="s">
        <v>7</v>
      </c>
      <c r="K806" t="str">
        <f>T("182.20")</f>
        <v>182.20</v>
      </c>
      <c r="AG806" t="str">
        <f>T("2358")</f>
        <v>2358</v>
      </c>
      <c r="AH806" t="str">
        <f>T("3")</f>
        <v>3</v>
      </c>
    </row>
    <row r="807" spans="1:37" x14ac:dyDescent="0.3">
      <c r="A807" t="s">
        <v>2554</v>
      </c>
      <c r="B807" t="s">
        <v>2555</v>
      </c>
      <c r="C807" t="s">
        <v>2556</v>
      </c>
      <c r="D807" t="s">
        <v>7</v>
      </c>
      <c r="K807" t="str">
        <f>T("172.510")</f>
        <v>172.510</v>
      </c>
      <c r="AG807" t="str">
        <f>T("2359")</f>
        <v>2359</v>
      </c>
      <c r="AH807" t="str">
        <f>T("3")</f>
        <v>3</v>
      </c>
    </row>
    <row r="808" spans="1:37" x14ac:dyDescent="0.3">
      <c r="A808" t="s">
        <v>2557</v>
      </c>
      <c r="B808" t="s">
        <v>2558</v>
      </c>
      <c r="C808" t="s">
        <v>2559</v>
      </c>
      <c r="D808" t="s">
        <v>7</v>
      </c>
      <c r="AG808" t="str">
        <f>T("3135")</f>
        <v>3135</v>
      </c>
      <c r="AH808" t="str">
        <f>T("4")</f>
        <v>4</v>
      </c>
      <c r="AI808" t="str">
        <f>T("25")</f>
        <v>25</v>
      </c>
      <c r="AK808" t="str">
        <f>T("1190")</f>
        <v>1190</v>
      </c>
    </row>
    <row r="809" spans="1:37" x14ac:dyDescent="0.3">
      <c r="A809" t="s">
        <v>2560</v>
      </c>
      <c r="B809" t="s">
        <v>2561</v>
      </c>
      <c r="C809" t="s">
        <v>2562</v>
      </c>
      <c r="D809" t="s">
        <v>7</v>
      </c>
      <c r="AG809" t="str">
        <f>T("3911")</f>
        <v>3911</v>
      </c>
      <c r="AH809" t="str">
        <f>T("19")</f>
        <v>19</v>
      </c>
      <c r="AK809" t="str">
        <f>T("1189")</f>
        <v>1189</v>
      </c>
    </row>
    <row r="810" spans="1:37" x14ac:dyDescent="0.3">
      <c r="A810" t="s">
        <v>2563</v>
      </c>
      <c r="B810" t="s">
        <v>2564</v>
      </c>
      <c r="C810" t="s">
        <v>2565</v>
      </c>
      <c r="D810" t="s">
        <v>7</v>
      </c>
      <c r="K810" t="str">
        <f>T("172.515")</f>
        <v>172.515</v>
      </c>
      <c r="AG810" t="str">
        <f>T("2361")</f>
        <v>2361</v>
      </c>
      <c r="AH810" t="str">
        <f>T("3")</f>
        <v>3</v>
      </c>
      <c r="AI810" t="str">
        <f>T("25")</f>
        <v>25</v>
      </c>
      <c r="AK810" t="str">
        <f>T("232")</f>
        <v>232</v>
      </c>
    </row>
    <row r="811" spans="1:37" x14ac:dyDescent="0.3">
      <c r="A811" t="s">
        <v>2566</v>
      </c>
      <c r="B811" t="s">
        <v>2567</v>
      </c>
      <c r="C811" t="s">
        <v>2568</v>
      </c>
      <c r="D811" t="s">
        <v>7</v>
      </c>
      <c r="K811" t="str">
        <f>T("172.515")</f>
        <v>172.515</v>
      </c>
      <c r="AG811" t="str">
        <f>T("2360")</f>
        <v>2360</v>
      </c>
      <c r="AH811" t="str">
        <f>T("3")</f>
        <v>3</v>
      </c>
      <c r="AI811" t="str">
        <f>T("25")</f>
        <v>25</v>
      </c>
      <c r="AK811" t="str">
        <f>T("231")</f>
        <v>231</v>
      </c>
    </row>
    <row r="812" spans="1:37" x14ac:dyDescent="0.3">
      <c r="A812" t="s">
        <v>2569</v>
      </c>
      <c r="B812" t="s">
        <v>2570</v>
      </c>
      <c r="C812" t="s">
        <v>2571</v>
      </c>
      <c r="D812" t="s">
        <v>7</v>
      </c>
      <c r="AG812" t="str">
        <f>T("4283")</f>
        <v>4283</v>
      </c>
      <c r="AH812" t="str">
        <f>T("23")</f>
        <v>23</v>
      </c>
    </row>
    <row r="813" spans="1:37" x14ac:dyDescent="0.3">
      <c r="A813" t="s">
        <v>2572</v>
      </c>
      <c r="B813" t="s">
        <v>2573</v>
      </c>
      <c r="C813" t="s">
        <v>2574</v>
      </c>
      <c r="D813" t="s">
        <v>7</v>
      </c>
      <c r="K813" t="str">
        <f>T("182.60")</f>
        <v>182.60</v>
      </c>
      <c r="AG813" t="str">
        <f>T("2362")</f>
        <v>2362</v>
      </c>
      <c r="AH813" t="str">
        <f>T("3")</f>
        <v>3</v>
      </c>
      <c r="AK813" t="str">
        <f>T("104")</f>
        <v>104</v>
      </c>
    </row>
    <row r="814" spans="1:37" x14ac:dyDescent="0.3">
      <c r="A814" t="s">
        <v>2575</v>
      </c>
      <c r="B814" t="s">
        <v>2576</v>
      </c>
      <c r="C814" t="s">
        <v>2577</v>
      </c>
      <c r="D814" t="s">
        <v>7</v>
      </c>
      <c r="K814" t="str">
        <f>T("172.515")</f>
        <v>172.515</v>
      </c>
      <c r="AG814" t="str">
        <f>T("2363")</f>
        <v>2363</v>
      </c>
      <c r="AH814" t="str">
        <f>T("3")</f>
        <v>3</v>
      </c>
      <c r="AI814" t="str">
        <f>T("25")</f>
        <v>25</v>
      </c>
      <c r="AK814" t="str">
        <f>T("945")</f>
        <v>945</v>
      </c>
    </row>
    <row r="815" spans="1:37" x14ac:dyDescent="0.3">
      <c r="A815" t="s">
        <v>2578</v>
      </c>
      <c r="B815" t="s">
        <v>2579</v>
      </c>
      <c r="C815" t="s">
        <v>2580</v>
      </c>
      <c r="D815" t="s">
        <v>7</v>
      </c>
      <c r="AG815" t="str">
        <f>T("4364")</f>
        <v>4364</v>
      </c>
      <c r="AH815" t="str">
        <f>T("23")</f>
        <v>23</v>
      </c>
      <c r="AK815" t="str">
        <f>T("1744")</f>
        <v>1744</v>
      </c>
    </row>
    <row r="816" spans="1:37" x14ac:dyDescent="0.3">
      <c r="A816" t="s">
        <v>2581</v>
      </c>
      <c r="B816" t="s">
        <v>2582</v>
      </c>
      <c r="C816" t="s">
        <v>2583</v>
      </c>
      <c r="D816" t="s">
        <v>2584</v>
      </c>
      <c r="K816" t="str">
        <f>T("172.210")</f>
        <v>172.210</v>
      </c>
      <c r="L816" t="str">
        <f>T("172.860")</f>
        <v>172.860</v>
      </c>
      <c r="M816" t="str">
        <f>T("173.340")</f>
        <v>173.340</v>
      </c>
      <c r="N816" t="str">
        <f>T("178.1010")</f>
        <v>178.1010</v>
      </c>
      <c r="AG816" t="str">
        <f>T("2364")</f>
        <v>2364</v>
      </c>
      <c r="AH816" t="str">
        <f>T("3")</f>
        <v>3</v>
      </c>
      <c r="AK816" t="str">
        <f>T("105")</f>
        <v>105</v>
      </c>
    </row>
    <row r="817" spans="1:37" x14ac:dyDescent="0.3">
      <c r="A817" t="s">
        <v>2585</v>
      </c>
      <c r="B817" t="s">
        <v>2586</v>
      </c>
      <c r="C817" t="s">
        <v>2587</v>
      </c>
      <c r="D817" t="s">
        <v>7</v>
      </c>
      <c r="AG817" t="str">
        <f>T("3605")</f>
        <v>3605</v>
      </c>
      <c r="AH817" t="str">
        <f>T("12")</f>
        <v>12</v>
      </c>
      <c r="AK817" t="str">
        <f>T("295")</f>
        <v>295</v>
      </c>
    </row>
    <row r="818" spans="1:37" x14ac:dyDescent="0.3">
      <c r="A818" t="s">
        <v>2588</v>
      </c>
      <c r="B818" t="s">
        <v>2589</v>
      </c>
      <c r="C818" t="s">
        <v>2590</v>
      </c>
      <c r="D818" t="s">
        <v>7</v>
      </c>
      <c r="K818" t="str">
        <f>T("172.515")</f>
        <v>172.515</v>
      </c>
      <c r="L818" t="str">
        <f>T("172.864")</f>
        <v>172.864</v>
      </c>
      <c r="M818" t="str">
        <f>T("175.300")</f>
        <v>175.300</v>
      </c>
      <c r="N818" t="str">
        <f>T("176.170")</f>
        <v>176.170</v>
      </c>
      <c r="O818" t="str">
        <f>T("177.1390")</f>
        <v>177.1390</v>
      </c>
      <c r="P818" t="str">
        <f>T("178.3480")</f>
        <v>178.3480</v>
      </c>
      <c r="AG818" t="str">
        <f>T("2365")</f>
        <v>2365</v>
      </c>
      <c r="AH818" t="str">
        <f>T("3")</f>
        <v>3</v>
      </c>
      <c r="AK818" t="str">
        <f>T("103")</f>
        <v>103</v>
      </c>
    </row>
    <row r="819" spans="1:37" x14ac:dyDescent="0.3">
      <c r="A819" t="s">
        <v>2591</v>
      </c>
      <c r="B819" t="s">
        <v>2592</v>
      </c>
      <c r="C819" t="s">
        <v>2593</v>
      </c>
      <c r="D819" t="s">
        <v>7</v>
      </c>
      <c r="AG819" t="str">
        <f>T("4271")</f>
        <v>4271</v>
      </c>
      <c r="AH819" t="str">
        <f>T("23")</f>
        <v>23</v>
      </c>
      <c r="AK819" t="str">
        <f>T("2074")</f>
        <v>2074</v>
      </c>
    </row>
    <row r="820" spans="1:37" x14ac:dyDescent="0.3">
      <c r="A820" t="s">
        <v>2594</v>
      </c>
      <c r="B820" t="s">
        <v>2595</v>
      </c>
      <c r="C820" t="s">
        <v>2596</v>
      </c>
      <c r="D820" t="s">
        <v>7</v>
      </c>
      <c r="AG820" t="str">
        <f>T("3966")</f>
        <v>3966</v>
      </c>
      <c r="AH820" t="str">
        <f>T("20")</f>
        <v>20</v>
      </c>
      <c r="AK820" t="str">
        <f>T("1118")</f>
        <v>1118</v>
      </c>
    </row>
    <row r="821" spans="1:37" x14ac:dyDescent="0.3">
      <c r="A821" t="s">
        <v>2597</v>
      </c>
      <c r="B821" t="s">
        <v>2598</v>
      </c>
      <c r="C821" t="s">
        <v>2599</v>
      </c>
      <c r="D821" t="s">
        <v>7</v>
      </c>
      <c r="AG821" t="str">
        <f>T("4089")</f>
        <v>4089</v>
      </c>
      <c r="AH821" t="str">
        <f>T("22")</f>
        <v>22</v>
      </c>
      <c r="AK821" t="str">
        <f>T("1786")</f>
        <v>1786</v>
      </c>
    </row>
    <row r="822" spans="1:37" x14ac:dyDescent="0.3">
      <c r="A822" t="s">
        <v>2600</v>
      </c>
      <c r="B822" t="s">
        <v>2601</v>
      </c>
      <c r="C822" t="s">
        <v>2602</v>
      </c>
      <c r="D822" t="s">
        <v>7</v>
      </c>
      <c r="AG822" t="str">
        <f>T("3912")</f>
        <v>3912</v>
      </c>
      <c r="AH822" t="str">
        <f>T("19")</f>
        <v>19</v>
      </c>
      <c r="AK822" t="str">
        <f>T("1286")</f>
        <v>1286</v>
      </c>
    </row>
    <row r="823" spans="1:37" x14ac:dyDescent="0.3">
      <c r="A823" t="s">
        <v>2603</v>
      </c>
      <c r="B823" t="s">
        <v>2604</v>
      </c>
      <c r="C823" t="s">
        <v>2605</v>
      </c>
      <c r="D823" t="s">
        <v>7</v>
      </c>
      <c r="K823" t="str">
        <f>T("172.515")</f>
        <v>172.515</v>
      </c>
      <c r="AG823" t="str">
        <f>T("2366")</f>
        <v>2366</v>
      </c>
      <c r="AH823" t="str">
        <f>T("3")</f>
        <v>3</v>
      </c>
      <c r="AI823" t="str">
        <f>T("25")</f>
        <v>25</v>
      </c>
      <c r="AK823" t="str">
        <f>T("1349")</f>
        <v>1349</v>
      </c>
    </row>
    <row r="824" spans="1:37" x14ac:dyDescent="0.3">
      <c r="A824" t="s">
        <v>2606</v>
      </c>
      <c r="B824" t="s">
        <v>2607</v>
      </c>
      <c r="C824" t="s">
        <v>2608</v>
      </c>
      <c r="D824" t="s">
        <v>7</v>
      </c>
      <c r="AG824" t="str">
        <f>T("3264")</f>
        <v>3264</v>
      </c>
      <c r="AH824" t="str">
        <f>T("5")</f>
        <v>5</v>
      </c>
      <c r="AK824" t="str">
        <f>T("326")</f>
        <v>326</v>
      </c>
    </row>
    <row r="825" spans="1:37" x14ac:dyDescent="0.3">
      <c r="A825" t="s">
        <v>2609</v>
      </c>
      <c r="B825" t="s">
        <v>2610</v>
      </c>
      <c r="C825" t="s">
        <v>2611</v>
      </c>
      <c r="D825" t="s">
        <v>7</v>
      </c>
      <c r="AG825" t="str">
        <f>T("3913")</f>
        <v>3913</v>
      </c>
      <c r="AH825" t="str">
        <f>T("19")</f>
        <v>19</v>
      </c>
      <c r="AK825" t="str">
        <f>T("1372")</f>
        <v>1372</v>
      </c>
    </row>
    <row r="826" spans="1:37" x14ac:dyDescent="0.3">
      <c r="A826" t="s">
        <v>2612</v>
      </c>
      <c r="B826" t="s">
        <v>2613</v>
      </c>
      <c r="C826" t="s">
        <v>2614</v>
      </c>
      <c r="D826" t="s">
        <v>7</v>
      </c>
      <c r="AG826" t="str">
        <f>T("3914")</f>
        <v>3914</v>
      </c>
      <c r="AH826" t="str">
        <f>T("19")</f>
        <v>19</v>
      </c>
      <c r="AK826" t="str">
        <f>T("1287")</f>
        <v>1287</v>
      </c>
    </row>
    <row r="827" spans="1:37" x14ac:dyDescent="0.3">
      <c r="A827" t="s">
        <v>2615</v>
      </c>
      <c r="B827" t="s">
        <v>2616</v>
      </c>
      <c r="C827" t="s">
        <v>2617</v>
      </c>
      <c r="D827" t="s">
        <v>15</v>
      </c>
      <c r="AG827" t="str">
        <f>T("3742")</f>
        <v>3742</v>
      </c>
      <c r="AH827" t="str">
        <f>T("14")</f>
        <v>14</v>
      </c>
      <c r="AK827" t="str">
        <f>T("327")</f>
        <v>327</v>
      </c>
    </row>
    <row r="828" spans="1:37" x14ac:dyDescent="0.3">
      <c r="A828" t="s">
        <v>2618</v>
      </c>
      <c r="B828" t="s">
        <v>2619</v>
      </c>
      <c r="C828" t="s">
        <v>2620</v>
      </c>
      <c r="D828" t="s">
        <v>15</v>
      </c>
      <c r="AG828" t="str">
        <f>T("3742")</f>
        <v>3742</v>
      </c>
      <c r="AH828" t="str">
        <f>T("14")</f>
        <v>14</v>
      </c>
      <c r="AK828" t="str">
        <f>T("327")</f>
        <v>327</v>
      </c>
    </row>
    <row r="829" spans="1:37" x14ac:dyDescent="0.3">
      <c r="A829" t="s">
        <v>2621</v>
      </c>
      <c r="B829" t="s">
        <v>2622</v>
      </c>
      <c r="C829" t="s">
        <v>2623</v>
      </c>
      <c r="D829" t="s">
        <v>7</v>
      </c>
      <c r="AG829" t="str">
        <f>T("3660")</f>
        <v>3660</v>
      </c>
      <c r="AH829" t="str">
        <f>T("13")</f>
        <v>13</v>
      </c>
      <c r="AK829" t="str">
        <f>T("328")</f>
        <v>328</v>
      </c>
    </row>
    <row r="830" spans="1:37" x14ac:dyDescent="0.3">
      <c r="A830" t="s">
        <v>2624</v>
      </c>
      <c r="B830" t="s">
        <v>2625</v>
      </c>
      <c r="C830" t="s">
        <v>2626</v>
      </c>
      <c r="D830" t="s">
        <v>7</v>
      </c>
      <c r="AG830" t="str">
        <f>T("3824")</f>
        <v>3824</v>
      </c>
      <c r="AH830" t="str">
        <f>T("18")</f>
        <v>18</v>
      </c>
      <c r="AK830" t="str">
        <f>T("1153")</f>
        <v>1153</v>
      </c>
    </row>
    <row r="831" spans="1:37" x14ac:dyDescent="0.3">
      <c r="A831" t="s">
        <v>2627</v>
      </c>
      <c r="B831" t="s">
        <v>2628</v>
      </c>
      <c r="C831" t="s">
        <v>2629</v>
      </c>
      <c r="D831" t="s">
        <v>7</v>
      </c>
      <c r="AG831" t="str">
        <f>T("4439")</f>
        <v>4439</v>
      </c>
      <c r="AH831" t="str">
        <f>T("24")</f>
        <v>24</v>
      </c>
      <c r="AK831" t="str">
        <f>T("1992")</f>
        <v>1992</v>
      </c>
    </row>
    <row r="832" spans="1:37" x14ac:dyDescent="0.3">
      <c r="A832" t="s">
        <v>2630</v>
      </c>
      <c r="B832" t="s">
        <v>2631</v>
      </c>
      <c r="C832" t="s">
        <v>2632</v>
      </c>
      <c r="D832" t="s">
        <v>7</v>
      </c>
      <c r="AG832" t="str">
        <f>T("4441")</f>
        <v>4441</v>
      </c>
      <c r="AH832" t="str">
        <f>T("24")</f>
        <v>24</v>
      </c>
      <c r="AK832" t="str">
        <f>T("1994")</f>
        <v>1994</v>
      </c>
    </row>
    <row r="833" spans="1:37" x14ac:dyDescent="0.3">
      <c r="A833" t="s">
        <v>2633</v>
      </c>
      <c r="B833" t="s">
        <v>2634</v>
      </c>
      <c r="C833" t="s">
        <v>2635</v>
      </c>
      <c r="D833" t="s">
        <v>7</v>
      </c>
      <c r="AG833" t="str">
        <f>T("4440")</f>
        <v>4440</v>
      </c>
      <c r="AH833" t="str">
        <f>T("24")</f>
        <v>24</v>
      </c>
      <c r="AK833" t="str">
        <f>T("1993")</f>
        <v>1993</v>
      </c>
    </row>
    <row r="834" spans="1:37" x14ac:dyDescent="0.3">
      <c r="A834" t="s">
        <v>2636</v>
      </c>
      <c r="B834" t="s">
        <v>2637</v>
      </c>
      <c r="C834" t="s">
        <v>2638</v>
      </c>
      <c r="D834" t="s">
        <v>7</v>
      </c>
      <c r="K834" t="str">
        <f>T("172.515")</f>
        <v>172.515</v>
      </c>
      <c r="AG834" t="str">
        <f>T("3532")</f>
        <v>3532</v>
      </c>
      <c r="AH834" t="str">
        <f>T("11")</f>
        <v>11</v>
      </c>
      <c r="AK834" t="str">
        <f>T("1130")</f>
        <v>1130</v>
      </c>
    </row>
    <row r="835" spans="1:37" x14ac:dyDescent="0.3">
      <c r="A835" t="s">
        <v>2639</v>
      </c>
      <c r="B835" t="s">
        <v>2640</v>
      </c>
      <c r="C835" t="s">
        <v>2641</v>
      </c>
      <c r="D835" t="s">
        <v>7</v>
      </c>
      <c r="AG835" t="str">
        <f>T("4706")</f>
        <v>4706</v>
      </c>
      <c r="AH835" t="str">
        <f>T("25")</f>
        <v>25</v>
      </c>
    </row>
    <row r="836" spans="1:37" x14ac:dyDescent="0.3">
      <c r="A836" t="s">
        <v>2642</v>
      </c>
      <c r="B836" t="s">
        <v>2643</v>
      </c>
      <c r="C836" t="s">
        <v>2644</v>
      </c>
      <c r="D836" t="s">
        <v>7</v>
      </c>
      <c r="AG836" t="str">
        <f>T("4442")</f>
        <v>4442</v>
      </c>
      <c r="AH836" t="str">
        <f>T("24")</f>
        <v>24</v>
      </c>
      <c r="AK836" t="str">
        <f>T("1977")</f>
        <v>1977</v>
      </c>
    </row>
    <row r="837" spans="1:37" x14ac:dyDescent="0.3">
      <c r="A837" t="s">
        <v>2645</v>
      </c>
      <c r="B837" t="s">
        <v>2646</v>
      </c>
      <c r="C837" t="s">
        <v>2647</v>
      </c>
      <c r="D837" t="s">
        <v>7</v>
      </c>
      <c r="AG837" t="str">
        <f>T("3967")</f>
        <v>3967</v>
      </c>
      <c r="AH837" t="str">
        <f>T("20")</f>
        <v>20</v>
      </c>
      <c r="AK837" t="str">
        <f>T("1288")</f>
        <v>1288</v>
      </c>
    </row>
    <row r="838" spans="1:37" x14ac:dyDescent="0.3">
      <c r="A838" t="s">
        <v>2648</v>
      </c>
      <c r="B838" t="s">
        <v>2649</v>
      </c>
      <c r="C838" t="s">
        <v>2650</v>
      </c>
      <c r="D838" t="s">
        <v>7</v>
      </c>
      <c r="K838" t="str">
        <f>T("172.515")</f>
        <v>172.515</v>
      </c>
      <c r="AG838" t="str">
        <f>T("2367")</f>
        <v>2367</v>
      </c>
      <c r="AH838" t="str">
        <f>T("3")</f>
        <v>3</v>
      </c>
      <c r="AK838" t="str">
        <f>T("132")</f>
        <v>132</v>
      </c>
    </row>
    <row r="839" spans="1:37" x14ac:dyDescent="0.3">
      <c r="A839" t="s">
        <v>2651</v>
      </c>
      <c r="B839" t="s">
        <v>2652</v>
      </c>
      <c r="C839" t="s">
        <v>2653</v>
      </c>
      <c r="D839" t="s">
        <v>7</v>
      </c>
      <c r="K839" t="str">
        <f>T("172.515")</f>
        <v>172.515</v>
      </c>
      <c r="AG839" t="str">
        <f>T("2368")</f>
        <v>2368</v>
      </c>
      <c r="AH839" t="str">
        <f>T("3")</f>
        <v>3</v>
      </c>
      <c r="AK839" t="str">
        <f>T("156")</f>
        <v>156</v>
      </c>
    </row>
    <row r="840" spans="1:37" x14ac:dyDescent="0.3">
      <c r="A840" t="s">
        <v>2654</v>
      </c>
      <c r="B840" t="s">
        <v>2655</v>
      </c>
      <c r="C840" t="s">
        <v>2656</v>
      </c>
      <c r="D840" t="s">
        <v>7</v>
      </c>
      <c r="AG840" t="str">
        <f>T("4090")</f>
        <v>4090</v>
      </c>
      <c r="AH840" t="str">
        <f>T("22")</f>
        <v>22</v>
      </c>
      <c r="AK840" t="str">
        <f>T("1493")</f>
        <v>1493</v>
      </c>
    </row>
    <row r="841" spans="1:37" x14ac:dyDescent="0.3">
      <c r="A841" t="s">
        <v>2657</v>
      </c>
      <c r="B841" t="s">
        <v>2658</v>
      </c>
      <c r="C841" t="s">
        <v>2659</v>
      </c>
      <c r="D841" t="s">
        <v>7</v>
      </c>
      <c r="K841" t="str">
        <f>T("172.515")</f>
        <v>172.515</v>
      </c>
      <c r="AG841" t="str">
        <f>T("2369")</f>
        <v>2369</v>
      </c>
      <c r="AH841" t="str">
        <f>T("3")</f>
        <v>3</v>
      </c>
      <c r="AI841" t="str">
        <f>T("25")</f>
        <v>25</v>
      </c>
      <c r="AK841" t="str">
        <f>T("146")</f>
        <v>146</v>
      </c>
    </row>
    <row r="842" spans="1:37" x14ac:dyDescent="0.3">
      <c r="A842" t="s">
        <v>2660</v>
      </c>
      <c r="B842" t="s">
        <v>2661</v>
      </c>
      <c r="C842" t="s">
        <v>2662</v>
      </c>
      <c r="D842" t="s">
        <v>7</v>
      </c>
    </row>
    <row r="843" spans="1:37" x14ac:dyDescent="0.3">
      <c r="A843" t="s">
        <v>2663</v>
      </c>
      <c r="B843" t="s">
        <v>2664</v>
      </c>
      <c r="C843" t="s">
        <v>2665</v>
      </c>
      <c r="D843" t="s">
        <v>1537</v>
      </c>
      <c r="E843" t="str">
        <f>T("73.40")</f>
        <v>73.40</v>
      </c>
    </row>
    <row r="844" spans="1:37" x14ac:dyDescent="0.3">
      <c r="A844" t="s">
        <v>2666</v>
      </c>
      <c r="B844" t="s">
        <v>2667</v>
      </c>
      <c r="C844" t="s">
        <v>2668</v>
      </c>
      <c r="D844" t="s">
        <v>184</v>
      </c>
      <c r="K844" t="str">
        <f>T("172.130")</f>
        <v>172.130</v>
      </c>
      <c r="L844" t="str">
        <f>T("175.105")</f>
        <v>175.105</v>
      </c>
    </row>
    <row r="845" spans="1:37" x14ac:dyDescent="0.3">
      <c r="A845" t="s">
        <v>2669</v>
      </c>
      <c r="B845" t="s">
        <v>2670</v>
      </c>
      <c r="C845" t="s">
        <v>2671</v>
      </c>
      <c r="D845" t="s">
        <v>7</v>
      </c>
      <c r="AG845" t="str">
        <f>T("3446")</f>
        <v>3446</v>
      </c>
      <c r="AH845" t="str">
        <f>T("9")</f>
        <v>9</v>
      </c>
      <c r="AK845" t="str">
        <f>T("397")</f>
        <v>397</v>
      </c>
    </row>
    <row r="846" spans="1:37" x14ac:dyDescent="0.3">
      <c r="A846" t="s">
        <v>2672</v>
      </c>
      <c r="B846" t="s">
        <v>2673</v>
      </c>
      <c r="C846" t="s">
        <v>2674</v>
      </c>
      <c r="D846" t="s">
        <v>7</v>
      </c>
      <c r="AG846" t="str">
        <f>T("3447")</f>
        <v>3447</v>
      </c>
      <c r="AH846" t="str">
        <f>T("9")</f>
        <v>9</v>
      </c>
      <c r="AK846" t="str">
        <f>T("396")</f>
        <v>396</v>
      </c>
    </row>
    <row r="847" spans="1:37" x14ac:dyDescent="0.3">
      <c r="A847" t="s">
        <v>2675</v>
      </c>
      <c r="B847" t="s">
        <v>2676</v>
      </c>
      <c r="C847" t="s">
        <v>2677</v>
      </c>
      <c r="D847" t="s">
        <v>7</v>
      </c>
      <c r="AG847" t="str">
        <f>T("3755")</f>
        <v>3755</v>
      </c>
      <c r="AH847" t="str">
        <f>T("15")</f>
        <v>15</v>
      </c>
      <c r="AK847" t="str">
        <f>T("1163")</f>
        <v>1163</v>
      </c>
    </row>
    <row r="848" spans="1:37" x14ac:dyDescent="0.3">
      <c r="A848" t="s">
        <v>2678</v>
      </c>
      <c r="B848" t="s">
        <v>2679</v>
      </c>
      <c r="C848" t="s">
        <v>2680</v>
      </c>
      <c r="D848" t="s">
        <v>7</v>
      </c>
      <c r="AG848" t="str">
        <f>T("4091")</f>
        <v>4091</v>
      </c>
      <c r="AH848" t="str">
        <f>T("22")</f>
        <v>22</v>
      </c>
      <c r="AK848" t="str">
        <f>T("1862")</f>
        <v>1862</v>
      </c>
    </row>
    <row r="849" spans="1:37" x14ac:dyDescent="0.3">
      <c r="A849" t="s">
        <v>2681</v>
      </c>
      <c r="B849" t="s">
        <v>2682</v>
      </c>
      <c r="C849" t="s">
        <v>2683</v>
      </c>
      <c r="D849" t="s">
        <v>7</v>
      </c>
      <c r="AG849" t="str">
        <f>T("4518")</f>
        <v>4518</v>
      </c>
      <c r="AH849" t="str">
        <f>T("24")</f>
        <v>24</v>
      </c>
      <c r="AK849" t="str">
        <f>T("2059")</f>
        <v>2059</v>
      </c>
    </row>
    <row r="850" spans="1:37" x14ac:dyDescent="0.3">
      <c r="A850" t="s">
        <v>2684</v>
      </c>
      <c r="B850" t="s">
        <v>2685</v>
      </c>
      <c r="C850" t="s">
        <v>2686</v>
      </c>
      <c r="D850" t="s">
        <v>2687</v>
      </c>
      <c r="K850" t="str">
        <f>T("178.1010")</f>
        <v>178.1010</v>
      </c>
    </row>
    <row r="851" spans="1:37" x14ac:dyDescent="0.3">
      <c r="A851" t="s">
        <v>2688</v>
      </c>
      <c r="B851" t="s">
        <v>2689</v>
      </c>
      <c r="C851" t="s">
        <v>2690</v>
      </c>
      <c r="D851" t="s">
        <v>2691</v>
      </c>
      <c r="K851" t="str">
        <f>T("186.1275")</f>
        <v>186.1275</v>
      </c>
    </row>
    <row r="852" spans="1:37" x14ac:dyDescent="0.3">
      <c r="A852" t="s">
        <v>2692</v>
      </c>
      <c r="B852" t="s">
        <v>2693</v>
      </c>
      <c r="C852" t="s">
        <v>2694</v>
      </c>
      <c r="D852" t="s">
        <v>2695</v>
      </c>
      <c r="K852" t="str">
        <f>T("172.892")</f>
        <v>172.892</v>
      </c>
      <c r="L852" t="str">
        <f>T("184.1277")</f>
        <v>184.1277</v>
      </c>
    </row>
    <row r="853" spans="1:37" x14ac:dyDescent="0.3">
      <c r="A853" t="s">
        <v>2696</v>
      </c>
      <c r="B853" t="s">
        <v>2697</v>
      </c>
      <c r="C853" t="s">
        <v>2698</v>
      </c>
      <c r="D853" t="s">
        <v>2699</v>
      </c>
      <c r="E853" t="str">
        <f>T("73.85")</f>
        <v>73.85</v>
      </c>
      <c r="K853" t="str">
        <f>T("172.816")</f>
        <v>172.816</v>
      </c>
      <c r="L853" t="str">
        <f>T("184.1857")</f>
        <v>184.1857</v>
      </c>
      <c r="AF853" t="s">
        <v>2700</v>
      </c>
    </row>
    <row r="854" spans="1:37" x14ac:dyDescent="0.3">
      <c r="A854" t="s">
        <v>2701</v>
      </c>
      <c r="B854" t="s">
        <v>2702</v>
      </c>
      <c r="C854" t="s">
        <v>2703</v>
      </c>
      <c r="D854" t="s">
        <v>7</v>
      </c>
      <c r="K854" t="str">
        <f>T("184.1278")</f>
        <v>184.1278</v>
      </c>
      <c r="AG854" t="str">
        <f>T("2370")</f>
        <v>2370</v>
      </c>
      <c r="AH854" t="str">
        <f>T("3")</f>
        <v>3</v>
      </c>
      <c r="AK854" t="str">
        <f>T("408")</f>
        <v>408</v>
      </c>
    </row>
    <row r="855" spans="1:37" x14ac:dyDescent="0.3">
      <c r="A855" t="s">
        <v>2704</v>
      </c>
      <c r="B855" t="s">
        <v>2705</v>
      </c>
      <c r="C855" t="s">
        <v>2706</v>
      </c>
      <c r="D855" t="s">
        <v>420</v>
      </c>
      <c r="K855" t="str">
        <f>T("172.710")</f>
        <v>172.710</v>
      </c>
      <c r="L855" t="str">
        <f>T("177.1200")</f>
        <v>177.1200</v>
      </c>
    </row>
    <row r="856" spans="1:37" x14ac:dyDescent="0.3">
      <c r="A856" t="s">
        <v>2707</v>
      </c>
      <c r="B856" t="s">
        <v>2708</v>
      </c>
      <c r="C856" t="s">
        <v>2709</v>
      </c>
      <c r="D856" t="s">
        <v>7</v>
      </c>
      <c r="AG856" t="str">
        <f>T("3533")</f>
        <v>3533</v>
      </c>
      <c r="AH856" t="str">
        <f>T("11")</f>
        <v>11</v>
      </c>
      <c r="AK856" t="str">
        <f>T("588")</f>
        <v>588</v>
      </c>
    </row>
    <row r="857" spans="1:37" x14ac:dyDescent="0.3">
      <c r="A857" t="s">
        <v>2710</v>
      </c>
      <c r="B857" t="s">
        <v>2711</v>
      </c>
      <c r="C857" t="s">
        <v>2712</v>
      </c>
      <c r="D857" t="s">
        <v>7</v>
      </c>
      <c r="AG857" t="str">
        <f>T("3265")</f>
        <v>3265</v>
      </c>
      <c r="AH857" t="str">
        <f>T("5")</f>
        <v>5</v>
      </c>
      <c r="AK857" t="str">
        <f>T("587")</f>
        <v>587</v>
      </c>
    </row>
    <row r="858" spans="1:37" x14ac:dyDescent="0.3">
      <c r="A858" t="s">
        <v>2713</v>
      </c>
      <c r="B858" t="s">
        <v>2714</v>
      </c>
      <c r="C858" t="s">
        <v>2715</v>
      </c>
      <c r="D858" t="s">
        <v>7</v>
      </c>
      <c r="AG858" t="str">
        <f>T("4022")</f>
        <v>4022</v>
      </c>
      <c r="AH858" t="str">
        <f>T("20")</f>
        <v>20</v>
      </c>
      <c r="AK858" t="str">
        <f>T("1155")</f>
        <v>1155</v>
      </c>
    </row>
    <row r="859" spans="1:37" x14ac:dyDescent="0.3">
      <c r="A859" t="s">
        <v>2716</v>
      </c>
      <c r="B859" t="s">
        <v>2717</v>
      </c>
      <c r="C859" t="s">
        <v>2718</v>
      </c>
      <c r="D859" t="s">
        <v>74</v>
      </c>
    </row>
    <row r="860" spans="1:37" x14ac:dyDescent="0.3">
      <c r="A860" t="s">
        <v>2719</v>
      </c>
      <c r="B860" t="s">
        <v>2720</v>
      </c>
      <c r="C860" t="s">
        <v>2721</v>
      </c>
      <c r="K860" t="str">
        <f>T("175.300")</f>
        <v>175.300</v>
      </c>
      <c r="L860" t="str">
        <f>T("176.170")</f>
        <v>176.170</v>
      </c>
      <c r="M860" t="str">
        <f>T("177.1680")</f>
        <v>177.1680</v>
      </c>
      <c r="N860" t="str">
        <f>T("177.2260")</f>
        <v>177.2260</v>
      </c>
      <c r="O860" t="str">
        <f>T("177.2410")</f>
        <v>177.2410</v>
      </c>
      <c r="P860" t="str">
        <f>T("178.3297")</f>
        <v>178.3297</v>
      </c>
      <c r="Q860" t="str">
        <f>T("182.90")</f>
        <v>182.90</v>
      </c>
    </row>
    <row r="861" spans="1:37" x14ac:dyDescent="0.3">
      <c r="A861" t="s">
        <v>2722</v>
      </c>
      <c r="B861" t="s">
        <v>2723</v>
      </c>
      <c r="C861" t="s">
        <v>2724</v>
      </c>
      <c r="D861" t="s">
        <v>15</v>
      </c>
      <c r="K861" t="str">
        <f>T("172.515")</f>
        <v>172.515</v>
      </c>
      <c r="AG861" t="str">
        <f>T("2371")</f>
        <v>2371</v>
      </c>
      <c r="AH861" t="str">
        <f>T("3")</f>
        <v>3</v>
      </c>
      <c r="AK861" t="str">
        <f>T("1256")</f>
        <v>1256</v>
      </c>
    </row>
    <row r="862" spans="1:37" x14ac:dyDescent="0.3">
      <c r="A862" t="s">
        <v>2725</v>
      </c>
      <c r="B862" t="s">
        <v>2726</v>
      </c>
      <c r="C862" t="s">
        <v>2727</v>
      </c>
      <c r="D862" t="s">
        <v>7</v>
      </c>
      <c r="K862" t="str">
        <f>T("172.515")</f>
        <v>172.515</v>
      </c>
      <c r="AG862" t="str">
        <f>T("2372")</f>
        <v>2372</v>
      </c>
      <c r="AH862" t="str">
        <f>T("3")</f>
        <v>3</v>
      </c>
      <c r="AK862" t="str">
        <f>T("227")</f>
        <v>227</v>
      </c>
    </row>
    <row r="863" spans="1:37" x14ac:dyDescent="0.3">
      <c r="A863" t="s">
        <v>2728</v>
      </c>
      <c r="B863" t="s">
        <v>2729</v>
      </c>
      <c r="C863" t="s">
        <v>2730</v>
      </c>
      <c r="D863" t="s">
        <v>7</v>
      </c>
      <c r="K863" t="str">
        <f>T("172.515")</f>
        <v>172.515</v>
      </c>
      <c r="L863" t="str">
        <f>T("175.105")</f>
        <v>175.105</v>
      </c>
      <c r="M863" t="str">
        <f>T("175.300")</f>
        <v>175.300</v>
      </c>
      <c r="N863" t="str">
        <f>T("175.320")</f>
        <v>175.320</v>
      </c>
      <c r="O863" t="str">
        <f>T("176.170")</f>
        <v>176.170</v>
      </c>
      <c r="P863" t="str">
        <f>T("177.2600")</f>
        <v>177.2600</v>
      </c>
      <c r="Q863" t="str">
        <f>T("178.3910")</f>
        <v>178.3910</v>
      </c>
      <c r="R863" t="str">
        <f>T("181.27")</f>
        <v>181.27</v>
      </c>
      <c r="AG863" t="str">
        <f>T("2373")</f>
        <v>2373</v>
      </c>
      <c r="AH863" t="str">
        <f>T("3")</f>
        <v>3</v>
      </c>
      <c r="AK863" t="str">
        <f>T("625")</f>
        <v>625</v>
      </c>
    </row>
    <row r="864" spans="1:37" x14ac:dyDescent="0.3">
      <c r="A864" t="s">
        <v>2731</v>
      </c>
      <c r="B864" t="s">
        <v>2732</v>
      </c>
      <c r="C864" t="s">
        <v>2733</v>
      </c>
      <c r="D864" t="s">
        <v>1930</v>
      </c>
      <c r="K864" t="str">
        <f>T("173.355")</f>
        <v>173.355</v>
      </c>
    </row>
    <row r="865" spans="1:37" x14ac:dyDescent="0.3">
      <c r="A865" t="s">
        <v>2734</v>
      </c>
      <c r="B865" t="s">
        <v>2735</v>
      </c>
      <c r="C865" t="s">
        <v>2736</v>
      </c>
      <c r="D865" t="s">
        <v>7</v>
      </c>
      <c r="AG865" t="str">
        <f>T("3448")</f>
        <v>3448</v>
      </c>
      <c r="AH865" t="str">
        <f>T("9")</f>
        <v>9</v>
      </c>
      <c r="AI865" t="str">
        <f>T("25")</f>
        <v>25</v>
      </c>
      <c r="AK865" t="str">
        <f>T("575")</f>
        <v>575</v>
      </c>
    </row>
    <row r="866" spans="1:37" x14ac:dyDescent="0.3">
      <c r="A866" t="s">
        <v>2737</v>
      </c>
      <c r="B866" t="s">
        <v>2738</v>
      </c>
      <c r="C866" t="s">
        <v>2739</v>
      </c>
      <c r="D866" t="s">
        <v>420</v>
      </c>
      <c r="K866" t="str">
        <f>T("172.710")</f>
        <v>172.710</v>
      </c>
      <c r="L866" t="str">
        <f>T("176.180")</f>
        <v>176.180</v>
      </c>
      <c r="M866" t="str">
        <f>T("176.210")</f>
        <v>176.210</v>
      </c>
      <c r="N866" t="str">
        <f>T("177.2800")</f>
        <v>177.2800</v>
      </c>
    </row>
    <row r="867" spans="1:37" x14ac:dyDescent="0.3">
      <c r="A867" t="s">
        <v>2740</v>
      </c>
      <c r="B867" t="s">
        <v>2741</v>
      </c>
      <c r="C867" t="s">
        <v>2742</v>
      </c>
      <c r="D867" t="s">
        <v>420</v>
      </c>
      <c r="K867" t="str">
        <f>T("172.710")</f>
        <v>172.710</v>
      </c>
    </row>
    <row r="868" spans="1:37" x14ac:dyDescent="0.3">
      <c r="A868" t="s">
        <v>2743</v>
      </c>
      <c r="B868" t="s">
        <v>2744</v>
      </c>
      <c r="C868" t="s">
        <v>2745</v>
      </c>
      <c r="D868" t="s">
        <v>7</v>
      </c>
      <c r="AG868" t="str">
        <f>T("3534")</f>
        <v>3534</v>
      </c>
      <c r="AH868" t="str">
        <f>T("11")</f>
        <v>11</v>
      </c>
      <c r="AK868" t="str">
        <f>T("927")</f>
        <v>927</v>
      </c>
    </row>
    <row r="869" spans="1:37" x14ac:dyDescent="0.3">
      <c r="A869" t="s">
        <v>2746</v>
      </c>
      <c r="B869" t="s">
        <v>2747</v>
      </c>
      <c r="C869" t="s">
        <v>2748</v>
      </c>
      <c r="D869" t="s">
        <v>192</v>
      </c>
      <c r="K869" t="str">
        <f>T("173.310")</f>
        <v>173.310</v>
      </c>
    </row>
    <row r="870" spans="1:37" x14ac:dyDescent="0.3">
      <c r="A870" t="s">
        <v>2749</v>
      </c>
      <c r="B870" t="s">
        <v>2750</v>
      </c>
      <c r="C870" t="s">
        <v>2751</v>
      </c>
      <c r="D870" t="s">
        <v>7</v>
      </c>
      <c r="AG870" t="str">
        <f>T("4093")</f>
        <v>4093</v>
      </c>
      <c r="AH870" t="str">
        <f>T("22")</f>
        <v>22</v>
      </c>
      <c r="AK870" t="str">
        <f>T("1699")</f>
        <v>1699</v>
      </c>
    </row>
    <row r="871" spans="1:37" x14ac:dyDescent="0.3">
      <c r="A871" t="s">
        <v>2752</v>
      </c>
      <c r="B871" t="s">
        <v>2753</v>
      </c>
      <c r="C871" t="s">
        <v>2754</v>
      </c>
      <c r="E871" t="str">
        <f>T("73.1")</f>
        <v>73.1</v>
      </c>
    </row>
    <row r="872" spans="1:37" x14ac:dyDescent="0.3">
      <c r="A872" t="s">
        <v>2755</v>
      </c>
      <c r="B872" t="s">
        <v>2756</v>
      </c>
      <c r="C872" t="s">
        <v>2757</v>
      </c>
      <c r="D872" t="s">
        <v>199</v>
      </c>
      <c r="K872" t="str">
        <f>T("173.20")</f>
        <v>173.20</v>
      </c>
      <c r="L872" t="str">
        <f>T("175.105")</f>
        <v>175.105</v>
      </c>
      <c r="M872" t="str">
        <f>T("175.300")</f>
        <v>175.300</v>
      </c>
      <c r="N872" t="str">
        <f>T("176.170")</f>
        <v>176.170</v>
      </c>
      <c r="O872" t="str">
        <f>T("176.180")</f>
        <v>176.180</v>
      </c>
      <c r="P872" t="str">
        <f>T("176.210")</f>
        <v>176.210</v>
      </c>
      <c r="Q872" t="str">
        <f>T("177.1200")</f>
        <v>177.1200</v>
      </c>
    </row>
    <row r="873" spans="1:37" x14ac:dyDescent="0.3">
      <c r="A873" t="s">
        <v>2758</v>
      </c>
      <c r="B873" t="s">
        <v>2759</v>
      </c>
      <c r="C873" t="s">
        <v>2760</v>
      </c>
      <c r="D873" t="s">
        <v>199</v>
      </c>
      <c r="K873" t="str">
        <f>T("173.25")</f>
        <v>173.25</v>
      </c>
    </row>
    <row r="874" spans="1:37" x14ac:dyDescent="0.3">
      <c r="A874" t="s">
        <v>2761</v>
      </c>
      <c r="B874" t="s">
        <v>2762</v>
      </c>
      <c r="C874" t="s">
        <v>2763</v>
      </c>
      <c r="D874" t="s">
        <v>7</v>
      </c>
      <c r="K874" t="str">
        <f>T("172.515")</f>
        <v>172.515</v>
      </c>
      <c r="AG874" t="str">
        <f>T("2374")</f>
        <v>2374</v>
      </c>
      <c r="AH874" t="str">
        <f>T("3")</f>
        <v>3</v>
      </c>
      <c r="AI874" t="str">
        <f>T("25")</f>
        <v>25</v>
      </c>
      <c r="AK874" t="str">
        <f>T("620")</f>
        <v>620</v>
      </c>
    </row>
    <row r="875" spans="1:37" x14ac:dyDescent="0.3">
      <c r="A875" t="s">
        <v>2764</v>
      </c>
      <c r="B875" t="s">
        <v>2765</v>
      </c>
      <c r="C875" t="s">
        <v>2766</v>
      </c>
      <c r="D875" t="s">
        <v>7</v>
      </c>
      <c r="K875" t="str">
        <f>T("172.515")</f>
        <v>172.515</v>
      </c>
      <c r="AG875" t="str">
        <f>T("2375")</f>
        <v>2375</v>
      </c>
      <c r="AH875" t="str">
        <f>T("3")</f>
        <v>3</v>
      </c>
      <c r="AK875" t="str">
        <f>T("614")</f>
        <v>614</v>
      </c>
    </row>
    <row r="876" spans="1:37" x14ac:dyDescent="0.3">
      <c r="A876" t="s">
        <v>2767</v>
      </c>
      <c r="B876" t="s">
        <v>2768</v>
      </c>
      <c r="C876" t="s">
        <v>2769</v>
      </c>
      <c r="D876" t="s">
        <v>7</v>
      </c>
      <c r="AG876" t="str">
        <f>T("3336")</f>
        <v>3336</v>
      </c>
      <c r="AH876" t="str">
        <f>T("6")</f>
        <v>6</v>
      </c>
      <c r="AI876" t="str">
        <f>T("25")</f>
        <v>25</v>
      </c>
      <c r="AK876" t="str">
        <f>T("777")</f>
        <v>777</v>
      </c>
    </row>
    <row r="877" spans="1:37" x14ac:dyDescent="0.3">
      <c r="A877" t="s">
        <v>2770</v>
      </c>
      <c r="B877" t="s">
        <v>2771</v>
      </c>
      <c r="C877" t="s">
        <v>2772</v>
      </c>
      <c r="D877" t="s">
        <v>7</v>
      </c>
      <c r="AG877" t="str">
        <f>T("3915")</f>
        <v>3915</v>
      </c>
      <c r="AH877" t="str">
        <f>T("19")</f>
        <v>19</v>
      </c>
      <c r="AK877" t="str">
        <f>T("778")</f>
        <v>778</v>
      </c>
    </row>
    <row r="878" spans="1:37" x14ac:dyDescent="0.3">
      <c r="A878" t="s">
        <v>2773</v>
      </c>
      <c r="B878" t="s">
        <v>2774</v>
      </c>
      <c r="C878" t="s">
        <v>2775</v>
      </c>
      <c r="D878" t="s">
        <v>7</v>
      </c>
      <c r="AG878" t="str">
        <f>T("3916")</f>
        <v>3916</v>
      </c>
      <c r="AH878" t="str">
        <f>T("19")</f>
        <v>19</v>
      </c>
      <c r="AK878" t="str">
        <f>T("779")</f>
        <v>779</v>
      </c>
    </row>
    <row r="879" spans="1:37" x14ac:dyDescent="0.3">
      <c r="A879" t="s">
        <v>2776</v>
      </c>
      <c r="B879" t="s">
        <v>2777</v>
      </c>
      <c r="C879" t="s">
        <v>2778</v>
      </c>
      <c r="D879" t="s">
        <v>7</v>
      </c>
      <c r="AG879" t="str">
        <f>T("3136")</f>
        <v>3136</v>
      </c>
      <c r="AH879" t="str">
        <f>T("4")</f>
        <v>4</v>
      </c>
      <c r="AI879" t="str">
        <f>T("25")</f>
        <v>25</v>
      </c>
      <c r="AK879" t="str">
        <f>T("771")</f>
        <v>771</v>
      </c>
    </row>
    <row r="880" spans="1:37" x14ac:dyDescent="0.3">
      <c r="A880" t="s">
        <v>2779</v>
      </c>
      <c r="B880" t="s">
        <v>2780</v>
      </c>
      <c r="C880" t="s">
        <v>2781</v>
      </c>
      <c r="D880" t="s">
        <v>2782</v>
      </c>
      <c r="AD880" t="str">
        <f>T("189.140")</f>
        <v>189.140</v>
      </c>
    </row>
    <row r="881" spans="1:37" x14ac:dyDescent="0.3">
      <c r="A881" t="s">
        <v>2783</v>
      </c>
      <c r="B881" t="s">
        <v>2784</v>
      </c>
      <c r="C881" t="s">
        <v>2785</v>
      </c>
      <c r="D881" t="s">
        <v>7</v>
      </c>
      <c r="K881" t="str">
        <f>T("172.515")</f>
        <v>172.515</v>
      </c>
      <c r="AG881" t="str">
        <f>T("2376")</f>
        <v>2376</v>
      </c>
      <c r="AH881" t="str">
        <f>T("3")</f>
        <v>3</v>
      </c>
      <c r="AI881" t="str">
        <f>T("25")</f>
        <v>25</v>
      </c>
      <c r="AK881" t="str">
        <f>T("624")</f>
        <v>624</v>
      </c>
    </row>
    <row r="882" spans="1:37" x14ac:dyDescent="0.3">
      <c r="A882" t="s">
        <v>2786</v>
      </c>
      <c r="B882" t="s">
        <v>2787</v>
      </c>
      <c r="C882" t="s">
        <v>2788</v>
      </c>
      <c r="D882" t="s">
        <v>7</v>
      </c>
      <c r="K882" t="str">
        <f>T("172.515")</f>
        <v>172.515</v>
      </c>
      <c r="AG882" t="str">
        <f>T("2377")</f>
        <v>2377</v>
      </c>
      <c r="AH882" t="str">
        <f>T("3")</f>
        <v>3</v>
      </c>
      <c r="AI882" t="str">
        <f>T("25")</f>
        <v>25</v>
      </c>
      <c r="AK882" t="str">
        <f>T("617")</f>
        <v>617</v>
      </c>
    </row>
    <row r="883" spans="1:37" x14ac:dyDescent="0.3">
      <c r="A883" t="s">
        <v>2789</v>
      </c>
      <c r="B883" t="s">
        <v>2790</v>
      </c>
      <c r="C883" t="s">
        <v>2791</v>
      </c>
      <c r="D883" t="s">
        <v>7</v>
      </c>
      <c r="AG883" t="str">
        <f>T("3825")</f>
        <v>3825</v>
      </c>
      <c r="AH883" t="str">
        <f>T("18")</f>
        <v>18</v>
      </c>
      <c r="AK883" t="str">
        <f>T("454")</f>
        <v>454</v>
      </c>
    </row>
    <row r="884" spans="1:37" x14ac:dyDescent="0.3">
      <c r="A884" t="s">
        <v>2792</v>
      </c>
      <c r="B884" t="s">
        <v>2793</v>
      </c>
      <c r="C884" t="s">
        <v>2794</v>
      </c>
      <c r="D884" t="s">
        <v>7</v>
      </c>
      <c r="K884" t="str">
        <f>T("172.515")</f>
        <v>172.515</v>
      </c>
      <c r="AG884" t="str">
        <f>T("2378")</f>
        <v>2378</v>
      </c>
      <c r="AH884" t="str">
        <f>T("3")</f>
        <v>3</v>
      </c>
      <c r="AK884" t="str">
        <f>T("622")</f>
        <v>622</v>
      </c>
    </row>
    <row r="885" spans="1:37" x14ac:dyDescent="0.3">
      <c r="A885" t="s">
        <v>2795</v>
      </c>
      <c r="B885" t="s">
        <v>2796</v>
      </c>
      <c r="C885" t="s">
        <v>2797</v>
      </c>
      <c r="D885" t="s">
        <v>7</v>
      </c>
      <c r="K885" t="str">
        <f>T("172.515")</f>
        <v>172.515</v>
      </c>
      <c r="AG885" t="str">
        <f>T("3743")</f>
        <v>3743</v>
      </c>
      <c r="AH885" t="str">
        <f>T("14")</f>
        <v>14</v>
      </c>
      <c r="AK885" t="str">
        <f>T("1453")</f>
        <v>1453</v>
      </c>
    </row>
    <row r="886" spans="1:37" x14ac:dyDescent="0.3">
      <c r="A886" t="s">
        <v>2798</v>
      </c>
      <c r="B886" t="s">
        <v>2799</v>
      </c>
      <c r="C886" t="s">
        <v>2800</v>
      </c>
      <c r="D886" t="s">
        <v>7</v>
      </c>
      <c r="AG886" t="str">
        <f>T("4094")</f>
        <v>4094</v>
      </c>
      <c r="AH886" t="str">
        <f>T("22")</f>
        <v>22</v>
      </c>
      <c r="AK886" t="str">
        <f>T("1687")</f>
        <v>1687</v>
      </c>
    </row>
    <row r="887" spans="1:37" x14ac:dyDescent="0.3">
      <c r="A887" t="s">
        <v>2801</v>
      </c>
      <c r="B887" t="s">
        <v>2802</v>
      </c>
      <c r="C887" t="s">
        <v>2803</v>
      </c>
      <c r="D887" t="s">
        <v>7</v>
      </c>
      <c r="AG887" t="str">
        <f>T("4029")</f>
        <v>4029</v>
      </c>
      <c r="AH887" t="str">
        <f>T("21")</f>
        <v>21</v>
      </c>
      <c r="AK887" t="str">
        <f>T("1701")</f>
        <v>1701</v>
      </c>
    </row>
    <row r="888" spans="1:37" x14ac:dyDescent="0.3">
      <c r="A888" t="s">
        <v>2804</v>
      </c>
      <c r="B888" t="s">
        <v>2805</v>
      </c>
      <c r="C888" t="s">
        <v>2806</v>
      </c>
      <c r="D888" t="s">
        <v>7</v>
      </c>
      <c r="AG888" t="str">
        <f>T("4030")</f>
        <v>4030</v>
      </c>
      <c r="AH888" t="str">
        <f>T("21")</f>
        <v>21</v>
      </c>
      <c r="AK888" t="str">
        <f>T("1686")</f>
        <v>1686</v>
      </c>
    </row>
    <row r="889" spans="1:37" x14ac:dyDescent="0.3">
      <c r="A889" t="s">
        <v>2807</v>
      </c>
      <c r="B889" t="s">
        <v>2808</v>
      </c>
      <c r="C889" t="s">
        <v>2809</v>
      </c>
      <c r="D889" t="s">
        <v>7</v>
      </c>
      <c r="AG889" t="str">
        <f>T("3337")</f>
        <v>3337</v>
      </c>
      <c r="AH889" t="str">
        <f>T("6")</f>
        <v>6</v>
      </c>
      <c r="AK889" t="str">
        <f>T("1522")</f>
        <v>1522</v>
      </c>
    </row>
    <row r="890" spans="1:37" x14ac:dyDescent="0.3">
      <c r="A890" t="s">
        <v>2810</v>
      </c>
      <c r="B890" t="s">
        <v>2811</v>
      </c>
      <c r="C890" t="s">
        <v>2812</v>
      </c>
      <c r="D890" t="s">
        <v>7</v>
      </c>
      <c r="AG890" t="str">
        <f>T("4095")</f>
        <v>4095</v>
      </c>
      <c r="AH890" t="str">
        <f>T("22")</f>
        <v>22</v>
      </c>
      <c r="AK890" t="str">
        <f>T("1496")</f>
        <v>1496</v>
      </c>
    </row>
    <row r="891" spans="1:37" x14ac:dyDescent="0.3">
      <c r="A891" t="s">
        <v>2813</v>
      </c>
      <c r="B891" t="s">
        <v>2814</v>
      </c>
      <c r="C891" t="s">
        <v>2815</v>
      </c>
      <c r="D891" t="s">
        <v>7</v>
      </c>
      <c r="AG891" t="str">
        <f>T("4540")</f>
        <v>4540</v>
      </c>
      <c r="AH891" t="str">
        <f>T("24")</f>
        <v>24</v>
      </c>
      <c r="AK891" t="str">
        <f>T("2104")</f>
        <v>2104</v>
      </c>
    </row>
    <row r="892" spans="1:37" x14ac:dyDescent="0.3">
      <c r="A892" t="s">
        <v>2816</v>
      </c>
      <c r="B892" t="s">
        <v>2817</v>
      </c>
      <c r="C892" t="s">
        <v>2818</v>
      </c>
      <c r="D892" t="s">
        <v>7</v>
      </c>
      <c r="AG892" t="str">
        <f>T("4664")</f>
        <v>4664</v>
      </c>
      <c r="AH892" t="str">
        <f>T("24")</f>
        <v>24</v>
      </c>
      <c r="AK892" t="str">
        <f>T("2142")</f>
        <v>2142</v>
      </c>
    </row>
    <row r="893" spans="1:37" x14ac:dyDescent="0.3">
      <c r="A893" t="s">
        <v>2819</v>
      </c>
      <c r="B893" t="s">
        <v>2820</v>
      </c>
      <c r="C893" t="s">
        <v>2821</v>
      </c>
      <c r="D893" t="s">
        <v>7</v>
      </c>
      <c r="AG893" t="str">
        <f>T("3628")</f>
        <v>3628</v>
      </c>
      <c r="AH893" t="str">
        <f>T("12")</f>
        <v>12</v>
      </c>
      <c r="AK893" t="str">
        <f>T("393")</f>
        <v>393</v>
      </c>
    </row>
    <row r="894" spans="1:37" x14ac:dyDescent="0.3">
      <c r="A894" t="s">
        <v>2822</v>
      </c>
      <c r="B894" t="s">
        <v>2823</v>
      </c>
      <c r="C894" t="s">
        <v>2824</v>
      </c>
      <c r="D894" t="s">
        <v>7</v>
      </c>
      <c r="K894" t="str">
        <f>T("172.515")</f>
        <v>172.515</v>
      </c>
      <c r="AG894" t="str">
        <f>T("2379")</f>
        <v>2379</v>
      </c>
      <c r="AH894" t="str">
        <f>T("3")</f>
        <v>3</v>
      </c>
      <c r="AK894" t="str">
        <f>T("378")</f>
        <v>378</v>
      </c>
    </row>
    <row r="895" spans="1:37" x14ac:dyDescent="0.3">
      <c r="A895" t="s">
        <v>2825</v>
      </c>
      <c r="B895" t="s">
        <v>2826</v>
      </c>
      <c r="C895" t="s">
        <v>2827</v>
      </c>
      <c r="D895" t="s">
        <v>7</v>
      </c>
      <c r="K895" t="str">
        <f>T("172.515")</f>
        <v>172.515</v>
      </c>
      <c r="AG895" t="str">
        <f>T("3565")</f>
        <v>3565</v>
      </c>
      <c r="AH895" t="str">
        <f>T("11")</f>
        <v>11</v>
      </c>
      <c r="AI895" t="str">
        <f>T("25")</f>
        <v>25</v>
      </c>
      <c r="AK895" t="str">
        <f>T("377")</f>
        <v>377</v>
      </c>
    </row>
    <row r="896" spans="1:37" x14ac:dyDescent="0.3">
      <c r="A896" t="s">
        <v>2828</v>
      </c>
      <c r="B896" t="s">
        <v>2829</v>
      </c>
      <c r="C896" t="s">
        <v>2830</v>
      </c>
      <c r="D896" t="s">
        <v>7</v>
      </c>
      <c r="K896" t="str">
        <f>T("172.515")</f>
        <v>172.515</v>
      </c>
      <c r="AG896" t="str">
        <f>T("2380")</f>
        <v>2380</v>
      </c>
      <c r="AH896" t="str">
        <f>T("3")</f>
        <v>3</v>
      </c>
      <c r="AI896" t="str">
        <f>T("25")</f>
        <v>25</v>
      </c>
      <c r="AK896" t="str">
        <f>T("379")</f>
        <v>379</v>
      </c>
    </row>
    <row r="897" spans="1:37" x14ac:dyDescent="0.3">
      <c r="A897" t="s">
        <v>2831</v>
      </c>
      <c r="B897" t="s">
        <v>2832</v>
      </c>
      <c r="C897" t="s">
        <v>2833</v>
      </c>
      <c r="D897" t="s">
        <v>7</v>
      </c>
      <c r="AG897" t="str">
        <f>T("2381")</f>
        <v>2381</v>
      </c>
      <c r="AH897" t="str">
        <f>T("3")</f>
        <v>3</v>
      </c>
      <c r="AI897" t="str">
        <f>T("25")</f>
        <v>25</v>
      </c>
      <c r="AK897" t="str">
        <f>T("1171")</f>
        <v>1171</v>
      </c>
    </row>
    <row r="898" spans="1:37" x14ac:dyDescent="0.3">
      <c r="A898" t="s">
        <v>2834</v>
      </c>
      <c r="B898" t="s">
        <v>2835</v>
      </c>
      <c r="C898" t="s">
        <v>2836</v>
      </c>
      <c r="D898" t="s">
        <v>7</v>
      </c>
      <c r="AG898" t="str">
        <f>T("3917")</f>
        <v>3917</v>
      </c>
      <c r="AH898" t="str">
        <f>T("19")</f>
        <v>19</v>
      </c>
      <c r="AK898" t="str">
        <f>T("782")</f>
        <v>782</v>
      </c>
    </row>
    <row r="899" spans="1:37" x14ac:dyDescent="0.3">
      <c r="A899" t="s">
        <v>2837</v>
      </c>
      <c r="B899" t="s">
        <v>2838</v>
      </c>
      <c r="C899" t="s">
        <v>2839</v>
      </c>
      <c r="D899" t="s">
        <v>7</v>
      </c>
      <c r="AG899" t="str">
        <f>T("3970")</f>
        <v>3970</v>
      </c>
      <c r="AH899" t="str">
        <f>T("20")</f>
        <v>20</v>
      </c>
      <c r="AK899" t="str">
        <f>T("1519")</f>
        <v>1519</v>
      </c>
    </row>
    <row r="900" spans="1:37" x14ac:dyDescent="0.3">
      <c r="A900" t="s">
        <v>2840</v>
      </c>
      <c r="B900" t="s">
        <v>2841</v>
      </c>
      <c r="C900" t="s">
        <v>2842</v>
      </c>
      <c r="D900" t="s">
        <v>7</v>
      </c>
      <c r="AG900" t="str">
        <f>T("4031")</f>
        <v>4031</v>
      </c>
      <c r="AH900" t="str">
        <f>T("21")</f>
        <v>21</v>
      </c>
      <c r="AK900" t="str">
        <f>T("1830")</f>
        <v>1830</v>
      </c>
    </row>
    <row r="901" spans="1:37" x14ac:dyDescent="0.3">
      <c r="A901" t="s">
        <v>2843</v>
      </c>
      <c r="B901" t="s">
        <v>2844</v>
      </c>
      <c r="C901" t="s">
        <v>2845</v>
      </c>
      <c r="D901" t="s">
        <v>7</v>
      </c>
      <c r="AG901" t="str">
        <f>T("4555")</f>
        <v>4555</v>
      </c>
      <c r="AH901" t="str">
        <f>T("24")</f>
        <v>24</v>
      </c>
      <c r="AK901" t="str">
        <f>T("2046")</f>
        <v>2046</v>
      </c>
    </row>
    <row r="902" spans="1:37" x14ac:dyDescent="0.3">
      <c r="A902" t="s">
        <v>2846</v>
      </c>
      <c r="B902" t="s">
        <v>2847</v>
      </c>
      <c r="C902" t="s">
        <v>2848</v>
      </c>
      <c r="D902" t="s">
        <v>7</v>
      </c>
      <c r="AG902" t="str">
        <f>T("3627")</f>
        <v>3627</v>
      </c>
      <c r="AH902" t="str">
        <f>T("12")</f>
        <v>12</v>
      </c>
      <c r="AK902" t="str">
        <f>T("395")</f>
        <v>395</v>
      </c>
    </row>
    <row r="903" spans="1:37" x14ac:dyDescent="0.3">
      <c r="A903" t="s">
        <v>2849</v>
      </c>
      <c r="B903" t="s">
        <v>2850</v>
      </c>
      <c r="C903" t="s">
        <v>2851</v>
      </c>
      <c r="D903" t="s">
        <v>7</v>
      </c>
      <c r="AG903" t="str">
        <f>T("3626")</f>
        <v>3626</v>
      </c>
      <c r="AH903" t="str">
        <f>T("12")</f>
        <v>12</v>
      </c>
      <c r="AK903" t="str">
        <f>T("394")</f>
        <v>394</v>
      </c>
    </row>
    <row r="904" spans="1:37" x14ac:dyDescent="0.3">
      <c r="A904" t="s">
        <v>2852</v>
      </c>
      <c r="B904" t="s">
        <v>2853</v>
      </c>
      <c r="C904" t="s">
        <v>2854</v>
      </c>
      <c r="D904" t="s">
        <v>7</v>
      </c>
      <c r="AG904" t="str">
        <f>T("3661")</f>
        <v>3661</v>
      </c>
      <c r="AH904" t="str">
        <f>T("13")</f>
        <v>13</v>
      </c>
      <c r="AI904" t="str">
        <f>T("25")</f>
        <v>25</v>
      </c>
      <c r="AK904" t="str">
        <f>T("1235")</f>
        <v>1235</v>
      </c>
    </row>
    <row r="905" spans="1:37" x14ac:dyDescent="0.3">
      <c r="A905" t="s">
        <v>2855</v>
      </c>
      <c r="B905" t="s">
        <v>2856</v>
      </c>
      <c r="C905" t="s">
        <v>2857</v>
      </c>
      <c r="D905" t="s">
        <v>7</v>
      </c>
      <c r="AG905" t="str">
        <f>T("3338")</f>
        <v>3338</v>
      </c>
      <c r="AH905" t="str">
        <f>T("6")</f>
        <v>6</v>
      </c>
      <c r="AK905" t="str">
        <f>T("1566")</f>
        <v>1566</v>
      </c>
    </row>
    <row r="906" spans="1:37" x14ac:dyDescent="0.3">
      <c r="A906" t="s">
        <v>2858</v>
      </c>
      <c r="B906" t="s">
        <v>2859</v>
      </c>
      <c r="C906" t="s">
        <v>2860</v>
      </c>
      <c r="D906" t="s">
        <v>7</v>
      </c>
      <c r="AG906" t="str">
        <f>T("4032")</f>
        <v>4032</v>
      </c>
      <c r="AH906" t="str">
        <f>T("21")</f>
        <v>21</v>
      </c>
      <c r="AK906" t="str">
        <f>T("1161")</f>
        <v>1161</v>
      </c>
    </row>
    <row r="907" spans="1:37" x14ac:dyDescent="0.3">
      <c r="A907" t="s">
        <v>2861</v>
      </c>
      <c r="B907" t="s">
        <v>2862</v>
      </c>
      <c r="C907" t="s">
        <v>2863</v>
      </c>
      <c r="D907" t="s">
        <v>7</v>
      </c>
      <c r="AG907" t="str">
        <f>T("3776")</f>
        <v>3776</v>
      </c>
      <c r="AH907" t="str">
        <f>T("16")</f>
        <v>16</v>
      </c>
      <c r="AK907" t="str">
        <f>T("1407")</f>
        <v>1407</v>
      </c>
    </row>
    <row r="908" spans="1:37" x14ac:dyDescent="0.3">
      <c r="A908" t="s">
        <v>2864</v>
      </c>
      <c r="B908" t="s">
        <v>2865</v>
      </c>
      <c r="C908" t="s">
        <v>2866</v>
      </c>
      <c r="D908" t="s">
        <v>7</v>
      </c>
      <c r="AG908" t="str">
        <f>T("4312")</f>
        <v>4312</v>
      </c>
      <c r="AH908" t="str">
        <f>T("23")</f>
        <v>23</v>
      </c>
      <c r="AK908" t="str">
        <f>T("1902")</f>
        <v>1902</v>
      </c>
    </row>
    <row r="909" spans="1:37" x14ac:dyDescent="0.3">
      <c r="A909" t="s">
        <v>2867</v>
      </c>
      <c r="B909" t="s">
        <v>2868</v>
      </c>
      <c r="C909" t="s">
        <v>2869</v>
      </c>
      <c r="D909" t="s">
        <v>7</v>
      </c>
      <c r="AG909" t="str">
        <f>T("3266")</f>
        <v>3266</v>
      </c>
      <c r="AH909" t="str">
        <f>T("5")</f>
        <v>5</v>
      </c>
      <c r="AK909" t="str">
        <f>T("498")</f>
        <v>498</v>
      </c>
    </row>
    <row r="910" spans="1:37" x14ac:dyDescent="0.3">
      <c r="A910" t="s">
        <v>2870</v>
      </c>
      <c r="B910" t="s">
        <v>2871</v>
      </c>
      <c r="C910" t="s">
        <v>2872</v>
      </c>
      <c r="D910" t="s">
        <v>7</v>
      </c>
      <c r="AG910" t="str">
        <f>T("4018")</f>
        <v>4018</v>
      </c>
      <c r="AH910" t="str">
        <f>T("20")</f>
        <v>20</v>
      </c>
      <c r="AK910" t="str">
        <f>T("1049")</f>
        <v>1049</v>
      </c>
    </row>
    <row r="911" spans="1:37" x14ac:dyDescent="0.3">
      <c r="A911" t="s">
        <v>2873</v>
      </c>
      <c r="B911" t="s">
        <v>2874</v>
      </c>
      <c r="C911" t="s">
        <v>2875</v>
      </c>
      <c r="D911" t="s">
        <v>7</v>
      </c>
      <c r="AG911" t="str">
        <f>T("4017")</f>
        <v>4017</v>
      </c>
      <c r="AH911" t="str">
        <f>T("20")</f>
        <v>20</v>
      </c>
      <c r="AK911" t="str">
        <f>T("1048")</f>
        <v>1048</v>
      </c>
    </row>
    <row r="912" spans="1:37" x14ac:dyDescent="0.3">
      <c r="A912" t="s">
        <v>2876</v>
      </c>
      <c r="B912" t="s">
        <v>2877</v>
      </c>
      <c r="C912" t="s">
        <v>2878</v>
      </c>
      <c r="D912" t="s">
        <v>7</v>
      </c>
      <c r="AG912" t="str">
        <f>T("4033")</f>
        <v>4033</v>
      </c>
      <c r="AH912" t="str">
        <f>T("21")</f>
        <v>21</v>
      </c>
      <c r="AK912" t="str">
        <f>T("1716")</f>
        <v>1716</v>
      </c>
    </row>
    <row r="913" spans="1:37" x14ac:dyDescent="0.3">
      <c r="A913" t="s">
        <v>2879</v>
      </c>
      <c r="B913" t="s">
        <v>2880</v>
      </c>
      <c r="C913" t="s">
        <v>2881</v>
      </c>
      <c r="D913" t="s">
        <v>7</v>
      </c>
      <c r="AG913" t="str">
        <f>T("4033")</f>
        <v>4033</v>
      </c>
      <c r="AH913" t="str">
        <f>T("21")</f>
        <v>21</v>
      </c>
      <c r="AK913" t="str">
        <f>T("1716")</f>
        <v>1716</v>
      </c>
    </row>
    <row r="914" spans="1:37" x14ac:dyDescent="0.3">
      <c r="A914" t="s">
        <v>2882</v>
      </c>
      <c r="B914" t="s">
        <v>2883</v>
      </c>
      <c r="C914" t="s">
        <v>2884</v>
      </c>
      <c r="D914" t="s">
        <v>7</v>
      </c>
      <c r="AG914" t="str">
        <f>T("3662")</f>
        <v>3662</v>
      </c>
      <c r="AH914" t="str">
        <f>T("13")</f>
        <v>13</v>
      </c>
      <c r="AK914" t="str">
        <f>T("729")</f>
        <v>729</v>
      </c>
    </row>
    <row r="915" spans="1:37" x14ac:dyDescent="0.3">
      <c r="A915" t="s">
        <v>2885</v>
      </c>
      <c r="B915" t="s">
        <v>2886</v>
      </c>
      <c r="C915" t="s">
        <v>2887</v>
      </c>
      <c r="D915" t="s">
        <v>7</v>
      </c>
      <c r="AG915" t="str">
        <f>T("3798")</f>
        <v>3798</v>
      </c>
      <c r="AH915" t="str">
        <f>T("17")</f>
        <v>17</v>
      </c>
      <c r="AK915" t="str">
        <f>T("908")</f>
        <v>908</v>
      </c>
    </row>
    <row r="916" spans="1:37" x14ac:dyDescent="0.3">
      <c r="A916" t="s">
        <v>2888</v>
      </c>
      <c r="B916" t="s">
        <v>2889</v>
      </c>
      <c r="C916" t="s">
        <v>2890</v>
      </c>
      <c r="D916" t="s">
        <v>7</v>
      </c>
      <c r="AG916" t="str">
        <f>T("4430")</f>
        <v>4430</v>
      </c>
      <c r="AH916" t="str">
        <f>T("24")</f>
        <v>24</v>
      </c>
    </row>
    <row r="917" spans="1:37" x14ac:dyDescent="0.3">
      <c r="A917" t="s">
        <v>2891</v>
      </c>
      <c r="B917" t="s">
        <v>2892</v>
      </c>
      <c r="C917" t="s">
        <v>2893</v>
      </c>
      <c r="D917" t="s">
        <v>7</v>
      </c>
      <c r="AG917" t="str">
        <f>T("3826")</f>
        <v>3826</v>
      </c>
      <c r="AH917" t="str">
        <f>T("18")</f>
        <v>18</v>
      </c>
      <c r="AK917" t="str">
        <f>T("550")</f>
        <v>550</v>
      </c>
    </row>
    <row r="918" spans="1:37" x14ac:dyDescent="0.3">
      <c r="A918" t="s">
        <v>2894</v>
      </c>
      <c r="B918" t="s">
        <v>2895</v>
      </c>
      <c r="C918" t="s">
        <v>2896</v>
      </c>
      <c r="D918" t="s">
        <v>7</v>
      </c>
      <c r="AG918" t="str">
        <f>T("4313")</f>
        <v>4313</v>
      </c>
      <c r="AH918" t="str">
        <f>T("23")</f>
        <v>23</v>
      </c>
      <c r="AI918" t="str">
        <f>T("26")</f>
        <v>26</v>
      </c>
      <c r="AK918" t="str">
        <f>T("2024")</f>
        <v>2024</v>
      </c>
    </row>
    <row r="919" spans="1:37" x14ac:dyDescent="0.3">
      <c r="A919" t="s">
        <v>2897</v>
      </c>
      <c r="B919" t="s">
        <v>2898</v>
      </c>
      <c r="C919" t="s">
        <v>2899</v>
      </c>
      <c r="D919" t="s">
        <v>7</v>
      </c>
      <c r="AG919" t="str">
        <f>T("4708")</f>
        <v>4708</v>
      </c>
      <c r="AH919" t="str">
        <f>T("25")</f>
        <v>25</v>
      </c>
      <c r="AK919" t="str">
        <f>T("2170")</f>
        <v>2170</v>
      </c>
    </row>
    <row r="920" spans="1:37" x14ac:dyDescent="0.3">
      <c r="A920" t="s">
        <v>2900</v>
      </c>
      <c r="B920" t="s">
        <v>2901</v>
      </c>
      <c r="C920" t="s">
        <v>2902</v>
      </c>
      <c r="D920" t="s">
        <v>7</v>
      </c>
      <c r="AG920" t="str">
        <f>T("4575")</f>
        <v>4575</v>
      </c>
      <c r="AH920" t="str">
        <f>T("24")</f>
        <v>24</v>
      </c>
      <c r="AK920" t="str">
        <f>T("1930")</f>
        <v>1930</v>
      </c>
    </row>
    <row r="921" spans="1:37" x14ac:dyDescent="0.3">
      <c r="A921" t="s">
        <v>2903</v>
      </c>
      <c r="B921" t="s">
        <v>2904</v>
      </c>
      <c r="C921" t="s">
        <v>2905</v>
      </c>
      <c r="D921" t="s">
        <v>7</v>
      </c>
      <c r="AG921" t="str">
        <f>T("4580")</f>
        <v>4580</v>
      </c>
      <c r="AH921" t="str">
        <f>T("24")</f>
        <v>24</v>
      </c>
      <c r="AK921" t="str">
        <f>T("1934")</f>
        <v>1934</v>
      </c>
    </row>
    <row r="922" spans="1:37" x14ac:dyDescent="0.3">
      <c r="A922" t="s">
        <v>2906</v>
      </c>
      <c r="B922" t="s">
        <v>2907</v>
      </c>
      <c r="C922" t="s">
        <v>2908</v>
      </c>
      <c r="D922" t="s">
        <v>7</v>
      </c>
      <c r="K922" t="str">
        <f>T("175.105")</f>
        <v>175.105</v>
      </c>
      <c r="L922" t="str">
        <f>T("175.300")</f>
        <v>175.300</v>
      </c>
      <c r="M922" t="str">
        <f>T("181.27")</f>
        <v>181.27</v>
      </c>
      <c r="AG922" t="str">
        <f>T("4475")</f>
        <v>4475</v>
      </c>
      <c r="AH922" t="str">
        <f>T("24")</f>
        <v>24</v>
      </c>
      <c r="AK922" t="str">
        <f>T("1967")</f>
        <v>1967</v>
      </c>
    </row>
    <row r="923" spans="1:37" x14ac:dyDescent="0.3">
      <c r="A923" t="s">
        <v>2909</v>
      </c>
      <c r="B923" t="s">
        <v>2910</v>
      </c>
      <c r="C923" t="s">
        <v>2911</v>
      </c>
      <c r="D923" t="s">
        <v>7</v>
      </c>
      <c r="K923" t="str">
        <f>T("175.105")</f>
        <v>175.105</v>
      </c>
      <c r="AG923" t="str">
        <f>T("3537")</f>
        <v>3537</v>
      </c>
      <c r="AH923" t="str">
        <f>T("11")</f>
        <v>11</v>
      </c>
      <c r="AK923" t="str">
        <f>T("302")</f>
        <v>302</v>
      </c>
    </row>
    <row r="924" spans="1:37" x14ac:dyDescent="0.3">
      <c r="A924" t="s">
        <v>2912</v>
      </c>
      <c r="B924" t="s">
        <v>2913</v>
      </c>
      <c r="C924" t="s">
        <v>2914</v>
      </c>
      <c r="D924" t="s">
        <v>7</v>
      </c>
      <c r="AG924" t="str">
        <f>T("4096")</f>
        <v>4096</v>
      </c>
      <c r="AH924" t="str">
        <f>T("22")</f>
        <v>22</v>
      </c>
      <c r="AK924" t="str">
        <f>T("1672")</f>
        <v>1672</v>
      </c>
    </row>
    <row r="925" spans="1:37" x14ac:dyDescent="0.3">
      <c r="A925" t="s">
        <v>2915</v>
      </c>
      <c r="B925" t="s">
        <v>2916</v>
      </c>
      <c r="C925" t="s">
        <v>2917</v>
      </c>
      <c r="D925" t="s">
        <v>7</v>
      </c>
      <c r="AG925" t="str">
        <f>T("4474")</f>
        <v>4474</v>
      </c>
      <c r="AH925" t="str">
        <f>T("24")</f>
        <v>24</v>
      </c>
      <c r="AK925" t="str">
        <f>T("1966")</f>
        <v>1966</v>
      </c>
    </row>
    <row r="926" spans="1:37" x14ac:dyDescent="0.3">
      <c r="A926" t="s">
        <v>2918</v>
      </c>
      <c r="B926" t="s">
        <v>2919</v>
      </c>
      <c r="C926" t="s">
        <v>2920</v>
      </c>
      <c r="D926" t="s">
        <v>7</v>
      </c>
      <c r="AG926" t="str">
        <f>T("3827")</f>
        <v>3827</v>
      </c>
      <c r="AH926" t="str">
        <f>T("18")</f>
        <v>18</v>
      </c>
      <c r="AK926" t="str">
        <f>T("567")</f>
        <v>567</v>
      </c>
    </row>
    <row r="927" spans="1:37" x14ac:dyDescent="0.3">
      <c r="A927" t="s">
        <v>2921</v>
      </c>
      <c r="B927" t="s">
        <v>2922</v>
      </c>
      <c r="C927" t="s">
        <v>2923</v>
      </c>
      <c r="D927" t="s">
        <v>7</v>
      </c>
      <c r="AG927" t="str">
        <f>T("3968")</f>
        <v>3968</v>
      </c>
      <c r="AH927" t="str">
        <f>T("20")</f>
        <v>20</v>
      </c>
      <c r="AK927" t="str">
        <f>T("1300")</f>
        <v>1300</v>
      </c>
    </row>
    <row r="928" spans="1:37" x14ac:dyDescent="0.3">
      <c r="A928" t="s">
        <v>2924</v>
      </c>
      <c r="B928" t="s">
        <v>2925</v>
      </c>
      <c r="C928" t="s">
        <v>2926</v>
      </c>
      <c r="K928" t="str">
        <f>T("175.300")</f>
        <v>175.300</v>
      </c>
      <c r="L928" t="str">
        <f>T("177.1010")</f>
        <v>177.1010</v>
      </c>
      <c r="M928" t="str">
        <f>T("181.24")</f>
        <v>181.24</v>
      </c>
      <c r="N928" t="str">
        <f>T("182.3280")</f>
        <v>182.3280</v>
      </c>
    </row>
    <row r="929" spans="1:37" x14ac:dyDescent="0.3">
      <c r="A929" t="s">
        <v>2927</v>
      </c>
      <c r="B929" t="s">
        <v>2928</v>
      </c>
      <c r="C929" t="s">
        <v>2929</v>
      </c>
      <c r="D929" t="s">
        <v>7</v>
      </c>
      <c r="K929" t="str">
        <f>T("184.1282")</f>
        <v>184.1282</v>
      </c>
      <c r="AG929" t="str">
        <f>T("2382")</f>
        <v>2382</v>
      </c>
      <c r="AH929" t="str">
        <f>T("3")</f>
        <v>3</v>
      </c>
    </row>
    <row r="930" spans="1:37" x14ac:dyDescent="0.3">
      <c r="A930" t="s">
        <v>2930</v>
      </c>
      <c r="B930" t="s">
        <v>2931</v>
      </c>
      <c r="C930" t="s">
        <v>2932</v>
      </c>
      <c r="D930" t="s">
        <v>7</v>
      </c>
      <c r="K930" t="str">
        <f>T("184.1282")</f>
        <v>184.1282</v>
      </c>
      <c r="AG930" t="str">
        <f>T("2383")</f>
        <v>2383</v>
      </c>
      <c r="AH930" t="str">
        <f>T("3")</f>
        <v>3</v>
      </c>
    </row>
    <row r="931" spans="1:37" x14ac:dyDescent="0.3">
      <c r="A931" t="s">
        <v>2933</v>
      </c>
      <c r="B931" t="s">
        <v>2934</v>
      </c>
      <c r="C931" t="s">
        <v>2935</v>
      </c>
      <c r="D931" t="s">
        <v>7</v>
      </c>
      <c r="K931" t="str">
        <f>T("172.510")</f>
        <v>172.510</v>
      </c>
      <c r="L931" t="str">
        <f>T("184.1282")</f>
        <v>184.1282</v>
      </c>
      <c r="AF931" t="str">
        <f>T("101.22")</f>
        <v>101.22</v>
      </c>
      <c r="AG931" t="str">
        <f>T("2384")</f>
        <v>2384</v>
      </c>
      <c r="AH931" t="str">
        <f>T("3")</f>
        <v>3</v>
      </c>
    </row>
    <row r="932" spans="1:37" x14ac:dyDescent="0.3">
      <c r="A932" t="s">
        <v>2936</v>
      </c>
      <c r="B932" t="s">
        <v>2937</v>
      </c>
      <c r="C932" t="s">
        <v>2938</v>
      </c>
      <c r="D932" t="s">
        <v>7</v>
      </c>
      <c r="K932" t="str">
        <f>T("172.510")</f>
        <v>172.510</v>
      </c>
    </row>
    <row r="933" spans="1:37" x14ac:dyDescent="0.3">
      <c r="A933" t="s">
        <v>2939</v>
      </c>
      <c r="B933" t="s">
        <v>2940</v>
      </c>
      <c r="C933" t="s">
        <v>2941</v>
      </c>
      <c r="D933" t="s">
        <v>7</v>
      </c>
      <c r="AG933" t="str">
        <f>T("4604")</f>
        <v>4604</v>
      </c>
      <c r="AH933" t="str">
        <f>T("24")</f>
        <v>24</v>
      </c>
    </row>
    <row r="934" spans="1:37" x14ac:dyDescent="0.3">
      <c r="A934" t="s">
        <v>2942</v>
      </c>
      <c r="B934" t="s">
        <v>2943</v>
      </c>
      <c r="C934" t="s">
        <v>2944</v>
      </c>
      <c r="D934" t="s">
        <v>7</v>
      </c>
      <c r="AG934" t="str">
        <f>T("4097")</f>
        <v>4097</v>
      </c>
      <c r="AH934" t="str">
        <f>T("22")</f>
        <v>22</v>
      </c>
      <c r="AK934" t="str">
        <f>T("1661")</f>
        <v>1661</v>
      </c>
    </row>
    <row r="935" spans="1:37" x14ac:dyDescent="0.3">
      <c r="A935" t="s">
        <v>2945</v>
      </c>
      <c r="B935" t="s">
        <v>2946</v>
      </c>
      <c r="C935" t="s">
        <v>2947</v>
      </c>
      <c r="D935" t="s">
        <v>7</v>
      </c>
      <c r="AG935" t="str">
        <f>T("3799")</f>
        <v>3799</v>
      </c>
      <c r="AH935" t="str">
        <f>T("17")</f>
        <v>17</v>
      </c>
      <c r="AK935" t="str">
        <f>T("1248")</f>
        <v>1248</v>
      </c>
    </row>
    <row r="936" spans="1:37" x14ac:dyDescent="0.3">
      <c r="A936" t="s">
        <v>2948</v>
      </c>
      <c r="B936" t="s">
        <v>2949</v>
      </c>
      <c r="C936" t="s">
        <v>2950</v>
      </c>
      <c r="D936" t="s">
        <v>7</v>
      </c>
      <c r="K936" t="str">
        <f>T("172.515")</f>
        <v>172.515</v>
      </c>
      <c r="AG936" t="str">
        <f>T("2385")</f>
        <v>2385</v>
      </c>
      <c r="AH936" t="str">
        <f>T("3")</f>
        <v>3</v>
      </c>
      <c r="AK936" t="str">
        <f>T("1249")</f>
        <v>1249</v>
      </c>
    </row>
    <row r="937" spans="1:37" x14ac:dyDescent="0.3">
      <c r="A937" t="s">
        <v>2951</v>
      </c>
      <c r="B937" t="s">
        <v>2952</v>
      </c>
      <c r="C937" t="s">
        <v>2953</v>
      </c>
      <c r="D937" t="s">
        <v>7</v>
      </c>
      <c r="K937" t="str">
        <f>T("172.515")</f>
        <v>172.515</v>
      </c>
      <c r="AG937" t="str">
        <f>T("2386")</f>
        <v>2386</v>
      </c>
      <c r="AH937" t="str">
        <f>T("3")</f>
        <v>3</v>
      </c>
      <c r="AK937" t="str">
        <f>T("1250")</f>
        <v>1250</v>
      </c>
    </row>
    <row r="938" spans="1:37" x14ac:dyDescent="0.3">
      <c r="A938" t="s">
        <v>2954</v>
      </c>
      <c r="B938" t="s">
        <v>2955</v>
      </c>
      <c r="C938" t="s">
        <v>2956</v>
      </c>
      <c r="D938" t="s">
        <v>7</v>
      </c>
      <c r="AG938" t="str">
        <f>T("4233")</f>
        <v>4233</v>
      </c>
      <c r="AH938" t="str">
        <f>T("22")</f>
        <v>22</v>
      </c>
      <c r="AI938" t="str">
        <f>T("25")</f>
        <v>25</v>
      </c>
      <c r="AK938" t="str">
        <f>T("1768")</f>
        <v>1768</v>
      </c>
    </row>
    <row r="939" spans="1:37" x14ac:dyDescent="0.3">
      <c r="A939" t="s">
        <v>2957</v>
      </c>
      <c r="B939" t="s">
        <v>2958</v>
      </c>
      <c r="C939" t="s">
        <v>2959</v>
      </c>
      <c r="D939" t="s">
        <v>7</v>
      </c>
      <c r="AG939" t="str">
        <f>T("3426")</f>
        <v>3426</v>
      </c>
      <c r="AH939" t="str">
        <f>T("8")</f>
        <v>8</v>
      </c>
      <c r="AK939" t="str">
        <f>T("940")</f>
        <v>940</v>
      </c>
    </row>
    <row r="940" spans="1:37" x14ac:dyDescent="0.3">
      <c r="A940" t="s">
        <v>2960</v>
      </c>
      <c r="B940" t="s">
        <v>2961</v>
      </c>
      <c r="C940" t="s">
        <v>2962</v>
      </c>
      <c r="D940" t="s">
        <v>7</v>
      </c>
      <c r="AG940" t="str">
        <f>T("4098")</f>
        <v>4098</v>
      </c>
      <c r="AH940" t="str">
        <f>T("22")</f>
        <v>22</v>
      </c>
      <c r="AK940" t="str">
        <f>T("1728")</f>
        <v>1728</v>
      </c>
    </row>
    <row r="941" spans="1:37" x14ac:dyDescent="0.3">
      <c r="A941" t="s">
        <v>2963</v>
      </c>
      <c r="B941" t="s">
        <v>2964</v>
      </c>
      <c r="C941" t="s">
        <v>2965</v>
      </c>
      <c r="D941" t="s">
        <v>7</v>
      </c>
      <c r="AG941" t="str">
        <f>T("3137")</f>
        <v>3137</v>
      </c>
      <c r="AH941" t="str">
        <f>T("4")</f>
        <v>4</v>
      </c>
      <c r="AK941" t="str">
        <f>T("721")</f>
        <v>721</v>
      </c>
    </row>
    <row r="942" spans="1:37" x14ac:dyDescent="0.3">
      <c r="A942" t="s">
        <v>2966</v>
      </c>
      <c r="B942" t="s">
        <v>2967</v>
      </c>
      <c r="C942" t="s">
        <v>2968</v>
      </c>
      <c r="D942" t="s">
        <v>7</v>
      </c>
      <c r="AG942" t="str">
        <f>T("4310")</f>
        <v>4310</v>
      </c>
      <c r="AH942" t="str">
        <f>T("23")</f>
        <v>23</v>
      </c>
      <c r="AI942" t="str">
        <f>T("26")</f>
        <v>26</v>
      </c>
      <c r="AK942" t="str">
        <f>T("1777")</f>
        <v>1777</v>
      </c>
    </row>
    <row r="943" spans="1:37" x14ac:dyDescent="0.3">
      <c r="A943" t="s">
        <v>2969</v>
      </c>
      <c r="B943" t="s">
        <v>2970</v>
      </c>
      <c r="C943" t="s">
        <v>2971</v>
      </c>
      <c r="D943" t="s">
        <v>7</v>
      </c>
      <c r="AG943" t="str">
        <f>T("3138")</f>
        <v>3138</v>
      </c>
      <c r="AH943" t="str">
        <f>T("4")</f>
        <v>4</v>
      </c>
      <c r="AK943" t="str">
        <f>T("1251")</f>
        <v>1251</v>
      </c>
    </row>
    <row r="944" spans="1:37" x14ac:dyDescent="0.3">
      <c r="A944" t="s">
        <v>2972</v>
      </c>
      <c r="B944" t="s">
        <v>2973</v>
      </c>
      <c r="C944" t="s">
        <v>2974</v>
      </c>
      <c r="D944" t="s">
        <v>7</v>
      </c>
      <c r="AG944" t="str">
        <f>T("4315")</f>
        <v>4315</v>
      </c>
      <c r="AH944" t="str">
        <f>T("23")</f>
        <v>23</v>
      </c>
      <c r="AK944" t="str">
        <f>T("2133")</f>
        <v>2133</v>
      </c>
    </row>
    <row r="945" spans="1:37" x14ac:dyDescent="0.3">
      <c r="A945" t="s">
        <v>2975</v>
      </c>
      <c r="B945" t="s">
        <v>2976</v>
      </c>
      <c r="C945" t="s">
        <v>2977</v>
      </c>
      <c r="D945" t="s">
        <v>7</v>
      </c>
      <c r="K945" t="str">
        <f>T("172.515")</f>
        <v>172.515</v>
      </c>
      <c r="AG945" t="str">
        <f>T("2387")</f>
        <v>2387</v>
      </c>
      <c r="AH945" t="str">
        <f>T("3")</f>
        <v>3</v>
      </c>
      <c r="AK945" t="str">
        <f>T("809")</f>
        <v>809</v>
      </c>
    </row>
    <row r="946" spans="1:37" x14ac:dyDescent="0.3">
      <c r="A946" t="s">
        <v>2978</v>
      </c>
      <c r="B946" t="s">
        <v>2979</v>
      </c>
      <c r="C946" t="s">
        <v>2980</v>
      </c>
      <c r="D946" t="s">
        <v>7</v>
      </c>
      <c r="AG946" t="str">
        <f>T("3449")</f>
        <v>3449</v>
      </c>
      <c r="AH946" t="str">
        <f>T("9")</f>
        <v>9</v>
      </c>
      <c r="AK946" t="str">
        <f>T("402")</f>
        <v>402</v>
      </c>
    </row>
    <row r="947" spans="1:37" x14ac:dyDescent="0.3">
      <c r="A947" t="s">
        <v>2981</v>
      </c>
      <c r="B947" t="s">
        <v>2982</v>
      </c>
      <c r="C947" t="s">
        <v>2983</v>
      </c>
      <c r="D947" t="s">
        <v>7</v>
      </c>
      <c r="AG947" t="str">
        <f>T("3267")</f>
        <v>3267</v>
      </c>
      <c r="AH947" t="str">
        <f>T("5")</f>
        <v>5</v>
      </c>
      <c r="AK947" t="str">
        <f>T("1055")</f>
        <v>1055</v>
      </c>
    </row>
    <row r="948" spans="1:37" x14ac:dyDescent="0.3">
      <c r="A948" t="s">
        <v>2984</v>
      </c>
      <c r="B948" t="s">
        <v>2985</v>
      </c>
      <c r="C948" t="s">
        <v>2986</v>
      </c>
      <c r="D948" t="s">
        <v>7</v>
      </c>
      <c r="AG948" t="str">
        <f>T("4472")</f>
        <v>4472</v>
      </c>
      <c r="AH948" t="str">
        <f>T("24")</f>
        <v>24</v>
      </c>
      <c r="AK948" t="str">
        <f>T("1964")</f>
        <v>1964</v>
      </c>
    </row>
    <row r="949" spans="1:37" x14ac:dyDescent="0.3">
      <c r="A949" t="s">
        <v>2987</v>
      </c>
      <c r="B949" t="s">
        <v>2988</v>
      </c>
      <c r="C949" t="s">
        <v>2989</v>
      </c>
      <c r="K949" t="str">
        <f>T("173.20")</f>
        <v>173.20</v>
      </c>
      <c r="L949" t="str">
        <f>T("176.170")</f>
        <v>176.170</v>
      </c>
    </row>
    <row r="950" spans="1:37" x14ac:dyDescent="0.3">
      <c r="A950" t="s">
        <v>2990</v>
      </c>
      <c r="B950" t="s">
        <v>2991</v>
      </c>
      <c r="C950" t="s">
        <v>2992</v>
      </c>
      <c r="D950" t="s">
        <v>199</v>
      </c>
      <c r="K950" t="str">
        <f>T("173.60")</f>
        <v>173.60</v>
      </c>
      <c r="L950" t="str">
        <f>T("176.170")</f>
        <v>176.170</v>
      </c>
    </row>
    <row r="951" spans="1:37" x14ac:dyDescent="0.3">
      <c r="A951" t="s">
        <v>2993</v>
      </c>
      <c r="B951" t="s">
        <v>2994</v>
      </c>
      <c r="C951" t="s">
        <v>2995</v>
      </c>
      <c r="D951" t="s">
        <v>7</v>
      </c>
      <c r="AG951" t="str">
        <f>T("3828")</f>
        <v>3828</v>
      </c>
      <c r="AH951" t="str">
        <f>T("18")</f>
        <v>18</v>
      </c>
      <c r="AK951" t="str">
        <f>T("1245")</f>
        <v>1245</v>
      </c>
    </row>
    <row r="952" spans="1:37" x14ac:dyDescent="0.3">
      <c r="A952" t="s">
        <v>2996</v>
      </c>
      <c r="B952" t="s">
        <v>2997</v>
      </c>
      <c r="C952" t="s">
        <v>2998</v>
      </c>
      <c r="D952" t="s">
        <v>7</v>
      </c>
      <c r="AG952" t="str">
        <f>T("3427")</f>
        <v>3427</v>
      </c>
      <c r="AH952" t="str">
        <f>T("8")</f>
        <v>8</v>
      </c>
      <c r="AI952" t="str">
        <f>T("25")</f>
        <v>25</v>
      </c>
      <c r="AK952" t="str">
        <f>T("869")</f>
        <v>869</v>
      </c>
    </row>
    <row r="953" spans="1:37" x14ac:dyDescent="0.3">
      <c r="A953" t="s">
        <v>2999</v>
      </c>
      <c r="B953" t="s">
        <v>3000</v>
      </c>
      <c r="C953" t="s">
        <v>3001</v>
      </c>
      <c r="D953" t="s">
        <v>7</v>
      </c>
      <c r="AG953" t="str">
        <f>T("3535")</f>
        <v>3535</v>
      </c>
      <c r="AH953" t="str">
        <f>T("11")</f>
        <v>11</v>
      </c>
      <c r="AK953" t="str">
        <f>T("1495")</f>
        <v>1495</v>
      </c>
    </row>
    <row r="954" spans="1:37" x14ac:dyDescent="0.3">
      <c r="A954" t="s">
        <v>3002</v>
      </c>
      <c r="B954" t="s">
        <v>3003</v>
      </c>
      <c r="C954" t="s">
        <v>3004</v>
      </c>
      <c r="D954" t="s">
        <v>7</v>
      </c>
      <c r="AG954" t="str">
        <f>T("3139")</f>
        <v>3139</v>
      </c>
      <c r="AH954" t="str">
        <f>T("4")</f>
        <v>4</v>
      </c>
      <c r="AK954" t="str">
        <f>T("805")</f>
        <v>805</v>
      </c>
    </row>
    <row r="955" spans="1:37" x14ac:dyDescent="0.3">
      <c r="A955" t="s">
        <v>3005</v>
      </c>
      <c r="B955" t="s">
        <v>3006</v>
      </c>
      <c r="C955" t="s">
        <v>3007</v>
      </c>
      <c r="D955" t="s">
        <v>7</v>
      </c>
      <c r="AG955" t="str">
        <f>T("4403")</f>
        <v>4403</v>
      </c>
      <c r="AH955" t="str">
        <f>T("23")</f>
        <v>23</v>
      </c>
      <c r="AK955" t="str">
        <f>T("2025")</f>
        <v>2025</v>
      </c>
    </row>
    <row r="956" spans="1:37" x14ac:dyDescent="0.3">
      <c r="A956" t="s">
        <v>3008</v>
      </c>
      <c r="B956" t="s">
        <v>3009</v>
      </c>
      <c r="C956" t="s">
        <v>3010</v>
      </c>
      <c r="D956" t="s">
        <v>7</v>
      </c>
      <c r="AG956" t="str">
        <f>T("4404")</f>
        <v>4404</v>
      </c>
      <c r="AH956" t="str">
        <f>T("23")</f>
        <v>23</v>
      </c>
      <c r="AK956" t="str">
        <f>T("2026")</f>
        <v>2026</v>
      </c>
    </row>
    <row r="957" spans="1:37" x14ac:dyDescent="0.3">
      <c r="A957" t="s">
        <v>3011</v>
      </c>
      <c r="B957" t="s">
        <v>3012</v>
      </c>
      <c r="C957" t="s">
        <v>3013</v>
      </c>
      <c r="D957" t="s">
        <v>7</v>
      </c>
      <c r="K957" t="str">
        <f>T("172.515")</f>
        <v>172.515</v>
      </c>
      <c r="AG957" t="str">
        <f>T("2388")</f>
        <v>2388</v>
      </c>
      <c r="AH957" t="str">
        <f>T("3")</f>
        <v>3</v>
      </c>
      <c r="AI957" t="str">
        <f>T("25")</f>
        <v>25</v>
      </c>
      <c r="AK957" t="str">
        <f>T("1657")</f>
        <v>1657</v>
      </c>
    </row>
    <row r="958" spans="1:37" x14ac:dyDescent="0.3">
      <c r="A958" t="s">
        <v>3014</v>
      </c>
      <c r="B958" t="s">
        <v>3015</v>
      </c>
      <c r="C958" t="s">
        <v>3016</v>
      </c>
      <c r="D958" t="s">
        <v>7</v>
      </c>
      <c r="AG958" t="str">
        <f>T("3268")</f>
        <v>3268</v>
      </c>
      <c r="AH958" t="str">
        <f>T("5")</f>
        <v>5</v>
      </c>
      <c r="AI958" t="str">
        <f>T("25")</f>
        <v>25</v>
      </c>
      <c r="AK958" t="str">
        <f>T("420")</f>
        <v>420</v>
      </c>
    </row>
    <row r="959" spans="1:37" x14ac:dyDescent="0.3">
      <c r="A959" t="s">
        <v>3017</v>
      </c>
      <c r="B959" t="s">
        <v>3018</v>
      </c>
      <c r="C959" t="s">
        <v>3019</v>
      </c>
      <c r="D959" t="s">
        <v>7</v>
      </c>
      <c r="AG959" t="str">
        <f>T("3269")</f>
        <v>3269</v>
      </c>
      <c r="AH959" t="str">
        <f>T("5")</f>
        <v>5</v>
      </c>
      <c r="AK959" t="str">
        <f>T("421")</f>
        <v>421</v>
      </c>
    </row>
    <row r="960" spans="1:37" x14ac:dyDescent="0.3">
      <c r="A960" t="s">
        <v>3020</v>
      </c>
      <c r="B960" t="s">
        <v>3021</v>
      </c>
      <c r="C960" t="s">
        <v>3022</v>
      </c>
      <c r="D960" t="s">
        <v>7</v>
      </c>
      <c r="AG960" t="str">
        <f>T("4105")</f>
        <v>4105</v>
      </c>
      <c r="AH960" t="str">
        <f>T("22")</f>
        <v>22</v>
      </c>
      <c r="AK960" t="str">
        <f>T("1817")</f>
        <v>1817</v>
      </c>
    </row>
    <row r="961" spans="1:37" x14ac:dyDescent="0.3">
      <c r="A961" t="s">
        <v>3023</v>
      </c>
      <c r="B961" t="s">
        <v>3024</v>
      </c>
      <c r="C961" t="s">
        <v>3025</v>
      </c>
      <c r="D961" t="s">
        <v>3026</v>
      </c>
      <c r="K961" t="str">
        <f>T("173.400")</f>
        <v>173.400</v>
      </c>
    </row>
    <row r="962" spans="1:37" x14ac:dyDescent="0.3">
      <c r="A962" t="s">
        <v>3027</v>
      </c>
      <c r="B962" t="s">
        <v>3028</v>
      </c>
      <c r="C962" t="s">
        <v>3029</v>
      </c>
      <c r="D962" t="s">
        <v>184</v>
      </c>
      <c r="K962" t="str">
        <f>T("172.133")</f>
        <v>172.133</v>
      </c>
    </row>
    <row r="963" spans="1:37" x14ac:dyDescent="0.3">
      <c r="A963" t="s">
        <v>3030</v>
      </c>
      <c r="B963" t="s">
        <v>3031</v>
      </c>
      <c r="C963" t="s">
        <v>3032</v>
      </c>
      <c r="D963" t="s">
        <v>7</v>
      </c>
      <c r="AG963" t="str">
        <f>T("4702")</f>
        <v>4702</v>
      </c>
      <c r="AH963" t="str">
        <f>T("25")</f>
        <v>25</v>
      </c>
      <c r="AK963" t="str">
        <f>T("2128")</f>
        <v>2128</v>
      </c>
    </row>
    <row r="964" spans="1:37" x14ac:dyDescent="0.3">
      <c r="A964" t="s">
        <v>3033</v>
      </c>
      <c r="B964" t="s">
        <v>3034</v>
      </c>
      <c r="C964" t="s">
        <v>3035</v>
      </c>
      <c r="D964" t="s">
        <v>7</v>
      </c>
      <c r="AG964" t="str">
        <f>T("3450")</f>
        <v>3450</v>
      </c>
      <c r="AH964" t="str">
        <f>T("9")</f>
        <v>9</v>
      </c>
      <c r="AI964" t="str">
        <f>T("25")</f>
        <v>25</v>
      </c>
      <c r="AK964" t="str">
        <f>T("562")</f>
        <v>562</v>
      </c>
    </row>
    <row r="965" spans="1:37" x14ac:dyDescent="0.3">
      <c r="A965" t="s">
        <v>3036</v>
      </c>
      <c r="B965" t="s">
        <v>3037</v>
      </c>
      <c r="C965" t="s">
        <v>3038</v>
      </c>
      <c r="D965" t="s">
        <v>7</v>
      </c>
      <c r="AG965" t="str">
        <f>T("4099")</f>
        <v>4099</v>
      </c>
      <c r="AH965" t="str">
        <f>T("22")</f>
        <v>22</v>
      </c>
      <c r="AK965" t="str">
        <f>T("1711")</f>
        <v>1711</v>
      </c>
    </row>
    <row r="966" spans="1:37" x14ac:dyDescent="0.3">
      <c r="A966" t="s">
        <v>3039</v>
      </c>
      <c r="B966" t="s">
        <v>3040</v>
      </c>
      <c r="C966" t="s">
        <v>3041</v>
      </c>
      <c r="K966" t="str">
        <f>T("173.20")</f>
        <v>173.20</v>
      </c>
      <c r="L966" t="str">
        <f>T("175.105")</f>
        <v>175.105</v>
      </c>
      <c r="M966" t="str">
        <f>T("175.300")</f>
        <v>175.300</v>
      </c>
    </row>
    <row r="967" spans="1:37" x14ac:dyDescent="0.3">
      <c r="A967" t="s">
        <v>3042</v>
      </c>
      <c r="B967" t="s">
        <v>3043</v>
      </c>
      <c r="C967" t="s">
        <v>3044</v>
      </c>
      <c r="D967" t="s">
        <v>7</v>
      </c>
      <c r="AG967" t="str">
        <f>T("4104")</f>
        <v>4104</v>
      </c>
      <c r="AH967" t="str">
        <f>T("22")</f>
        <v>22</v>
      </c>
    </row>
    <row r="968" spans="1:37" x14ac:dyDescent="0.3">
      <c r="A968" t="s">
        <v>3045</v>
      </c>
      <c r="B968" t="s">
        <v>3046</v>
      </c>
      <c r="C968" t="s">
        <v>3047</v>
      </c>
      <c r="D968" t="s">
        <v>7</v>
      </c>
      <c r="AG968" t="str">
        <f>T("4395")</f>
        <v>4395</v>
      </c>
      <c r="AH968" t="str">
        <f>T("23")</f>
        <v>23</v>
      </c>
      <c r="AK968" t="str">
        <f>T("1554")</f>
        <v>1554</v>
      </c>
    </row>
    <row r="969" spans="1:37" x14ac:dyDescent="0.3">
      <c r="A969" t="s">
        <v>3048</v>
      </c>
      <c r="B969" t="s">
        <v>3049</v>
      </c>
      <c r="C969" t="s">
        <v>3050</v>
      </c>
      <c r="D969" t="s">
        <v>7</v>
      </c>
      <c r="K969" t="str">
        <f>T("175.300")</f>
        <v>175.300</v>
      </c>
      <c r="L969" t="str">
        <f>T("177.1580")</f>
        <v>177.1580</v>
      </c>
      <c r="M969" t="str">
        <f>T("177.1585")</f>
        <v>177.1585</v>
      </c>
      <c r="N969" t="str">
        <f>T("177.2410")</f>
        <v>177.2410</v>
      </c>
      <c r="AG969" t="str">
        <f>T("3918")</f>
        <v>3918</v>
      </c>
      <c r="AH969" t="str">
        <f>T("19")</f>
        <v>19</v>
      </c>
      <c r="AK969" t="str">
        <f>T("733")</f>
        <v>733</v>
      </c>
    </row>
    <row r="970" spans="1:37" x14ac:dyDescent="0.3">
      <c r="A970" t="s">
        <v>3051</v>
      </c>
      <c r="B970" t="s">
        <v>3052</v>
      </c>
      <c r="C970" t="s">
        <v>3053</v>
      </c>
      <c r="D970" t="s">
        <v>15</v>
      </c>
      <c r="AG970" t="str">
        <f>T("3620")</f>
        <v>3620</v>
      </c>
      <c r="AH970" t="str">
        <f>T("12")</f>
        <v>12</v>
      </c>
      <c r="AK970" t="str">
        <f>T("1058")</f>
        <v>1058</v>
      </c>
    </row>
    <row r="971" spans="1:37" x14ac:dyDescent="0.3">
      <c r="A971" t="s">
        <v>3054</v>
      </c>
      <c r="B971" t="s">
        <v>3055</v>
      </c>
      <c r="C971" t="s">
        <v>3056</v>
      </c>
      <c r="D971" t="s">
        <v>7</v>
      </c>
      <c r="AG971" t="str">
        <f>T("4106")</f>
        <v>4106</v>
      </c>
      <c r="AH971" t="str">
        <f>T("22")</f>
        <v>22</v>
      </c>
      <c r="AK971" t="str">
        <f>T("1488")</f>
        <v>1488</v>
      </c>
    </row>
    <row r="972" spans="1:37" x14ac:dyDescent="0.3">
      <c r="A972" t="s">
        <v>3057</v>
      </c>
      <c r="B972" t="s">
        <v>3058</v>
      </c>
      <c r="C972" t="s">
        <v>3059</v>
      </c>
      <c r="D972" t="s">
        <v>7</v>
      </c>
      <c r="AG972" t="str">
        <f>T("4101")</f>
        <v>4101</v>
      </c>
      <c r="AH972" t="str">
        <f>T("22")</f>
        <v>22</v>
      </c>
    </row>
    <row r="973" spans="1:37" x14ac:dyDescent="0.3">
      <c r="A973" t="s">
        <v>3060</v>
      </c>
      <c r="B973" t="s">
        <v>3061</v>
      </c>
      <c r="C973" t="s">
        <v>3062</v>
      </c>
      <c r="D973" t="s">
        <v>7</v>
      </c>
      <c r="AG973" t="str">
        <f>T("3451")</f>
        <v>3451</v>
      </c>
      <c r="AH973" t="str">
        <f>T("9")</f>
        <v>9</v>
      </c>
      <c r="AK973" t="str">
        <f>T("1063")</f>
        <v>1063</v>
      </c>
    </row>
    <row r="974" spans="1:37" x14ac:dyDescent="0.3">
      <c r="A974" t="s">
        <v>3063</v>
      </c>
      <c r="B974" t="s">
        <v>3064</v>
      </c>
      <c r="C974" t="s">
        <v>3065</v>
      </c>
      <c r="D974" t="s">
        <v>7</v>
      </c>
      <c r="AG974" t="str">
        <f>T("4034")</f>
        <v>4034</v>
      </c>
      <c r="AH974" t="str">
        <f>T("21")</f>
        <v>21</v>
      </c>
      <c r="AK974" t="str">
        <f>T("1523")</f>
        <v>1523</v>
      </c>
    </row>
    <row r="975" spans="1:37" x14ac:dyDescent="0.3">
      <c r="A975" t="s">
        <v>3066</v>
      </c>
      <c r="B975" t="s">
        <v>3067</v>
      </c>
      <c r="C975" t="s">
        <v>3068</v>
      </c>
      <c r="D975" t="s">
        <v>7</v>
      </c>
      <c r="AG975" t="str">
        <f>T("3140")</f>
        <v>3140</v>
      </c>
      <c r="AH975" t="str">
        <f>T("4")</f>
        <v>4</v>
      </c>
      <c r="AK975" t="str">
        <f>T("303")</f>
        <v>303</v>
      </c>
    </row>
    <row r="976" spans="1:37" x14ac:dyDescent="0.3">
      <c r="A976" t="s">
        <v>3069</v>
      </c>
      <c r="B976" t="s">
        <v>3070</v>
      </c>
      <c r="C976" t="s">
        <v>3071</v>
      </c>
      <c r="D976" t="s">
        <v>7</v>
      </c>
      <c r="AG976" t="str">
        <f>T("3538")</f>
        <v>3538</v>
      </c>
      <c r="AH976" t="str">
        <f>T("11")</f>
        <v>11</v>
      </c>
      <c r="AI976" t="str">
        <f>T("25")</f>
        <v>25</v>
      </c>
      <c r="AK976" t="str">
        <f>T("1086")</f>
        <v>1086</v>
      </c>
    </row>
    <row r="977" spans="1:37" x14ac:dyDescent="0.3">
      <c r="A977" t="s">
        <v>3072</v>
      </c>
      <c r="B977" t="s">
        <v>3073</v>
      </c>
      <c r="C977" t="s">
        <v>3074</v>
      </c>
      <c r="D977" t="s">
        <v>7</v>
      </c>
      <c r="K977" t="str">
        <f>T("172.515")</f>
        <v>172.515</v>
      </c>
      <c r="AG977" t="str">
        <f>T("2389")</f>
        <v>2389</v>
      </c>
      <c r="AH977" t="str">
        <f>T("3")</f>
        <v>3</v>
      </c>
      <c r="AI977" t="str">
        <f>T("25")</f>
        <v>25</v>
      </c>
      <c r="AK977" t="str">
        <f>T("349")</f>
        <v>349</v>
      </c>
    </row>
    <row r="978" spans="1:37" x14ac:dyDescent="0.3">
      <c r="A978" t="s">
        <v>3075</v>
      </c>
      <c r="B978" t="s">
        <v>3076</v>
      </c>
      <c r="C978" t="s">
        <v>3077</v>
      </c>
      <c r="D978" t="s">
        <v>7</v>
      </c>
      <c r="AG978" t="str">
        <f>T("4382")</f>
        <v>4382</v>
      </c>
      <c r="AH978" t="str">
        <f>T("23")</f>
        <v>23</v>
      </c>
      <c r="AK978" t="str">
        <f>T("1740")</f>
        <v>1740</v>
      </c>
    </row>
    <row r="979" spans="1:37" x14ac:dyDescent="0.3">
      <c r="A979" t="s">
        <v>3078</v>
      </c>
      <c r="B979" t="s">
        <v>3079</v>
      </c>
      <c r="C979" t="s">
        <v>3080</v>
      </c>
      <c r="D979" t="s">
        <v>7</v>
      </c>
      <c r="AG979" t="str">
        <f>T("3663")</f>
        <v>3663</v>
      </c>
      <c r="AH979" t="str">
        <f>T("13")</f>
        <v>13</v>
      </c>
      <c r="AK979" t="str">
        <f>T("348")</f>
        <v>348</v>
      </c>
    </row>
    <row r="980" spans="1:37" x14ac:dyDescent="0.3">
      <c r="A980" t="s">
        <v>3081</v>
      </c>
      <c r="B980" t="s">
        <v>3082</v>
      </c>
      <c r="C980" t="s">
        <v>3083</v>
      </c>
      <c r="D980" t="s">
        <v>7</v>
      </c>
      <c r="AG980" t="str">
        <f>T("3634")</f>
        <v>3634</v>
      </c>
      <c r="AH980" t="str">
        <f>T("12")</f>
        <v>12</v>
      </c>
      <c r="AI980" t="str">
        <f>T("25")</f>
        <v>25</v>
      </c>
      <c r="AK980" t="str">
        <f>T("243")</f>
        <v>243</v>
      </c>
    </row>
    <row r="981" spans="1:37" x14ac:dyDescent="0.3">
      <c r="A981" t="s">
        <v>3084</v>
      </c>
      <c r="B981" t="s">
        <v>3085</v>
      </c>
      <c r="C981" t="s">
        <v>3086</v>
      </c>
      <c r="D981" t="s">
        <v>7</v>
      </c>
      <c r="AG981" t="str">
        <f>T("4100")</f>
        <v>4100</v>
      </c>
      <c r="AH981" t="str">
        <f>T("22")</f>
        <v>22</v>
      </c>
      <c r="AK981" t="str">
        <f>T("2130")</f>
        <v>2130</v>
      </c>
    </row>
    <row r="982" spans="1:37" x14ac:dyDescent="0.3">
      <c r="A982" t="s">
        <v>3087</v>
      </c>
      <c r="B982" t="s">
        <v>3088</v>
      </c>
      <c r="C982" t="s">
        <v>3089</v>
      </c>
      <c r="D982" t="s">
        <v>7</v>
      </c>
      <c r="AG982" t="str">
        <f>T("4100")</f>
        <v>4100</v>
      </c>
      <c r="AH982" t="str">
        <f>T("22")</f>
        <v>22</v>
      </c>
      <c r="AK982" t="str">
        <f>T("2130")</f>
        <v>2130</v>
      </c>
    </row>
    <row r="983" spans="1:37" x14ac:dyDescent="0.3">
      <c r="A983" t="s">
        <v>3090</v>
      </c>
      <c r="B983" t="s">
        <v>3091</v>
      </c>
      <c r="C983" t="s">
        <v>3092</v>
      </c>
      <c r="D983" t="s">
        <v>7</v>
      </c>
      <c r="AG983" t="str">
        <f>T("4647")</f>
        <v>4647</v>
      </c>
      <c r="AH983" t="str">
        <f>T("24")</f>
        <v>24</v>
      </c>
      <c r="AK983" t="str">
        <f>T("2109")</f>
        <v>2109</v>
      </c>
    </row>
    <row r="984" spans="1:37" x14ac:dyDescent="0.3">
      <c r="A984" t="s">
        <v>3093</v>
      </c>
      <c r="B984" t="s">
        <v>3094</v>
      </c>
      <c r="C984" t="s">
        <v>3095</v>
      </c>
      <c r="D984" t="s">
        <v>7</v>
      </c>
      <c r="AG984" t="str">
        <f>T("3621")</f>
        <v>3621</v>
      </c>
      <c r="AH984" t="str">
        <f>T("12")</f>
        <v>12</v>
      </c>
      <c r="AK984" t="str">
        <f>T("1045")</f>
        <v>1045</v>
      </c>
    </row>
    <row r="985" spans="1:37" x14ac:dyDescent="0.3">
      <c r="A985" t="s">
        <v>3096</v>
      </c>
      <c r="B985" t="s">
        <v>3097</v>
      </c>
      <c r="C985" t="s">
        <v>3098</v>
      </c>
      <c r="D985" t="s">
        <v>7</v>
      </c>
      <c r="AG985" t="str">
        <f>T("4726")</f>
        <v>4726</v>
      </c>
      <c r="AH985" t="str">
        <f>T("25")</f>
        <v>25</v>
      </c>
      <c r="AK985" t="str">
        <f>T("2162")</f>
        <v>2162</v>
      </c>
    </row>
    <row r="986" spans="1:37" x14ac:dyDescent="0.3">
      <c r="A986" t="s">
        <v>3099</v>
      </c>
      <c r="B986" t="s">
        <v>3100</v>
      </c>
      <c r="C986" t="s">
        <v>3101</v>
      </c>
      <c r="D986" t="s">
        <v>7</v>
      </c>
      <c r="AG986" t="str">
        <f>T("4725")</f>
        <v>4725</v>
      </c>
      <c r="AH986" t="str">
        <f>T("25")</f>
        <v>25</v>
      </c>
      <c r="AK986" t="str">
        <f>T("2161")</f>
        <v>2161</v>
      </c>
    </row>
    <row r="987" spans="1:37" x14ac:dyDescent="0.3">
      <c r="A987" t="s">
        <v>3102</v>
      </c>
      <c r="B987" t="s">
        <v>3103</v>
      </c>
      <c r="D987" t="s">
        <v>3104</v>
      </c>
      <c r="AG987" t="str">
        <f>T("4230")</f>
        <v>4230</v>
      </c>
      <c r="AH987" t="str">
        <f>T("22")</f>
        <v>22</v>
      </c>
      <c r="AK987" t="str">
        <f>T("1602")</f>
        <v>1602</v>
      </c>
    </row>
    <row r="988" spans="1:37" x14ac:dyDescent="0.3">
      <c r="A988" t="s">
        <v>3105</v>
      </c>
      <c r="B988" t="s">
        <v>3106</v>
      </c>
      <c r="C988" t="s">
        <v>3107</v>
      </c>
      <c r="D988" t="s">
        <v>7</v>
      </c>
      <c r="AG988" t="str">
        <f>T("3971")</f>
        <v>3971</v>
      </c>
      <c r="AH988" t="str">
        <f>T("20")</f>
        <v>20</v>
      </c>
      <c r="AK988" t="str">
        <f>T("1091")</f>
        <v>1091</v>
      </c>
    </row>
    <row r="989" spans="1:37" x14ac:dyDescent="0.3">
      <c r="A989" t="s">
        <v>3108</v>
      </c>
      <c r="B989" t="s">
        <v>3109</v>
      </c>
      <c r="C989" t="s">
        <v>3110</v>
      </c>
      <c r="D989" t="s">
        <v>7</v>
      </c>
      <c r="AG989" t="str">
        <f>T("3664")</f>
        <v>3664</v>
      </c>
      <c r="AH989" t="str">
        <f>T("13")</f>
        <v>13</v>
      </c>
      <c r="AK989" t="str">
        <f>T("1451")</f>
        <v>1451</v>
      </c>
    </row>
    <row r="990" spans="1:37" x14ac:dyDescent="0.3">
      <c r="A990" t="s">
        <v>3111</v>
      </c>
      <c r="B990" t="s">
        <v>3112</v>
      </c>
      <c r="C990" t="s">
        <v>3113</v>
      </c>
      <c r="D990" t="s">
        <v>7</v>
      </c>
      <c r="AG990" t="str">
        <f>T("3141")</f>
        <v>3141</v>
      </c>
      <c r="AH990" t="str">
        <f>T("4")</f>
        <v>4</v>
      </c>
      <c r="AK990" t="str">
        <f>T("1227")</f>
        <v>1227</v>
      </c>
    </row>
    <row r="991" spans="1:37" x14ac:dyDescent="0.3">
      <c r="A991" t="s">
        <v>3114</v>
      </c>
      <c r="B991" t="s">
        <v>3115</v>
      </c>
      <c r="C991" t="s">
        <v>3116</v>
      </c>
      <c r="D991" t="s">
        <v>7</v>
      </c>
      <c r="AG991" t="str">
        <f>T("4285")</f>
        <v>4285</v>
      </c>
      <c r="AH991" t="str">
        <f>T("23")</f>
        <v>23</v>
      </c>
      <c r="AK991" t="str">
        <f>T("1859")</f>
        <v>1859</v>
      </c>
    </row>
    <row r="992" spans="1:37" x14ac:dyDescent="0.3">
      <c r="A992" t="s">
        <v>3117</v>
      </c>
      <c r="B992" t="s">
        <v>3118</v>
      </c>
      <c r="C992" t="s">
        <v>3119</v>
      </c>
      <c r="D992" t="s">
        <v>7</v>
      </c>
      <c r="AG992" t="str">
        <f>T("3665")</f>
        <v>3665</v>
      </c>
      <c r="AH992" t="str">
        <f>T("13")</f>
        <v>13</v>
      </c>
      <c r="AI992" t="str">
        <f>T("25")</f>
        <v>25</v>
      </c>
      <c r="AK992" t="str">
        <f>T("1452")</f>
        <v>1452</v>
      </c>
    </row>
    <row r="993" spans="1:37" x14ac:dyDescent="0.3">
      <c r="A993" t="s">
        <v>3120</v>
      </c>
      <c r="B993" t="s">
        <v>3121</v>
      </c>
      <c r="C993" t="s">
        <v>3122</v>
      </c>
      <c r="D993" t="s">
        <v>7</v>
      </c>
      <c r="AG993" t="str">
        <f>T("4102")</f>
        <v>4102</v>
      </c>
      <c r="AH993" t="str">
        <f>T("22")</f>
        <v>22</v>
      </c>
      <c r="AK993" t="str">
        <f>T("1841")</f>
        <v>1841</v>
      </c>
    </row>
    <row r="994" spans="1:37" x14ac:dyDescent="0.3">
      <c r="A994" t="s">
        <v>3123</v>
      </c>
      <c r="B994" t="s">
        <v>3124</v>
      </c>
      <c r="C994" t="s">
        <v>3125</v>
      </c>
      <c r="D994" t="s">
        <v>7</v>
      </c>
      <c r="AG994" t="str">
        <f>T("3969")</f>
        <v>3969</v>
      </c>
      <c r="AH994" t="str">
        <f>T("20")</f>
        <v>20</v>
      </c>
      <c r="AK994" t="str">
        <f>T("1137")</f>
        <v>1137</v>
      </c>
    </row>
    <row r="995" spans="1:37" x14ac:dyDescent="0.3">
      <c r="A995" t="s">
        <v>3126</v>
      </c>
      <c r="B995" t="s">
        <v>3127</v>
      </c>
      <c r="C995" t="s">
        <v>3128</v>
      </c>
      <c r="D995" t="s">
        <v>7</v>
      </c>
      <c r="AG995" t="str">
        <f>T("3969")</f>
        <v>3969</v>
      </c>
      <c r="AH995" t="str">
        <f>T("20")</f>
        <v>20</v>
      </c>
      <c r="AK995" t="str">
        <f>T("1137")</f>
        <v>1137</v>
      </c>
    </row>
    <row r="996" spans="1:37" x14ac:dyDescent="0.3">
      <c r="A996" t="s">
        <v>3129</v>
      </c>
      <c r="B996" t="s">
        <v>3130</v>
      </c>
      <c r="C996" t="s">
        <v>3131</v>
      </c>
      <c r="D996" t="s">
        <v>7</v>
      </c>
      <c r="AG996" t="str">
        <f>T("3969")</f>
        <v>3969</v>
      </c>
      <c r="AH996" t="str">
        <f>T("20")</f>
        <v>20</v>
      </c>
      <c r="AK996" t="str">
        <f>T("1137")</f>
        <v>1137</v>
      </c>
    </row>
    <row r="997" spans="1:37" x14ac:dyDescent="0.3">
      <c r="A997" t="s">
        <v>3132</v>
      </c>
      <c r="B997" t="s">
        <v>3133</v>
      </c>
      <c r="C997" t="s">
        <v>3134</v>
      </c>
      <c r="D997" t="s">
        <v>7</v>
      </c>
      <c r="AG997" t="str">
        <f>T("4103")</f>
        <v>4103</v>
      </c>
      <c r="AH997" t="str">
        <f>T("22")</f>
        <v>22</v>
      </c>
      <c r="AK997" t="str">
        <f>T("1847")</f>
        <v>1847</v>
      </c>
    </row>
    <row r="998" spans="1:37" x14ac:dyDescent="0.3">
      <c r="A998" t="s">
        <v>3135</v>
      </c>
      <c r="B998" t="s">
        <v>3136</v>
      </c>
      <c r="C998" t="s">
        <v>3137</v>
      </c>
      <c r="D998" t="s">
        <v>7</v>
      </c>
      <c r="AG998" t="str">
        <f>T("4407")</f>
        <v>4407</v>
      </c>
      <c r="AH998" t="str">
        <f>T("23")</f>
        <v>23</v>
      </c>
      <c r="AK998" t="str">
        <f>T("1850")</f>
        <v>1850</v>
      </c>
    </row>
    <row r="999" spans="1:37" x14ac:dyDescent="0.3">
      <c r="A999" t="s">
        <v>3138</v>
      </c>
      <c r="B999" t="s">
        <v>3139</v>
      </c>
      <c r="C999" t="s">
        <v>3140</v>
      </c>
      <c r="D999" t="s">
        <v>7</v>
      </c>
      <c r="AG999" t="str">
        <f>T("3829")</f>
        <v>3829</v>
      </c>
      <c r="AH999" t="str">
        <f>T("18")</f>
        <v>18</v>
      </c>
      <c r="AK999" t="str">
        <f>T("1117")</f>
        <v>1117</v>
      </c>
    </row>
    <row r="1000" spans="1:37" x14ac:dyDescent="0.3">
      <c r="A1000" t="s">
        <v>3141</v>
      </c>
      <c r="B1000" t="s">
        <v>3142</v>
      </c>
      <c r="C1000" t="s">
        <v>3143</v>
      </c>
      <c r="D1000" t="s">
        <v>7</v>
      </c>
      <c r="AG1000" t="str">
        <f>T("4267")</f>
        <v>4267</v>
      </c>
      <c r="AH1000" t="str">
        <f>T("23")</f>
        <v>23</v>
      </c>
      <c r="AK1000" t="str">
        <f>T("1779")</f>
        <v>1779</v>
      </c>
    </row>
    <row r="1001" spans="1:37" x14ac:dyDescent="0.3">
      <c r="A1001" t="s">
        <v>3144</v>
      </c>
      <c r="B1001" t="s">
        <v>3145</v>
      </c>
      <c r="C1001" t="s">
        <v>3146</v>
      </c>
      <c r="D1001" t="s">
        <v>7</v>
      </c>
      <c r="AG1001" t="str">
        <f>T("3339")</f>
        <v>3339</v>
      </c>
      <c r="AH1001" t="str">
        <f>T("6")</f>
        <v>6</v>
      </c>
      <c r="AK1001" t="str">
        <f>T("78")</f>
        <v>78</v>
      </c>
    </row>
    <row r="1002" spans="1:37" x14ac:dyDescent="0.3">
      <c r="A1002" t="s">
        <v>3147</v>
      </c>
      <c r="B1002" t="s">
        <v>3148</v>
      </c>
      <c r="C1002" t="s">
        <v>3149</v>
      </c>
      <c r="D1002" t="s">
        <v>7</v>
      </c>
      <c r="K1002" t="str">
        <f>T("172.515")</f>
        <v>172.515</v>
      </c>
      <c r="AG1002" t="str">
        <f>T("2390")</f>
        <v>2390</v>
      </c>
      <c r="AH1002" t="str">
        <f>T("3")</f>
        <v>3</v>
      </c>
      <c r="AK1002" t="str">
        <f>T("273")</f>
        <v>273</v>
      </c>
    </row>
    <row r="1003" spans="1:37" x14ac:dyDescent="0.3">
      <c r="A1003" t="s">
        <v>3150</v>
      </c>
      <c r="B1003" t="s">
        <v>3151</v>
      </c>
      <c r="C1003" t="s">
        <v>3152</v>
      </c>
      <c r="D1003" t="s">
        <v>7</v>
      </c>
      <c r="AG1003" t="str">
        <f>T("4348")</f>
        <v>4348</v>
      </c>
      <c r="AH1003" t="str">
        <f>T("23")</f>
        <v>23</v>
      </c>
      <c r="AK1003" t="str">
        <f>T("2176")</f>
        <v>2176</v>
      </c>
    </row>
    <row r="1004" spans="1:37" x14ac:dyDescent="0.3">
      <c r="A1004" t="s">
        <v>3153</v>
      </c>
      <c r="B1004" t="s">
        <v>3154</v>
      </c>
      <c r="C1004" t="s">
        <v>3155</v>
      </c>
      <c r="D1004" t="s">
        <v>7</v>
      </c>
      <c r="K1004" t="str">
        <f>T("172.515")</f>
        <v>172.515</v>
      </c>
      <c r="AG1004" t="str">
        <f>T("2391")</f>
        <v>2391</v>
      </c>
      <c r="AH1004" t="str">
        <f>T("3")</f>
        <v>3</v>
      </c>
      <c r="AK1004" t="str">
        <f>T("272")</f>
        <v>272</v>
      </c>
    </row>
    <row r="1005" spans="1:37" x14ac:dyDescent="0.3">
      <c r="A1005" t="s">
        <v>3156</v>
      </c>
      <c r="B1005" t="s">
        <v>3157</v>
      </c>
      <c r="C1005" t="s">
        <v>3158</v>
      </c>
      <c r="D1005" t="s">
        <v>7</v>
      </c>
      <c r="AG1005" t="str">
        <f>T("3830")</f>
        <v>3830</v>
      </c>
      <c r="AH1005" t="str">
        <f>T("18")</f>
        <v>18</v>
      </c>
      <c r="AK1005" t="str">
        <f>T("1154")</f>
        <v>1154</v>
      </c>
    </row>
    <row r="1006" spans="1:37" x14ac:dyDescent="0.3">
      <c r="A1006" t="s">
        <v>3159</v>
      </c>
      <c r="B1006" t="s">
        <v>3160</v>
      </c>
      <c r="C1006" t="s">
        <v>3161</v>
      </c>
      <c r="D1006" t="s">
        <v>7</v>
      </c>
      <c r="AG1006" t="str">
        <f>T("3142")</f>
        <v>3142</v>
      </c>
      <c r="AH1006" t="str">
        <f>T("4")</f>
        <v>4</v>
      </c>
      <c r="AI1006" t="str">
        <f>T("25")</f>
        <v>25</v>
      </c>
      <c r="AK1006" t="str">
        <f>T("1221")</f>
        <v>1221</v>
      </c>
    </row>
    <row r="1007" spans="1:37" x14ac:dyDescent="0.3">
      <c r="A1007" t="s">
        <v>3162</v>
      </c>
      <c r="B1007" t="s">
        <v>3163</v>
      </c>
      <c r="C1007" t="s">
        <v>3164</v>
      </c>
      <c r="D1007" t="s">
        <v>7</v>
      </c>
      <c r="AG1007" t="str">
        <f>T("4429")</f>
        <v>4429</v>
      </c>
      <c r="AH1007" t="str">
        <f>T("23")</f>
        <v>23</v>
      </c>
      <c r="AK1007" t="str">
        <f>T("1558")</f>
        <v>1558</v>
      </c>
    </row>
    <row r="1008" spans="1:37" ht="43.2" x14ac:dyDescent="0.3">
      <c r="A1008" t="s">
        <v>3165</v>
      </c>
      <c r="B1008" t="s">
        <v>3166</v>
      </c>
      <c r="C1008" s="1" t="s">
        <v>3167</v>
      </c>
      <c r="D1008" t="s">
        <v>7</v>
      </c>
      <c r="AG1008" t="str">
        <f>T("3143")</f>
        <v>3143</v>
      </c>
      <c r="AH1008" t="str">
        <f>T("4")</f>
        <v>4</v>
      </c>
      <c r="AK1008" t="str">
        <f>T("1211")</f>
        <v>1211</v>
      </c>
    </row>
    <row r="1009" spans="1:37" x14ac:dyDescent="0.3">
      <c r="A1009" t="s">
        <v>3168</v>
      </c>
      <c r="B1009" t="s">
        <v>3169</v>
      </c>
      <c r="C1009" t="s">
        <v>3170</v>
      </c>
      <c r="D1009" t="s">
        <v>7</v>
      </c>
      <c r="K1009" t="str">
        <f>T("172.515")</f>
        <v>172.515</v>
      </c>
      <c r="AG1009" t="str">
        <f>T("2392")</f>
        <v>2392</v>
      </c>
      <c r="AH1009" t="str">
        <f>T("3")</f>
        <v>3</v>
      </c>
      <c r="AK1009" t="str">
        <f>T("1655")</f>
        <v>1655</v>
      </c>
    </row>
    <row r="1010" spans="1:37" x14ac:dyDescent="0.3">
      <c r="A1010" t="s">
        <v>3171</v>
      </c>
      <c r="B1010" t="s">
        <v>3172</v>
      </c>
      <c r="C1010" t="s">
        <v>3173</v>
      </c>
      <c r="D1010" t="s">
        <v>7</v>
      </c>
      <c r="K1010" t="str">
        <f>T("172.515")</f>
        <v>172.515</v>
      </c>
      <c r="AG1010" t="str">
        <f>T("2393")</f>
        <v>2393</v>
      </c>
      <c r="AH1010" t="str">
        <f>T("3")</f>
        <v>3</v>
      </c>
      <c r="AK1010" t="str">
        <f>T("1653")</f>
        <v>1653</v>
      </c>
    </row>
    <row r="1011" spans="1:37" x14ac:dyDescent="0.3">
      <c r="A1011" t="s">
        <v>3174</v>
      </c>
      <c r="B1011" t="s">
        <v>3175</v>
      </c>
      <c r="C1011" t="s">
        <v>3176</v>
      </c>
      <c r="D1011" t="s">
        <v>7</v>
      </c>
      <c r="AG1011" t="str">
        <f>T("4248")</f>
        <v>4248</v>
      </c>
      <c r="AH1011" t="str">
        <f>T("22")</f>
        <v>22</v>
      </c>
      <c r="AK1011" t="str">
        <f>T("1613")</f>
        <v>1613</v>
      </c>
    </row>
    <row r="1012" spans="1:37" x14ac:dyDescent="0.3">
      <c r="A1012" t="s">
        <v>3177</v>
      </c>
      <c r="B1012" t="s">
        <v>3178</v>
      </c>
      <c r="C1012" t="s">
        <v>3179</v>
      </c>
      <c r="D1012" t="s">
        <v>7</v>
      </c>
      <c r="K1012" t="str">
        <f>T("172.515")</f>
        <v>172.515</v>
      </c>
      <c r="AG1012" t="str">
        <f>T("2394")</f>
        <v>2394</v>
      </c>
      <c r="AH1012" t="str">
        <f>T("3")</f>
        <v>3</v>
      </c>
      <c r="AI1012" t="str">
        <f>T("25")</f>
        <v>25</v>
      </c>
      <c r="AK1012" t="str">
        <f>T("1656")</f>
        <v>1656</v>
      </c>
    </row>
    <row r="1013" spans="1:37" x14ac:dyDescent="0.3">
      <c r="A1013" t="s">
        <v>3180</v>
      </c>
      <c r="B1013" t="s">
        <v>3181</v>
      </c>
      <c r="C1013" t="s">
        <v>3182</v>
      </c>
      <c r="D1013" t="s">
        <v>7</v>
      </c>
      <c r="K1013" t="str">
        <f>T("172.515")</f>
        <v>172.515</v>
      </c>
      <c r="AG1013" t="str">
        <f>T("2395")</f>
        <v>2395</v>
      </c>
      <c r="AH1013" t="str">
        <f>T("3")</f>
        <v>3</v>
      </c>
      <c r="AK1013" t="str">
        <f>T("1654")</f>
        <v>1654</v>
      </c>
    </row>
    <row r="1014" spans="1:37" x14ac:dyDescent="0.3">
      <c r="A1014" t="s">
        <v>3183</v>
      </c>
      <c r="B1014" t="s">
        <v>3184</v>
      </c>
      <c r="C1014" t="s">
        <v>3185</v>
      </c>
      <c r="D1014" t="s">
        <v>3186</v>
      </c>
      <c r="K1014" t="str">
        <f>T("173.340")</f>
        <v>173.340</v>
      </c>
      <c r="L1014" t="str">
        <f>T("175.105")</f>
        <v>175.105</v>
      </c>
      <c r="M1014" t="str">
        <f>T("175.300")</f>
        <v>175.300</v>
      </c>
      <c r="N1014" t="str">
        <f>T("176.170")</f>
        <v>176.170</v>
      </c>
      <c r="O1014" t="str">
        <f>T("176.180")</f>
        <v>176.180</v>
      </c>
      <c r="P1014" t="str">
        <f>T("176.200")</f>
        <v>176.200</v>
      </c>
      <c r="Q1014" t="str">
        <f>T("176.210")</f>
        <v>176.210</v>
      </c>
      <c r="R1014" t="str">
        <f>T("177.1200")</f>
        <v>177.1200</v>
      </c>
      <c r="S1014" t="str">
        <f>T("177.2260")</f>
        <v>177.2260</v>
      </c>
      <c r="T1014" t="str">
        <f>T("177.2800")</f>
        <v>177.2800</v>
      </c>
      <c r="U1014" t="str">
        <f>T("178.3570")</f>
        <v>178.3570</v>
      </c>
      <c r="V1014" t="str">
        <f>T("178.3910")</f>
        <v>178.3910</v>
      </c>
      <c r="W1014" t="str">
        <f>T("181.28")</f>
        <v>181.28</v>
      </c>
      <c r="AF1014" t="s">
        <v>3187</v>
      </c>
    </row>
    <row r="1015" spans="1:37" x14ac:dyDescent="0.3">
      <c r="A1015" t="s">
        <v>3188</v>
      </c>
      <c r="B1015" t="s">
        <v>3189</v>
      </c>
      <c r="C1015" t="s">
        <v>3190</v>
      </c>
      <c r="D1015" t="s">
        <v>7</v>
      </c>
      <c r="AG1015" t="str">
        <f>T("3271")</f>
        <v>3271</v>
      </c>
      <c r="AH1015" t="str">
        <f>T("5")</f>
        <v>5</v>
      </c>
      <c r="AI1015" t="str">
        <f>T("25")</f>
        <v>25</v>
      </c>
      <c r="AK1015" t="str">
        <f>T("765")</f>
        <v>765</v>
      </c>
    </row>
    <row r="1016" spans="1:37" x14ac:dyDescent="0.3">
      <c r="A1016" t="s">
        <v>3191</v>
      </c>
      <c r="B1016" t="s">
        <v>3192</v>
      </c>
      <c r="C1016" t="s">
        <v>3193</v>
      </c>
      <c r="D1016" t="s">
        <v>7</v>
      </c>
      <c r="AG1016" t="str">
        <f>T("3272")</f>
        <v>3272</v>
      </c>
      <c r="AH1016" t="str">
        <f>T("5")</f>
        <v>5</v>
      </c>
      <c r="AK1016" t="str">
        <f>T("766")</f>
        <v>766</v>
      </c>
    </row>
    <row r="1017" spans="1:37" x14ac:dyDescent="0.3">
      <c r="A1017" t="s">
        <v>3194</v>
      </c>
      <c r="B1017" t="s">
        <v>3195</v>
      </c>
      <c r="C1017" t="s">
        <v>3196</v>
      </c>
      <c r="D1017" t="s">
        <v>7</v>
      </c>
      <c r="AG1017" t="str">
        <f>T("3273")</f>
        <v>3273</v>
      </c>
      <c r="AH1017" t="str">
        <f>T("5")</f>
        <v>5</v>
      </c>
      <c r="AK1017" t="str">
        <f>T("767")</f>
        <v>767</v>
      </c>
    </row>
    <row r="1018" spans="1:37" x14ac:dyDescent="0.3">
      <c r="A1018" t="s">
        <v>3197</v>
      </c>
      <c r="B1018" t="s">
        <v>3198</v>
      </c>
      <c r="C1018" t="s">
        <v>3199</v>
      </c>
      <c r="D1018" t="s">
        <v>7</v>
      </c>
      <c r="K1018" t="str">
        <f>T("177.1520")</f>
        <v>177.1520</v>
      </c>
      <c r="AG1018" t="str">
        <f>T("4389")</f>
        <v>4389</v>
      </c>
      <c r="AH1018" t="str">
        <f>T("23")</f>
        <v>23</v>
      </c>
      <c r="AK1018" t="str">
        <f>T("2151")</f>
        <v>2151</v>
      </c>
    </row>
    <row r="1019" spans="1:37" x14ac:dyDescent="0.3">
      <c r="A1019" t="s">
        <v>3200</v>
      </c>
      <c r="B1019" t="s">
        <v>3201</v>
      </c>
      <c r="C1019" t="s">
        <v>3202</v>
      </c>
      <c r="D1019" t="s">
        <v>7</v>
      </c>
      <c r="AG1019" t="str">
        <f>T("3540")</f>
        <v>3540</v>
      </c>
      <c r="AH1019" t="str">
        <f>T("11")</f>
        <v>11</v>
      </c>
      <c r="AK1019" t="str">
        <f>T("1317")</f>
        <v>1317</v>
      </c>
    </row>
    <row r="1020" spans="1:37" x14ac:dyDescent="0.3">
      <c r="A1020" t="s">
        <v>3203</v>
      </c>
      <c r="B1020" t="s">
        <v>3204</v>
      </c>
      <c r="C1020" t="s">
        <v>3205</v>
      </c>
      <c r="D1020" t="s">
        <v>7</v>
      </c>
    </row>
    <row r="1021" spans="1:37" x14ac:dyDescent="0.3">
      <c r="A1021" t="s">
        <v>3206</v>
      </c>
      <c r="B1021" t="s">
        <v>3207</v>
      </c>
      <c r="C1021" t="s">
        <v>3208</v>
      </c>
      <c r="D1021" t="s">
        <v>7</v>
      </c>
      <c r="AG1021" t="str">
        <f>T("3144")</f>
        <v>3144</v>
      </c>
      <c r="AH1021" t="str">
        <f>T("4")</f>
        <v>4</v>
      </c>
      <c r="AI1021" t="str">
        <f>T("25")</f>
        <v>25</v>
      </c>
      <c r="AK1021" t="str">
        <f>T("1333")</f>
        <v>1333</v>
      </c>
    </row>
    <row r="1022" spans="1:37" x14ac:dyDescent="0.3">
      <c r="A1022" t="s">
        <v>3209</v>
      </c>
      <c r="B1022" t="s">
        <v>3210</v>
      </c>
      <c r="C1022" t="s">
        <v>3211</v>
      </c>
      <c r="D1022" t="s">
        <v>7</v>
      </c>
      <c r="K1022" t="str">
        <f>T("172.515")</f>
        <v>172.515</v>
      </c>
      <c r="AG1022" t="str">
        <f>T("2396")</f>
        <v>2396</v>
      </c>
      <c r="AH1022" t="str">
        <f>T("3")</f>
        <v>3</v>
      </c>
      <c r="AI1022" t="str">
        <f>T("25")</f>
        <v>25</v>
      </c>
      <c r="AK1022" t="str">
        <f>T("616")</f>
        <v>616</v>
      </c>
    </row>
    <row r="1023" spans="1:37" x14ac:dyDescent="0.3">
      <c r="A1023" t="s">
        <v>3212</v>
      </c>
      <c r="B1023" t="s">
        <v>3213</v>
      </c>
      <c r="C1023" t="s">
        <v>3214</v>
      </c>
      <c r="D1023" t="s">
        <v>7</v>
      </c>
      <c r="K1023" t="str">
        <f>T("172.859")</f>
        <v>172.859</v>
      </c>
      <c r="L1023" t="str">
        <f>T("177.1655")</f>
        <v>177.1655</v>
      </c>
      <c r="M1023" t="str">
        <f>T("177.2440")</f>
        <v>177.2440</v>
      </c>
      <c r="AG1023" t="str">
        <f>T("3875")</f>
        <v>3875</v>
      </c>
      <c r="AH1023" t="str">
        <f>T("18")</f>
        <v>18</v>
      </c>
      <c r="AK1023" t="str">
        <f>T("507")</f>
        <v>507</v>
      </c>
    </row>
    <row r="1024" spans="1:37" x14ac:dyDescent="0.3">
      <c r="A1024" t="s">
        <v>3215</v>
      </c>
      <c r="B1024" t="s">
        <v>3216</v>
      </c>
      <c r="C1024" t="s">
        <v>3217</v>
      </c>
      <c r="D1024" t="s">
        <v>7</v>
      </c>
      <c r="AG1024" t="str">
        <f>T("4035")</f>
        <v>4035</v>
      </c>
      <c r="AH1024" t="str">
        <f>T("21")</f>
        <v>21</v>
      </c>
      <c r="AK1024" t="str">
        <f>T("1758")</f>
        <v>1758</v>
      </c>
    </row>
    <row r="1025" spans="1:37" x14ac:dyDescent="0.3">
      <c r="A1025" t="s">
        <v>3218</v>
      </c>
      <c r="B1025" t="s">
        <v>3219</v>
      </c>
      <c r="C1025" t="s">
        <v>3220</v>
      </c>
      <c r="D1025" t="s">
        <v>7</v>
      </c>
      <c r="AG1025" t="str">
        <f>T("3274")</f>
        <v>3274</v>
      </c>
      <c r="AH1025" t="str">
        <f>T("5")</f>
        <v>5</v>
      </c>
      <c r="AK1025" t="str">
        <f>T("1035")</f>
        <v>1035</v>
      </c>
    </row>
    <row r="1026" spans="1:37" x14ac:dyDescent="0.3">
      <c r="A1026" t="s">
        <v>3221</v>
      </c>
      <c r="B1026" t="s">
        <v>3222</v>
      </c>
      <c r="C1026" t="s">
        <v>3223</v>
      </c>
      <c r="D1026" t="s">
        <v>15</v>
      </c>
      <c r="AG1026" t="str">
        <f>T("3619")</f>
        <v>3619</v>
      </c>
      <c r="AH1026" t="str">
        <f>T("12")</f>
        <v>12</v>
      </c>
      <c r="AK1026" t="str">
        <f>T("1059")</f>
        <v>1059</v>
      </c>
    </row>
    <row r="1027" spans="1:37" x14ac:dyDescent="0.3">
      <c r="A1027" t="s">
        <v>3224</v>
      </c>
      <c r="B1027" t="s">
        <v>3225</v>
      </c>
      <c r="C1027" t="s">
        <v>3226</v>
      </c>
      <c r="D1027" t="s">
        <v>7</v>
      </c>
      <c r="AG1027" t="str">
        <f>T("3482")</f>
        <v>3482</v>
      </c>
      <c r="AH1027" t="str">
        <f>T("10")</f>
        <v>10</v>
      </c>
      <c r="AK1027" t="str">
        <f>T("1070")</f>
        <v>1070</v>
      </c>
    </row>
    <row r="1028" spans="1:37" x14ac:dyDescent="0.3">
      <c r="A1028" t="s">
        <v>3227</v>
      </c>
      <c r="B1028" t="s">
        <v>3228</v>
      </c>
      <c r="C1028" t="s">
        <v>3229</v>
      </c>
      <c r="D1028" t="s">
        <v>7</v>
      </c>
      <c r="AG1028" t="str">
        <f>T("4645")</f>
        <v>4645</v>
      </c>
      <c r="AH1028" t="str">
        <f>T("24")</f>
        <v>24</v>
      </c>
      <c r="AK1028" t="str">
        <f>T("2110")</f>
        <v>2110</v>
      </c>
    </row>
    <row r="1029" spans="1:37" x14ac:dyDescent="0.3">
      <c r="A1029" t="s">
        <v>3230</v>
      </c>
      <c r="B1029" t="s">
        <v>3231</v>
      </c>
      <c r="C1029" t="s">
        <v>3232</v>
      </c>
      <c r="D1029" t="s">
        <v>7</v>
      </c>
      <c r="AG1029" t="str">
        <f>T("3666")</f>
        <v>3666</v>
      </c>
      <c r="AH1029" t="str">
        <f>T("13")</f>
        <v>13</v>
      </c>
      <c r="AK1029" t="str">
        <f>T("530")</f>
        <v>530</v>
      </c>
    </row>
    <row r="1030" spans="1:37" x14ac:dyDescent="0.3">
      <c r="A1030" t="s">
        <v>3233</v>
      </c>
      <c r="B1030" t="s">
        <v>3234</v>
      </c>
      <c r="C1030" t="s">
        <v>3235</v>
      </c>
      <c r="D1030" t="s">
        <v>7</v>
      </c>
      <c r="AG1030" t="str">
        <f>T("3275")</f>
        <v>3275</v>
      </c>
      <c r="AH1030" t="str">
        <f>T("5")</f>
        <v>5</v>
      </c>
      <c r="AI1030" t="str">
        <f>T("25")</f>
        <v>25</v>
      </c>
      <c r="AK1030" t="str">
        <f>T("582")</f>
        <v>582</v>
      </c>
    </row>
    <row r="1031" spans="1:37" x14ac:dyDescent="0.3">
      <c r="A1031" t="s">
        <v>3236</v>
      </c>
      <c r="B1031" t="s">
        <v>3237</v>
      </c>
      <c r="C1031" t="s">
        <v>3238</v>
      </c>
      <c r="D1031" t="s">
        <v>15</v>
      </c>
      <c r="AG1031" t="str">
        <f>T("3541")</f>
        <v>3541</v>
      </c>
      <c r="AH1031" t="str">
        <f>T("11")</f>
        <v>11</v>
      </c>
      <c r="AK1031" t="str">
        <f>T("573")</f>
        <v>573</v>
      </c>
    </row>
    <row r="1032" spans="1:37" x14ac:dyDescent="0.3">
      <c r="A1032" t="s">
        <v>3239</v>
      </c>
      <c r="B1032" t="s">
        <v>3240</v>
      </c>
      <c r="C1032" t="s">
        <v>3241</v>
      </c>
      <c r="D1032" t="s">
        <v>7</v>
      </c>
      <c r="AG1032" t="str">
        <f>T("3145")</f>
        <v>3145</v>
      </c>
      <c r="AH1032" t="str">
        <f>T("4")</f>
        <v>4</v>
      </c>
      <c r="AK1032" t="str">
        <f>T("1039")</f>
        <v>1039</v>
      </c>
    </row>
    <row r="1033" spans="1:37" x14ac:dyDescent="0.3">
      <c r="A1033" t="s">
        <v>3242</v>
      </c>
      <c r="B1033" t="s">
        <v>3243</v>
      </c>
      <c r="C1033" t="s">
        <v>3244</v>
      </c>
      <c r="D1033" t="s">
        <v>7</v>
      </c>
      <c r="K1033" t="str">
        <f>T("177.2600")</f>
        <v>177.2600</v>
      </c>
      <c r="AG1033" t="str">
        <f>T("4476")</f>
        <v>4476</v>
      </c>
      <c r="AH1033" t="str">
        <f>T("24")</f>
        <v>24</v>
      </c>
      <c r="AK1033" t="str">
        <f>T("1968")</f>
        <v>1968</v>
      </c>
    </row>
    <row r="1034" spans="1:37" x14ac:dyDescent="0.3">
      <c r="A1034" t="s">
        <v>3245</v>
      </c>
      <c r="B1034" t="s">
        <v>3246</v>
      </c>
      <c r="C1034" t="s">
        <v>3247</v>
      </c>
      <c r="D1034" t="s">
        <v>15</v>
      </c>
      <c r="AG1034" t="str">
        <f>T("3667")</f>
        <v>3667</v>
      </c>
      <c r="AH1034" t="str">
        <f>T("13")</f>
        <v>13</v>
      </c>
      <c r="AK1034" t="str">
        <f>T("1255")</f>
        <v>1255</v>
      </c>
    </row>
    <row r="1035" spans="1:37" x14ac:dyDescent="0.3">
      <c r="A1035" t="s">
        <v>3248</v>
      </c>
      <c r="B1035" t="s">
        <v>3249</v>
      </c>
      <c r="C1035" t="s">
        <v>3250</v>
      </c>
      <c r="D1035" t="s">
        <v>7</v>
      </c>
      <c r="K1035" t="str">
        <f>T("172.515")</f>
        <v>172.515</v>
      </c>
      <c r="AG1035" t="str">
        <f>T("2397")</f>
        <v>2397</v>
      </c>
      <c r="AH1035" t="str">
        <f>T("3")</f>
        <v>3</v>
      </c>
      <c r="AK1035" t="str">
        <f>T("832")</f>
        <v>832</v>
      </c>
    </row>
    <row r="1036" spans="1:37" x14ac:dyDescent="0.3">
      <c r="A1036" t="s">
        <v>3251</v>
      </c>
      <c r="B1036" t="s">
        <v>3252</v>
      </c>
      <c r="C1036" t="s">
        <v>3253</v>
      </c>
      <c r="D1036" t="s">
        <v>3254</v>
      </c>
      <c r="E1036" t="str">
        <f>T("73.85")</f>
        <v>73.85</v>
      </c>
      <c r="K1036" t="str">
        <f>T("175.105")</f>
        <v>175.105</v>
      </c>
      <c r="L1036" t="str">
        <f>T("182.6285")</f>
        <v>182.6285</v>
      </c>
      <c r="AF1036" t="s">
        <v>3255</v>
      </c>
    </row>
    <row r="1037" spans="1:37" x14ac:dyDescent="0.3">
      <c r="A1037" t="s">
        <v>3256</v>
      </c>
      <c r="B1037" t="s">
        <v>3257</v>
      </c>
      <c r="C1037" t="s">
        <v>3258</v>
      </c>
      <c r="D1037" t="s">
        <v>7</v>
      </c>
      <c r="AG1037" t="str">
        <f>T("4688")</f>
        <v>4688</v>
      </c>
      <c r="AH1037" t="str">
        <f>T("25")</f>
        <v>25</v>
      </c>
    </row>
    <row r="1038" spans="1:37" x14ac:dyDescent="0.3">
      <c r="A1038" t="s">
        <v>3259</v>
      </c>
      <c r="B1038" t="s">
        <v>3260</v>
      </c>
      <c r="C1038" t="s">
        <v>3261</v>
      </c>
      <c r="D1038" t="s">
        <v>7</v>
      </c>
      <c r="AG1038" t="str">
        <f>T("4473")</f>
        <v>4473</v>
      </c>
      <c r="AH1038" t="str">
        <f>T("24")</f>
        <v>24</v>
      </c>
      <c r="AK1038" t="str">
        <f>T("1965")</f>
        <v>1965</v>
      </c>
    </row>
    <row r="1039" spans="1:37" x14ac:dyDescent="0.3">
      <c r="A1039" t="s">
        <v>3262</v>
      </c>
      <c r="B1039" t="s">
        <v>3263</v>
      </c>
      <c r="C1039" t="s">
        <v>3264</v>
      </c>
      <c r="D1039" t="s">
        <v>7</v>
      </c>
      <c r="AG1039" t="str">
        <f>T("3276")</f>
        <v>3276</v>
      </c>
      <c r="AH1039" t="str">
        <f>T("5")</f>
        <v>5</v>
      </c>
      <c r="AK1039" t="str">
        <f>T("585")</f>
        <v>585</v>
      </c>
    </row>
    <row r="1040" spans="1:37" x14ac:dyDescent="0.3">
      <c r="A1040" t="s">
        <v>3265</v>
      </c>
      <c r="B1040" t="s">
        <v>3266</v>
      </c>
      <c r="C1040" t="s">
        <v>3267</v>
      </c>
      <c r="D1040" t="s">
        <v>7</v>
      </c>
      <c r="AG1040" t="str">
        <f>T("4578")</f>
        <v>4578</v>
      </c>
      <c r="AH1040" t="str">
        <f>T("24")</f>
        <v>24</v>
      </c>
      <c r="AK1040" t="str">
        <f>T("1933")</f>
        <v>1933</v>
      </c>
    </row>
    <row r="1041" spans="1:37" x14ac:dyDescent="0.3">
      <c r="A1041" t="s">
        <v>3268</v>
      </c>
      <c r="B1041" t="s">
        <v>3269</v>
      </c>
      <c r="C1041" t="s">
        <v>3270</v>
      </c>
      <c r="D1041" t="s">
        <v>802</v>
      </c>
      <c r="K1041" t="str">
        <f>T("181.29")</f>
        <v>181.29</v>
      </c>
    </row>
    <row r="1042" spans="1:37" x14ac:dyDescent="0.3">
      <c r="A1042" t="s">
        <v>3271</v>
      </c>
      <c r="B1042" t="s">
        <v>3272</v>
      </c>
      <c r="C1042" t="s">
        <v>3273</v>
      </c>
      <c r="D1042" t="s">
        <v>3274</v>
      </c>
      <c r="K1042" t="str">
        <f>T("173.320")</f>
        <v>173.320</v>
      </c>
      <c r="L1042" t="str">
        <f>T("175.105")</f>
        <v>175.105</v>
      </c>
      <c r="M1042" t="str">
        <f>T("176.300")</f>
        <v>176.300</v>
      </c>
      <c r="N1042" t="str">
        <f>T("178.3120")</f>
        <v>178.3120</v>
      </c>
      <c r="O1042" t="str">
        <f>T("181.30")</f>
        <v>181.30</v>
      </c>
    </row>
    <row r="1043" spans="1:37" x14ac:dyDescent="0.3">
      <c r="A1043" t="s">
        <v>3275</v>
      </c>
      <c r="B1043" t="s">
        <v>3276</v>
      </c>
      <c r="C1043" t="s">
        <v>3277</v>
      </c>
      <c r="D1043" t="s">
        <v>184</v>
      </c>
      <c r="K1043" t="str">
        <f>T("173.320")</f>
        <v>173.320</v>
      </c>
      <c r="L1043" t="str">
        <f>T("176.300")</f>
        <v>176.300</v>
      </c>
    </row>
    <row r="1044" spans="1:37" x14ac:dyDescent="0.3">
      <c r="A1044" t="s">
        <v>3278</v>
      </c>
      <c r="B1044" t="s">
        <v>3279</v>
      </c>
      <c r="C1044" t="s">
        <v>3280</v>
      </c>
      <c r="D1044" t="s">
        <v>7</v>
      </c>
      <c r="K1044" t="str">
        <f>T("170.60")</f>
        <v>170.60</v>
      </c>
      <c r="L1044" t="str">
        <f>T("172.530")</f>
        <v>172.530</v>
      </c>
      <c r="AF1044" t="s">
        <v>3281</v>
      </c>
      <c r="AG1044" t="str">
        <f>T("3668")</f>
        <v>3668</v>
      </c>
      <c r="AH1044" t="str">
        <f>T("13")</f>
        <v>13</v>
      </c>
    </row>
    <row r="1045" spans="1:37" x14ac:dyDescent="0.3">
      <c r="A1045" t="s">
        <v>3282</v>
      </c>
      <c r="B1045" t="s">
        <v>3283</v>
      </c>
      <c r="C1045" t="s">
        <v>3284</v>
      </c>
      <c r="D1045" t="s">
        <v>3285</v>
      </c>
      <c r="K1045" t="str">
        <f>T("170.60")</f>
        <v>170.60</v>
      </c>
      <c r="L1045" t="str">
        <f>T("172.535")</f>
        <v>172.535</v>
      </c>
      <c r="AF1045" t="s">
        <v>3281</v>
      </c>
      <c r="AG1045" t="str">
        <f>T("3669")</f>
        <v>3669</v>
      </c>
      <c r="AH1045" t="str">
        <f>T("13")</f>
        <v>13</v>
      </c>
    </row>
    <row r="1046" spans="1:37" x14ac:dyDescent="0.3">
      <c r="A1046" t="s">
        <v>3286</v>
      </c>
      <c r="B1046" t="s">
        <v>3287</v>
      </c>
      <c r="C1046" t="s">
        <v>3288</v>
      </c>
      <c r="D1046" t="s">
        <v>15</v>
      </c>
      <c r="AG1046" t="str">
        <f>T("3277")</f>
        <v>3277</v>
      </c>
      <c r="AH1046" t="str">
        <f>T("5")</f>
        <v>5</v>
      </c>
    </row>
    <row r="1047" spans="1:37" x14ac:dyDescent="0.3">
      <c r="A1047" t="s">
        <v>3289</v>
      </c>
      <c r="B1047" t="s">
        <v>3290</v>
      </c>
      <c r="C1047" t="s">
        <v>3291</v>
      </c>
      <c r="D1047" t="s">
        <v>7</v>
      </c>
      <c r="AG1047" t="str">
        <f>T("3335")</f>
        <v>3335</v>
      </c>
      <c r="AH1047" t="str">
        <f>T("6")</f>
        <v>6</v>
      </c>
      <c r="AK1047" t="str">
        <f>T("502")</f>
        <v>502</v>
      </c>
    </row>
    <row r="1048" spans="1:37" ht="129.6" x14ac:dyDescent="0.3">
      <c r="A1048" t="s">
        <v>3292</v>
      </c>
      <c r="B1048" t="s">
        <v>3293</v>
      </c>
      <c r="C1048" s="1" t="s">
        <v>3294</v>
      </c>
      <c r="D1048" t="s">
        <v>7</v>
      </c>
      <c r="AG1048" t="str">
        <f>T("4298")</f>
        <v>4298</v>
      </c>
      <c r="AH1048" t="str">
        <f>T("23")</f>
        <v>23</v>
      </c>
      <c r="AK1048" t="str">
        <f>T("1707")</f>
        <v>1707</v>
      </c>
    </row>
    <row r="1049" spans="1:37" x14ac:dyDescent="0.3">
      <c r="A1049" t="s">
        <v>3295</v>
      </c>
      <c r="B1049" t="s">
        <v>3296</v>
      </c>
      <c r="C1049" t="s">
        <v>3297</v>
      </c>
      <c r="D1049" t="s">
        <v>7</v>
      </c>
      <c r="AG1049" t="str">
        <f>T("3831")</f>
        <v>3831</v>
      </c>
      <c r="AH1049" t="str">
        <f>T("18")</f>
        <v>18</v>
      </c>
      <c r="AK1049" t="str">
        <f>T("456")</f>
        <v>456</v>
      </c>
    </row>
    <row r="1050" spans="1:37" x14ac:dyDescent="0.3">
      <c r="A1050" t="s">
        <v>3298</v>
      </c>
      <c r="B1050" t="s">
        <v>3299</v>
      </c>
      <c r="C1050" t="s">
        <v>3300</v>
      </c>
      <c r="D1050" t="s">
        <v>15</v>
      </c>
      <c r="AG1050" t="str">
        <f>T("3483")</f>
        <v>3483</v>
      </c>
      <c r="AH1050" t="str">
        <f>T("10")</f>
        <v>10</v>
      </c>
      <c r="AK1050" t="str">
        <f>T("471")</f>
        <v>471</v>
      </c>
    </row>
    <row r="1051" spans="1:37" x14ac:dyDescent="0.3">
      <c r="A1051" t="s">
        <v>3301</v>
      </c>
      <c r="B1051" t="s">
        <v>3302</v>
      </c>
      <c r="C1051" t="s">
        <v>3303</v>
      </c>
      <c r="D1051" t="s">
        <v>15</v>
      </c>
      <c r="AG1051" t="str">
        <f>T("3146")</f>
        <v>3146</v>
      </c>
      <c r="AH1051" t="str">
        <f>T("4")</f>
        <v>4</v>
      </c>
      <c r="AK1051" t="str">
        <f>T("1081")</f>
        <v>1081</v>
      </c>
    </row>
    <row r="1052" spans="1:37" x14ac:dyDescent="0.3">
      <c r="A1052" t="s">
        <v>3304</v>
      </c>
      <c r="B1052" t="s">
        <v>3305</v>
      </c>
      <c r="C1052" t="s">
        <v>3306</v>
      </c>
      <c r="D1052" t="s">
        <v>7</v>
      </c>
      <c r="K1052" t="str">
        <f>T("172.510")</f>
        <v>172.510</v>
      </c>
      <c r="AG1052" t="str">
        <f>T("2399")</f>
        <v>2399</v>
      </c>
      <c r="AH1052" t="str">
        <f>T("3")</f>
        <v>3</v>
      </c>
    </row>
    <row r="1053" spans="1:37" x14ac:dyDescent="0.3">
      <c r="A1053" t="s">
        <v>3307</v>
      </c>
      <c r="B1053" t="s">
        <v>3308</v>
      </c>
      <c r="C1053" t="s">
        <v>3309</v>
      </c>
      <c r="D1053" t="s">
        <v>7</v>
      </c>
      <c r="K1053" t="str">
        <f>T("172.510")</f>
        <v>172.510</v>
      </c>
    </row>
    <row r="1054" spans="1:37" x14ac:dyDescent="0.3">
      <c r="A1054" t="s">
        <v>3310</v>
      </c>
      <c r="B1054" t="s">
        <v>3311</v>
      </c>
      <c r="C1054" t="s">
        <v>3312</v>
      </c>
      <c r="D1054" t="s">
        <v>7</v>
      </c>
      <c r="AG1054" t="str">
        <f>T("4107")</f>
        <v>4107</v>
      </c>
      <c r="AH1054" t="str">
        <f>T("22")</f>
        <v>22</v>
      </c>
      <c r="AK1054" t="str">
        <f>T("1881")</f>
        <v>1881</v>
      </c>
    </row>
    <row r="1055" spans="1:37" x14ac:dyDescent="0.3">
      <c r="A1055" t="s">
        <v>3313</v>
      </c>
      <c r="B1055" t="s">
        <v>3314</v>
      </c>
      <c r="C1055" t="s">
        <v>3315</v>
      </c>
      <c r="D1055" t="s">
        <v>7</v>
      </c>
      <c r="AG1055" t="str">
        <f>T("4513")</f>
        <v>4513</v>
      </c>
      <c r="AH1055" t="str">
        <f>T("24")</f>
        <v>24</v>
      </c>
      <c r="AK1055" t="str">
        <f>T("2199")</f>
        <v>2199</v>
      </c>
    </row>
    <row r="1056" spans="1:37" x14ac:dyDescent="0.3">
      <c r="A1056" t="s">
        <v>3316</v>
      </c>
      <c r="B1056" t="s">
        <v>3317</v>
      </c>
      <c r="C1056" t="s">
        <v>3318</v>
      </c>
      <c r="D1056" t="s">
        <v>7</v>
      </c>
      <c r="AG1056" t="str">
        <f>T("4504")</f>
        <v>4504</v>
      </c>
      <c r="AH1056" t="str">
        <f>T("24")</f>
        <v>24</v>
      </c>
      <c r="AK1056" t="str">
        <f>T("1903")</f>
        <v>1903</v>
      </c>
    </row>
    <row r="1057" spans="1:37" x14ac:dyDescent="0.3">
      <c r="A1057" t="s">
        <v>3319</v>
      </c>
      <c r="B1057" t="s">
        <v>3320</v>
      </c>
      <c r="C1057" t="s">
        <v>3321</v>
      </c>
      <c r="D1057" t="s">
        <v>7</v>
      </c>
      <c r="AG1057" t="str">
        <f>T("3295")</f>
        <v>3295</v>
      </c>
      <c r="AH1057" t="str">
        <f>T("5")</f>
        <v>5</v>
      </c>
      <c r="AK1057" t="str">
        <f>T("1422")</f>
        <v>1422</v>
      </c>
    </row>
    <row r="1058" spans="1:37" x14ac:dyDescent="0.3">
      <c r="A1058" t="s">
        <v>3322</v>
      </c>
      <c r="B1058" t="s">
        <v>3323</v>
      </c>
      <c r="C1058" t="s">
        <v>3324</v>
      </c>
      <c r="D1058" t="s">
        <v>7</v>
      </c>
      <c r="AG1058" t="str">
        <f>T("3460")</f>
        <v>3460</v>
      </c>
      <c r="AH1058" t="str">
        <f>T("9")</f>
        <v>9</v>
      </c>
      <c r="AK1058" t="str">
        <f>T("430")</f>
        <v>430</v>
      </c>
    </row>
    <row r="1059" spans="1:37" x14ac:dyDescent="0.3">
      <c r="A1059" t="s">
        <v>3325</v>
      </c>
      <c r="B1059" t="s">
        <v>3326</v>
      </c>
      <c r="C1059" t="s">
        <v>3327</v>
      </c>
      <c r="D1059" t="s">
        <v>3328</v>
      </c>
      <c r="AG1059" t="str">
        <f>T("3444")</f>
        <v>3444</v>
      </c>
      <c r="AH1059" t="str">
        <f>T("8")</f>
        <v>8</v>
      </c>
      <c r="AI1059" t="str">
        <f>T("13")</f>
        <v>13</v>
      </c>
      <c r="AK1059" t="str">
        <f>T("1426")</f>
        <v>1426</v>
      </c>
    </row>
    <row r="1060" spans="1:37" x14ac:dyDescent="0.3">
      <c r="A1060" t="s">
        <v>3329</v>
      </c>
      <c r="B1060" t="s">
        <v>3330</v>
      </c>
      <c r="C1060" t="s">
        <v>3331</v>
      </c>
      <c r="D1060" t="s">
        <v>15</v>
      </c>
      <c r="K1060" t="str">
        <f>T("172.515")</f>
        <v>172.515</v>
      </c>
      <c r="AG1060" t="str">
        <f>T("2401")</f>
        <v>2401</v>
      </c>
      <c r="AH1060" t="str">
        <f>T("3")</f>
        <v>3</v>
      </c>
      <c r="AI1060" t="str">
        <f>T("25")</f>
        <v>25</v>
      </c>
      <c r="AK1060" t="str">
        <f>T("236")</f>
        <v>236</v>
      </c>
    </row>
    <row r="1061" spans="1:37" x14ac:dyDescent="0.3">
      <c r="A1061" t="s">
        <v>3332</v>
      </c>
      <c r="B1061" t="s">
        <v>3333</v>
      </c>
      <c r="C1061" t="s">
        <v>3334</v>
      </c>
      <c r="D1061" t="s">
        <v>15</v>
      </c>
      <c r="AG1061" t="str">
        <f>T("3610")</f>
        <v>3610</v>
      </c>
      <c r="AH1061" t="str">
        <f>T("12")</f>
        <v>12</v>
      </c>
      <c r="AK1061" t="str">
        <f>T("242")</f>
        <v>242</v>
      </c>
    </row>
    <row r="1062" spans="1:37" x14ac:dyDescent="0.3">
      <c r="A1062" t="s">
        <v>3335</v>
      </c>
      <c r="B1062" t="s">
        <v>3336</v>
      </c>
      <c r="C1062" t="s">
        <v>3337</v>
      </c>
      <c r="D1062" t="s">
        <v>15</v>
      </c>
      <c r="K1062" t="str">
        <f>T("172.515")</f>
        <v>172.515</v>
      </c>
      <c r="AG1062" t="str">
        <f>T("2400")</f>
        <v>2400</v>
      </c>
      <c r="AH1062" t="str">
        <f>T("3")</f>
        <v>3</v>
      </c>
      <c r="AI1062" t="str">
        <f>T("25")</f>
        <v>25</v>
      </c>
      <c r="AK1062" t="str">
        <f>T("235")</f>
        <v>235</v>
      </c>
    </row>
    <row r="1063" spans="1:37" x14ac:dyDescent="0.3">
      <c r="A1063" t="s">
        <v>3338</v>
      </c>
      <c r="B1063" t="s">
        <v>3339</v>
      </c>
      <c r="C1063" t="s">
        <v>3340</v>
      </c>
      <c r="D1063" t="s">
        <v>7</v>
      </c>
      <c r="AG1063" t="str">
        <f>T("4366")</f>
        <v>4366</v>
      </c>
      <c r="AH1063" t="str">
        <f>T("23")</f>
        <v>23</v>
      </c>
      <c r="AK1063" t="str">
        <f>T("1746")</f>
        <v>1746</v>
      </c>
    </row>
    <row r="1064" spans="1:37" x14ac:dyDescent="0.3">
      <c r="A1064" t="s">
        <v>3341</v>
      </c>
      <c r="B1064" t="s">
        <v>3342</v>
      </c>
      <c r="C1064" t="s">
        <v>3343</v>
      </c>
      <c r="D1064" t="s">
        <v>7</v>
      </c>
      <c r="K1064" t="str">
        <f>T("172.515")</f>
        <v>172.515</v>
      </c>
      <c r="AG1064" t="str">
        <f>T("2402")</f>
        <v>2402</v>
      </c>
      <c r="AH1064" t="str">
        <f>T("3")</f>
        <v>3</v>
      </c>
      <c r="AK1064" t="str">
        <f>T("1350")</f>
        <v>1350</v>
      </c>
    </row>
    <row r="1065" spans="1:37" x14ac:dyDescent="0.3">
      <c r="A1065" t="s">
        <v>3344</v>
      </c>
      <c r="B1065" t="s">
        <v>3345</v>
      </c>
      <c r="C1065" t="s">
        <v>3346</v>
      </c>
      <c r="D1065" t="s">
        <v>7</v>
      </c>
      <c r="AG1065" t="str">
        <f>T("4036")</f>
        <v>4036</v>
      </c>
      <c r="AH1065" t="str">
        <f>T("21")</f>
        <v>21</v>
      </c>
      <c r="AK1065" t="str">
        <f>T("1636")</f>
        <v>1636</v>
      </c>
    </row>
    <row r="1066" spans="1:37" x14ac:dyDescent="0.3">
      <c r="A1066" t="s">
        <v>3347</v>
      </c>
      <c r="B1066" t="s">
        <v>3348</v>
      </c>
      <c r="C1066" t="s">
        <v>3349</v>
      </c>
      <c r="D1066" t="s">
        <v>7</v>
      </c>
      <c r="AG1066" t="str">
        <f>T("4355")</f>
        <v>4355</v>
      </c>
      <c r="AH1066" t="str">
        <f>T("23")</f>
        <v>23</v>
      </c>
      <c r="AK1066" t="str">
        <f>T("1635")</f>
        <v>1635</v>
      </c>
    </row>
    <row r="1067" spans="1:37" x14ac:dyDescent="0.3">
      <c r="A1067" t="s">
        <v>3350</v>
      </c>
      <c r="B1067" t="s">
        <v>3351</v>
      </c>
      <c r="C1067" t="s">
        <v>3352</v>
      </c>
      <c r="D1067" t="s">
        <v>7</v>
      </c>
      <c r="AG1067" t="str">
        <f>T("4445")</f>
        <v>4445</v>
      </c>
      <c r="AH1067" t="str">
        <f>T("24")</f>
        <v>24</v>
      </c>
      <c r="AK1067" t="str">
        <f>T("1996")</f>
        <v>1996</v>
      </c>
    </row>
    <row r="1068" spans="1:37" x14ac:dyDescent="0.3">
      <c r="A1068" t="s">
        <v>3353</v>
      </c>
      <c r="B1068" t="s">
        <v>3354</v>
      </c>
      <c r="C1068" t="s">
        <v>3355</v>
      </c>
      <c r="D1068" t="s">
        <v>7</v>
      </c>
      <c r="AG1068" t="str">
        <f>T("4340")</f>
        <v>4340</v>
      </c>
      <c r="AH1068" t="str">
        <f>T("23")</f>
        <v>23</v>
      </c>
      <c r="AK1068" t="str">
        <f>T("1877")</f>
        <v>1877</v>
      </c>
    </row>
    <row r="1069" spans="1:37" x14ac:dyDescent="0.3">
      <c r="A1069" t="s">
        <v>3356</v>
      </c>
      <c r="B1069" t="s">
        <v>3357</v>
      </c>
      <c r="C1069" t="s">
        <v>3358</v>
      </c>
      <c r="D1069" t="s">
        <v>773</v>
      </c>
      <c r="AF1069" t="str">
        <f>T("166.11")</f>
        <v>166.11</v>
      </c>
    </row>
    <row r="1070" spans="1:37" ht="100.8" x14ac:dyDescent="0.3">
      <c r="A1070" t="s">
        <v>3359</v>
      </c>
      <c r="B1070" t="s">
        <v>3360</v>
      </c>
      <c r="C1070" s="1" t="s">
        <v>3361</v>
      </c>
      <c r="D1070" t="s">
        <v>7</v>
      </c>
      <c r="AG1070" t="str">
        <f>T("3452")</f>
        <v>3452</v>
      </c>
      <c r="AH1070" t="str">
        <f>T("9")</f>
        <v>9</v>
      </c>
      <c r="AK1070" t="str">
        <f>T("193")</f>
        <v>193</v>
      </c>
    </row>
    <row r="1071" spans="1:37" x14ac:dyDescent="0.3">
      <c r="A1071" t="s">
        <v>3362</v>
      </c>
      <c r="B1071" t="s">
        <v>3363</v>
      </c>
      <c r="C1071" t="s">
        <v>3364</v>
      </c>
      <c r="D1071" t="s">
        <v>7</v>
      </c>
      <c r="AG1071" t="str">
        <f>T("4482")</f>
        <v>4482</v>
      </c>
      <c r="AH1071" t="str">
        <f>T("24")</f>
        <v>24</v>
      </c>
      <c r="AK1071" t="str">
        <f>T("1948")</f>
        <v>1948</v>
      </c>
    </row>
    <row r="1072" spans="1:37" x14ac:dyDescent="0.3">
      <c r="A1072" t="s">
        <v>3365</v>
      </c>
      <c r="B1072" t="s">
        <v>3366</v>
      </c>
      <c r="C1072" t="s">
        <v>3367</v>
      </c>
      <c r="D1072" t="s">
        <v>7</v>
      </c>
      <c r="K1072" t="str">
        <f>T("175.105")</f>
        <v>175.105</v>
      </c>
      <c r="L1072" t="str">
        <f>T("177.1050")</f>
        <v>177.1050</v>
      </c>
      <c r="M1072" t="str">
        <f>T("178.2010")</f>
        <v>178.2010</v>
      </c>
      <c r="AG1072" t="str">
        <f>T("4581")</f>
        <v>4581</v>
      </c>
      <c r="AH1072" t="str">
        <f>T("24")</f>
        <v>24</v>
      </c>
      <c r="AK1072" t="str">
        <f>T("1924")</f>
        <v>1924</v>
      </c>
    </row>
    <row r="1073" spans="1:37" x14ac:dyDescent="0.3">
      <c r="A1073" t="s">
        <v>3368</v>
      </c>
      <c r="B1073" t="s">
        <v>3369</v>
      </c>
      <c r="C1073" t="s">
        <v>3370</v>
      </c>
      <c r="K1073" t="str">
        <f>T("172.710")</f>
        <v>172.710</v>
      </c>
      <c r="L1073" t="str">
        <f>T("176.180")</f>
        <v>176.180</v>
      </c>
      <c r="M1073" t="str">
        <f>T("176.210")</f>
        <v>176.210</v>
      </c>
    </row>
    <row r="1074" spans="1:37" x14ac:dyDescent="0.3">
      <c r="A1074" t="s">
        <v>3371</v>
      </c>
      <c r="B1074" t="s">
        <v>3372</v>
      </c>
      <c r="C1074" t="s">
        <v>3373</v>
      </c>
      <c r="D1074" t="s">
        <v>7</v>
      </c>
      <c r="AG1074" t="str">
        <f>T("4338")</f>
        <v>4338</v>
      </c>
      <c r="AH1074" t="str">
        <f>T("23")</f>
        <v>23</v>
      </c>
      <c r="AK1074" t="str">
        <f>T("1876")</f>
        <v>1876</v>
      </c>
    </row>
    <row r="1075" spans="1:37" x14ac:dyDescent="0.3">
      <c r="A1075" t="s">
        <v>3374</v>
      </c>
      <c r="B1075" t="s">
        <v>3375</v>
      </c>
      <c r="C1075" t="s">
        <v>3376</v>
      </c>
      <c r="D1075" t="s">
        <v>15</v>
      </c>
      <c r="K1075" t="str">
        <f>T("182.20")</f>
        <v>182.20</v>
      </c>
      <c r="AG1075" t="str">
        <f>T("2403")</f>
        <v>2403</v>
      </c>
      <c r="AH1075" t="str">
        <f>T("3")</f>
        <v>3</v>
      </c>
    </row>
    <row r="1076" spans="1:37" x14ac:dyDescent="0.3">
      <c r="A1076" t="s">
        <v>3377</v>
      </c>
      <c r="B1076" t="s">
        <v>3378</v>
      </c>
      <c r="C1076" t="s">
        <v>3379</v>
      </c>
      <c r="D1076" t="s">
        <v>7</v>
      </c>
      <c r="AG1076" t="str">
        <f>T("4655")</f>
        <v>4655</v>
      </c>
      <c r="AH1076" t="str">
        <f>T("24")</f>
        <v>24</v>
      </c>
      <c r="AK1076" t="str">
        <f>T("2145")</f>
        <v>2145</v>
      </c>
    </row>
    <row r="1077" spans="1:37" x14ac:dyDescent="0.3">
      <c r="A1077" t="s">
        <v>3380</v>
      </c>
      <c r="B1077" t="s">
        <v>3381</v>
      </c>
      <c r="C1077" t="s">
        <v>3382</v>
      </c>
      <c r="D1077" t="s">
        <v>7</v>
      </c>
      <c r="K1077" t="str">
        <f>T("172.510")</f>
        <v>172.510</v>
      </c>
      <c r="AG1077" t="str">
        <f>T("2404")</f>
        <v>2404</v>
      </c>
      <c r="AH1077" t="str">
        <f>T("3")</f>
        <v>3</v>
      </c>
    </row>
    <row r="1078" spans="1:37" x14ac:dyDescent="0.3">
      <c r="A1078" t="s">
        <v>3383</v>
      </c>
      <c r="B1078" t="s">
        <v>3384</v>
      </c>
      <c r="C1078" t="s">
        <v>3385</v>
      </c>
      <c r="D1078" t="s">
        <v>15</v>
      </c>
      <c r="E1078" t="str">
        <f>T("73.275")</f>
        <v>73.275</v>
      </c>
    </row>
    <row r="1079" spans="1:37" x14ac:dyDescent="0.3">
      <c r="A1079" t="s">
        <v>3386</v>
      </c>
      <c r="B1079" t="s">
        <v>3387</v>
      </c>
      <c r="C1079" t="s">
        <v>3388</v>
      </c>
      <c r="D1079" t="s">
        <v>11</v>
      </c>
      <c r="AD1079" t="str">
        <f>T("189.145")</f>
        <v>189.145</v>
      </c>
    </row>
    <row r="1080" spans="1:37" x14ac:dyDescent="0.3">
      <c r="A1080" t="s">
        <v>3389</v>
      </c>
      <c r="B1080" t="s">
        <v>3390</v>
      </c>
      <c r="C1080" t="s">
        <v>3391</v>
      </c>
      <c r="D1080" t="s">
        <v>3392</v>
      </c>
      <c r="K1080" t="str">
        <f>T("175.105")</f>
        <v>175.105</v>
      </c>
    </row>
    <row r="1081" spans="1:37" x14ac:dyDescent="0.3">
      <c r="A1081" t="s">
        <v>3393</v>
      </c>
      <c r="B1081" t="s">
        <v>3394</v>
      </c>
      <c r="C1081" t="s">
        <v>3395</v>
      </c>
      <c r="D1081" t="s">
        <v>3396</v>
      </c>
      <c r="K1081" t="str">
        <f>T("173.310")</f>
        <v>173.310</v>
      </c>
      <c r="L1081" t="str">
        <f>T("173.315")</f>
        <v>173.315</v>
      </c>
      <c r="M1081" t="str">
        <f>T("175.105")</f>
        <v>175.105</v>
      </c>
      <c r="N1081" t="str">
        <f>T("175.125")</f>
        <v>175.125</v>
      </c>
      <c r="O1081" t="str">
        <f>T("175.300")</f>
        <v>175.300</v>
      </c>
      <c r="P1081" t="str">
        <f>T("176.150")</f>
        <v>176.150</v>
      </c>
      <c r="Q1081" t="str">
        <f>T("176.170")</f>
        <v>176.170</v>
      </c>
      <c r="R1081" t="str">
        <f>T("176.210")</f>
        <v>176.210</v>
      </c>
      <c r="S1081" t="str">
        <f>T("178.1010")</f>
        <v>178.1010</v>
      </c>
      <c r="T1081" t="str">
        <f>T("178.3910")</f>
        <v>178.3910</v>
      </c>
    </row>
    <row r="1082" spans="1:37" x14ac:dyDescent="0.3">
      <c r="A1082" t="s">
        <v>3397</v>
      </c>
      <c r="B1082" t="s">
        <v>3398</v>
      </c>
      <c r="C1082" t="s">
        <v>3399</v>
      </c>
      <c r="D1082" t="s">
        <v>7</v>
      </c>
      <c r="AG1082" t="str">
        <f>T("4668")</f>
        <v>4668</v>
      </c>
      <c r="AH1082" t="str">
        <f>T("25")</f>
        <v>25</v>
      </c>
      <c r="AK1082" t="str">
        <f>T("2077")</f>
        <v>2077</v>
      </c>
    </row>
    <row r="1083" spans="1:37" x14ac:dyDescent="0.3">
      <c r="A1083" t="s">
        <v>3400</v>
      </c>
      <c r="B1083" t="s">
        <v>3401</v>
      </c>
      <c r="C1083" t="s">
        <v>3402</v>
      </c>
      <c r="D1083" t="s">
        <v>3403</v>
      </c>
    </row>
    <row r="1084" spans="1:37" x14ac:dyDescent="0.3">
      <c r="A1084" t="s">
        <v>3404</v>
      </c>
      <c r="B1084" t="s">
        <v>3405</v>
      </c>
      <c r="C1084" t="s">
        <v>3406</v>
      </c>
      <c r="D1084" t="s">
        <v>15</v>
      </c>
      <c r="K1084" t="str">
        <f>T("182.10")</f>
        <v>182.10</v>
      </c>
      <c r="AG1084" t="str">
        <f>T("2406")</f>
        <v>2406</v>
      </c>
      <c r="AH1084" t="str">
        <f>T("3")</f>
        <v>3</v>
      </c>
    </row>
    <row r="1085" spans="1:37" x14ac:dyDescent="0.3">
      <c r="A1085" t="s">
        <v>3407</v>
      </c>
      <c r="B1085" t="s">
        <v>3408</v>
      </c>
      <c r="C1085" t="s">
        <v>3409</v>
      </c>
      <c r="D1085" t="s">
        <v>15</v>
      </c>
      <c r="K1085" t="str">
        <f>T("182.20")</f>
        <v>182.20</v>
      </c>
    </row>
    <row r="1086" spans="1:37" x14ac:dyDescent="0.3">
      <c r="A1086" t="s">
        <v>3410</v>
      </c>
      <c r="B1086" t="s">
        <v>3411</v>
      </c>
      <c r="C1086" t="s">
        <v>3412</v>
      </c>
      <c r="D1086" t="s">
        <v>7</v>
      </c>
      <c r="K1086" t="str">
        <f>T("172.510")</f>
        <v>172.510</v>
      </c>
    </row>
    <row r="1087" spans="1:37" x14ac:dyDescent="0.3">
      <c r="A1087" t="s">
        <v>3413</v>
      </c>
      <c r="B1087" t="s">
        <v>3414</v>
      </c>
      <c r="C1087" t="s">
        <v>3415</v>
      </c>
      <c r="K1087" t="str">
        <f>T("172.510")</f>
        <v>172.510</v>
      </c>
    </row>
    <row r="1088" spans="1:37" x14ac:dyDescent="0.3">
      <c r="A1088" t="s">
        <v>3416</v>
      </c>
      <c r="B1088" t="s">
        <v>3417</v>
      </c>
      <c r="C1088" t="s">
        <v>3418</v>
      </c>
      <c r="D1088" t="s">
        <v>7</v>
      </c>
      <c r="K1088" t="str">
        <f>T("172.510")</f>
        <v>172.510</v>
      </c>
    </row>
    <row r="1089" spans="1:37" x14ac:dyDescent="0.3">
      <c r="A1089" t="s">
        <v>3419</v>
      </c>
      <c r="B1089" t="s">
        <v>3420</v>
      </c>
      <c r="C1089" t="s">
        <v>3421</v>
      </c>
      <c r="D1089" t="s">
        <v>15</v>
      </c>
      <c r="K1089" t="str">
        <f>T("172.510")</f>
        <v>172.510</v>
      </c>
      <c r="L1089" t="str">
        <f>T("175.105")</f>
        <v>175.105</v>
      </c>
      <c r="M1089" t="str">
        <f>T("175.300")</f>
        <v>175.300</v>
      </c>
      <c r="AG1089" t="str">
        <f>T("2407")</f>
        <v>2407</v>
      </c>
      <c r="AH1089" t="str">
        <f>T("3")</f>
        <v>3</v>
      </c>
    </row>
    <row r="1090" spans="1:37" x14ac:dyDescent="0.3">
      <c r="A1090" t="s">
        <v>3422</v>
      </c>
      <c r="B1090" t="s">
        <v>3423</v>
      </c>
      <c r="C1090" t="s">
        <v>3424</v>
      </c>
      <c r="D1090" t="s">
        <v>15</v>
      </c>
      <c r="K1090" t="str">
        <f>T("172.510")</f>
        <v>172.510</v>
      </c>
      <c r="AG1090" t="str">
        <f>T("2408")</f>
        <v>2408</v>
      </c>
      <c r="AH1090" t="str">
        <f>T("3")</f>
        <v>3</v>
      </c>
    </row>
    <row r="1091" spans="1:37" x14ac:dyDescent="0.3">
      <c r="A1091" t="s">
        <v>3425</v>
      </c>
      <c r="B1091" t="s">
        <v>3426</v>
      </c>
      <c r="C1091" t="s">
        <v>3427</v>
      </c>
      <c r="K1091" t="str">
        <f>T("184.1287")</f>
        <v>184.1287</v>
      </c>
    </row>
    <row r="1092" spans="1:37" x14ac:dyDescent="0.3">
      <c r="A1092" t="s">
        <v>3428</v>
      </c>
      <c r="B1092" t="s">
        <v>3429</v>
      </c>
      <c r="C1092" t="s">
        <v>3430</v>
      </c>
      <c r="D1092" t="s">
        <v>3431</v>
      </c>
      <c r="AF1092" t="s">
        <v>3432</v>
      </c>
    </row>
    <row r="1093" spans="1:37" x14ac:dyDescent="0.3">
      <c r="A1093" t="s">
        <v>3433</v>
      </c>
      <c r="B1093" t="s">
        <v>3434</v>
      </c>
      <c r="C1093" t="s">
        <v>3435</v>
      </c>
      <c r="D1093" t="s">
        <v>3436</v>
      </c>
    </row>
    <row r="1094" spans="1:37" x14ac:dyDescent="0.3">
      <c r="A1094" t="s">
        <v>3437</v>
      </c>
      <c r="B1094" t="s">
        <v>3438</v>
      </c>
      <c r="C1094" t="s">
        <v>3439</v>
      </c>
      <c r="D1094" t="s">
        <v>199</v>
      </c>
      <c r="K1094" t="str">
        <f>T("173.25")</f>
        <v>173.25</v>
      </c>
    </row>
    <row r="1095" spans="1:37" x14ac:dyDescent="0.3">
      <c r="A1095" t="s">
        <v>3440</v>
      </c>
      <c r="B1095" t="s">
        <v>3441</v>
      </c>
      <c r="C1095" t="s">
        <v>3442</v>
      </c>
      <c r="D1095" t="s">
        <v>7</v>
      </c>
      <c r="AG1095" t="str">
        <f>T("4108")</f>
        <v>4108</v>
      </c>
      <c r="AH1095" t="str">
        <f>T("22")</f>
        <v>22</v>
      </c>
      <c r="AK1095" t="str">
        <f>T("1685")</f>
        <v>1685</v>
      </c>
    </row>
    <row r="1096" spans="1:37" x14ac:dyDescent="0.3">
      <c r="A1096" t="s">
        <v>3443</v>
      </c>
      <c r="B1096" t="s">
        <v>3444</v>
      </c>
      <c r="C1096" t="s">
        <v>3445</v>
      </c>
      <c r="D1096" t="s">
        <v>7</v>
      </c>
      <c r="AG1096" t="str">
        <f>T("4659")</f>
        <v>4659</v>
      </c>
      <c r="AH1096" t="str">
        <f>T("24")</f>
        <v>24</v>
      </c>
      <c r="AK1096" t="str">
        <f>T("2149")</f>
        <v>2149</v>
      </c>
    </row>
    <row r="1097" spans="1:37" x14ac:dyDescent="0.3">
      <c r="A1097" t="s">
        <v>3446</v>
      </c>
      <c r="B1097" t="s">
        <v>3447</v>
      </c>
      <c r="C1097" t="s">
        <v>3448</v>
      </c>
      <c r="D1097" t="s">
        <v>7</v>
      </c>
      <c r="AG1097" t="str">
        <f>T("4037")</f>
        <v>4037</v>
      </c>
      <c r="AH1097" t="str">
        <f>T("21")</f>
        <v>21</v>
      </c>
      <c r="AK1097" t="str">
        <f>T("1570")</f>
        <v>1570</v>
      </c>
    </row>
    <row r="1098" spans="1:37" x14ac:dyDescent="0.3">
      <c r="A1098" t="s">
        <v>3449</v>
      </c>
      <c r="B1098" t="s">
        <v>3450</v>
      </c>
      <c r="C1098" t="s">
        <v>3451</v>
      </c>
      <c r="D1098" t="s">
        <v>7</v>
      </c>
      <c r="AG1098" t="str">
        <f>T("4658")</f>
        <v>4658</v>
      </c>
      <c r="AH1098" t="str">
        <f>T("24")</f>
        <v>24</v>
      </c>
      <c r="AK1098" t="str">
        <f>T("2148")</f>
        <v>2148</v>
      </c>
    </row>
    <row r="1099" spans="1:37" x14ac:dyDescent="0.3">
      <c r="A1099" t="s">
        <v>3452</v>
      </c>
      <c r="B1099" t="s">
        <v>3453</v>
      </c>
      <c r="C1099" t="s">
        <v>3454</v>
      </c>
      <c r="D1099" t="s">
        <v>7</v>
      </c>
      <c r="AG1099" t="str">
        <f>T("4657")</f>
        <v>4657</v>
      </c>
      <c r="AH1099" t="str">
        <f>T("24")</f>
        <v>24</v>
      </c>
      <c r="AK1099" t="str">
        <f>T("2147")</f>
        <v>2147</v>
      </c>
    </row>
    <row r="1100" spans="1:37" x14ac:dyDescent="0.3">
      <c r="A1100" t="s">
        <v>3455</v>
      </c>
      <c r="B1100" t="s">
        <v>3456</v>
      </c>
      <c r="C1100" t="s">
        <v>3457</v>
      </c>
      <c r="D1100" t="s">
        <v>7</v>
      </c>
      <c r="AG1100" t="str">
        <f>T("4109")</f>
        <v>4109</v>
      </c>
      <c r="AH1100" t="str">
        <f>T("22")</f>
        <v>22</v>
      </c>
      <c r="AK1100" t="str">
        <f>T("1573")</f>
        <v>1573</v>
      </c>
    </row>
    <row r="1101" spans="1:37" x14ac:dyDescent="0.3">
      <c r="A1101" t="s">
        <v>3458</v>
      </c>
      <c r="B1101" t="s">
        <v>3459</v>
      </c>
      <c r="C1101" t="s">
        <v>3460</v>
      </c>
      <c r="D1101" t="s">
        <v>7</v>
      </c>
      <c r="AG1101" t="str">
        <f>T("3613")</f>
        <v>3613</v>
      </c>
      <c r="AH1101" t="str">
        <f>T("12")</f>
        <v>12</v>
      </c>
      <c r="AK1101" t="str">
        <f>T("241")</f>
        <v>241</v>
      </c>
    </row>
    <row r="1102" spans="1:37" x14ac:dyDescent="0.3">
      <c r="A1102" t="s">
        <v>3461</v>
      </c>
      <c r="B1102" t="s">
        <v>3462</v>
      </c>
      <c r="C1102" t="s">
        <v>3463</v>
      </c>
      <c r="D1102" t="s">
        <v>7</v>
      </c>
      <c r="K1102" t="str">
        <f>T("172.510")</f>
        <v>172.510</v>
      </c>
      <c r="AG1102" t="str">
        <f>T("2409")</f>
        <v>2409</v>
      </c>
      <c r="AH1102" t="str">
        <f>T("3")</f>
        <v>3</v>
      </c>
    </row>
    <row r="1103" spans="1:37" x14ac:dyDescent="0.3">
      <c r="A1103" t="s">
        <v>3464</v>
      </c>
      <c r="B1103" t="s">
        <v>3465</v>
      </c>
      <c r="C1103" t="s">
        <v>3466</v>
      </c>
      <c r="D1103" t="s">
        <v>7</v>
      </c>
      <c r="AG1103" t="str">
        <f>T("4715")</f>
        <v>4715</v>
      </c>
      <c r="AH1103" t="str">
        <f>T("25")</f>
        <v>25</v>
      </c>
      <c r="AK1103" t="str">
        <f>T("2172")</f>
        <v>2172</v>
      </c>
    </row>
    <row r="1104" spans="1:37" x14ac:dyDescent="0.3">
      <c r="A1104" t="s">
        <v>3467</v>
      </c>
      <c r="B1104" t="s">
        <v>3468</v>
      </c>
      <c r="C1104" t="s">
        <v>3469</v>
      </c>
      <c r="D1104" t="s">
        <v>3470</v>
      </c>
      <c r="K1104" t="str">
        <f>T("175.105")</f>
        <v>175.105</v>
      </c>
      <c r="L1104" t="str">
        <f>T("182.3041")</f>
        <v>182.3041</v>
      </c>
      <c r="AF1104" t="s">
        <v>3471</v>
      </c>
      <c r="AG1104" t="str">
        <f>T("2410")</f>
        <v>2410</v>
      </c>
      <c r="AH1104" t="str">
        <f>T("3")</f>
        <v>3</v>
      </c>
    </row>
    <row r="1105" spans="1:37" x14ac:dyDescent="0.3">
      <c r="A1105" t="s">
        <v>3472</v>
      </c>
      <c r="B1105" t="s">
        <v>3473</v>
      </c>
      <c r="C1105" t="s">
        <v>3474</v>
      </c>
      <c r="D1105" t="s">
        <v>74</v>
      </c>
      <c r="K1105" t="str">
        <f>T("173.140")</f>
        <v>173.140</v>
      </c>
    </row>
    <row r="1106" spans="1:37" x14ac:dyDescent="0.3">
      <c r="A1106" t="s">
        <v>3475</v>
      </c>
      <c r="B1106" t="s">
        <v>3476</v>
      </c>
      <c r="C1106" t="s">
        <v>3477</v>
      </c>
      <c r="D1106" t="s">
        <v>7</v>
      </c>
      <c r="K1106" t="str">
        <f>T("172.515")</f>
        <v>172.515</v>
      </c>
      <c r="AG1106" t="str">
        <f>T("2411")</f>
        <v>2411</v>
      </c>
      <c r="AH1106" t="str">
        <f>T("3")</f>
        <v>3</v>
      </c>
      <c r="AK1106" t="str">
        <f>T("1789")</f>
        <v>1789</v>
      </c>
    </row>
    <row r="1107" spans="1:37" x14ac:dyDescent="0.3">
      <c r="A1107" t="s">
        <v>3478</v>
      </c>
      <c r="B1107" t="s">
        <v>3479</v>
      </c>
      <c r="C1107" t="s">
        <v>3480</v>
      </c>
      <c r="D1107" t="s">
        <v>7</v>
      </c>
      <c r="AG1107" t="str">
        <f>T("4111")</f>
        <v>4111</v>
      </c>
      <c r="AH1107" t="str">
        <f>T("22")</f>
        <v>22</v>
      </c>
      <c r="AK1107" t="str">
        <f>T("1660")</f>
        <v>1660</v>
      </c>
    </row>
    <row r="1108" spans="1:37" x14ac:dyDescent="0.3">
      <c r="A1108" t="s">
        <v>3481</v>
      </c>
      <c r="B1108" t="s">
        <v>3482</v>
      </c>
      <c r="C1108" t="s">
        <v>3483</v>
      </c>
      <c r="D1108" t="s">
        <v>7</v>
      </c>
      <c r="AG1108" t="str">
        <f>T("3484")</f>
        <v>3484</v>
      </c>
      <c r="AH1108" t="str">
        <f>T("10")</f>
        <v>10</v>
      </c>
      <c r="AK1108" t="str">
        <f>T("532")</f>
        <v>532</v>
      </c>
    </row>
    <row r="1109" spans="1:37" x14ac:dyDescent="0.3">
      <c r="A1109" t="s">
        <v>3484</v>
      </c>
      <c r="B1109" t="s">
        <v>3485</v>
      </c>
      <c r="C1109" t="s">
        <v>3486</v>
      </c>
      <c r="K1109" t="str">
        <f>T("173.21")</f>
        <v>173.21</v>
      </c>
    </row>
    <row r="1110" spans="1:37" x14ac:dyDescent="0.3">
      <c r="A1110" t="s">
        <v>3487</v>
      </c>
      <c r="B1110" t="s">
        <v>3488</v>
      </c>
      <c r="C1110" t="s">
        <v>3489</v>
      </c>
      <c r="D1110" t="s">
        <v>7</v>
      </c>
      <c r="AG1110" t="str">
        <f>T("4258")</f>
        <v>4258</v>
      </c>
      <c r="AH1110" t="str">
        <f>T("23")</f>
        <v>23</v>
      </c>
      <c r="AK1110" t="str">
        <f>T("1659")</f>
        <v>1659</v>
      </c>
    </row>
    <row r="1111" spans="1:37" x14ac:dyDescent="0.3">
      <c r="A1111" t="s">
        <v>3490</v>
      </c>
      <c r="B1111" t="s">
        <v>3491</v>
      </c>
      <c r="C1111" t="s">
        <v>3492</v>
      </c>
      <c r="D1111" t="s">
        <v>7</v>
      </c>
      <c r="K1111" t="str">
        <f>T("172.515")</f>
        <v>172.515</v>
      </c>
      <c r="AG1111" t="str">
        <f>T("2413")</f>
        <v>2413</v>
      </c>
      <c r="AH1111" t="str">
        <f>T("3")</f>
        <v>3</v>
      </c>
      <c r="AI1111" t="str">
        <f>T("25")</f>
        <v>25</v>
      </c>
      <c r="AK1111" t="str">
        <f>T("879")</f>
        <v>879</v>
      </c>
    </row>
    <row r="1112" spans="1:37" x14ac:dyDescent="0.3">
      <c r="A1112" t="s">
        <v>3493</v>
      </c>
      <c r="B1112" t="s">
        <v>3494</v>
      </c>
      <c r="D1112" t="s">
        <v>7</v>
      </c>
      <c r="AG1112" t="str">
        <f>T("4309")</f>
        <v>4309</v>
      </c>
      <c r="AH1112" t="str">
        <f>T("23")</f>
        <v>23</v>
      </c>
      <c r="AI1112" t="str">
        <f>T("26")</f>
        <v>26</v>
      </c>
      <c r="AK1112" t="str">
        <f>T("1776")</f>
        <v>1776</v>
      </c>
    </row>
    <row r="1113" spans="1:37" x14ac:dyDescent="0.3">
      <c r="A1113" t="s">
        <v>3495</v>
      </c>
      <c r="B1113" t="s">
        <v>3496</v>
      </c>
      <c r="C1113" t="s">
        <v>3497</v>
      </c>
      <c r="D1113" t="s">
        <v>7</v>
      </c>
      <c r="AG1113" t="str">
        <f>T("4633")</f>
        <v>4633</v>
      </c>
      <c r="AH1113" t="str">
        <f>T("24")</f>
        <v>24</v>
      </c>
      <c r="AK1113" t="str">
        <f>T("2131")</f>
        <v>2131</v>
      </c>
    </row>
    <row r="1114" spans="1:37" x14ac:dyDescent="0.3">
      <c r="A1114" t="s">
        <v>3498</v>
      </c>
      <c r="B1114" t="s">
        <v>3499</v>
      </c>
      <c r="C1114" t="s">
        <v>3500</v>
      </c>
      <c r="D1114" t="s">
        <v>7</v>
      </c>
      <c r="AG1114" t="str">
        <f>T("4632")</f>
        <v>4632</v>
      </c>
      <c r="AH1114" t="str">
        <f>T("24")</f>
        <v>24</v>
      </c>
      <c r="AK1114" t="str">
        <f>T("2129")</f>
        <v>2129</v>
      </c>
    </row>
    <row r="1115" spans="1:37" x14ac:dyDescent="0.3">
      <c r="A1115" t="s">
        <v>3501</v>
      </c>
      <c r="B1115" t="s">
        <v>3502</v>
      </c>
      <c r="C1115" t="s">
        <v>3503</v>
      </c>
      <c r="D1115" t="s">
        <v>7</v>
      </c>
      <c r="AG1115" t="str">
        <f>T("3777")</f>
        <v>3777</v>
      </c>
      <c r="AH1115" t="str">
        <f>T("16")</f>
        <v>16</v>
      </c>
      <c r="AK1115" t="str">
        <f>T("1232")</f>
        <v>1232</v>
      </c>
    </row>
    <row r="1116" spans="1:37" x14ac:dyDescent="0.3">
      <c r="A1116" t="s">
        <v>3504</v>
      </c>
      <c r="B1116" t="s">
        <v>3505</v>
      </c>
      <c r="C1116" t="s">
        <v>3506</v>
      </c>
      <c r="D1116" t="s">
        <v>7</v>
      </c>
      <c r="AG1116" t="str">
        <f>T("3485")</f>
        <v>3485</v>
      </c>
      <c r="AH1116" t="str">
        <f>T("10")</f>
        <v>10</v>
      </c>
      <c r="AK1116" t="str">
        <f>T("714")</f>
        <v>714</v>
      </c>
    </row>
    <row r="1117" spans="1:37" x14ac:dyDescent="0.3">
      <c r="A1117" t="s">
        <v>3507</v>
      </c>
      <c r="B1117" t="s">
        <v>3508</v>
      </c>
      <c r="C1117" t="s">
        <v>3509</v>
      </c>
      <c r="D1117" t="s">
        <v>773</v>
      </c>
      <c r="E1117" t="str">
        <f>T("73.275")</f>
        <v>73.275</v>
      </c>
      <c r="F1117" t="str">
        <f>T("73.295")</f>
        <v>73.295</v>
      </c>
      <c r="K1117" t="str">
        <f>T("172.140")</f>
        <v>172.140</v>
      </c>
      <c r="L1117" t="str">
        <f>T("177.2600")</f>
        <v>177.2600</v>
      </c>
    </row>
    <row r="1118" spans="1:37" x14ac:dyDescent="0.3">
      <c r="A1118" t="s">
        <v>3510</v>
      </c>
      <c r="B1118" t="s">
        <v>3511</v>
      </c>
      <c r="C1118" t="s">
        <v>3512</v>
      </c>
      <c r="D1118" t="s">
        <v>15</v>
      </c>
      <c r="AG1118" t="str">
        <f>T("3340")</f>
        <v>3340</v>
      </c>
      <c r="AH1118" t="str">
        <f>T("6")</f>
        <v>6</v>
      </c>
      <c r="AK1118" t="str">
        <f>T("1056")</f>
        <v>1056</v>
      </c>
    </row>
    <row r="1119" spans="1:37" x14ac:dyDescent="0.3">
      <c r="A1119" t="s">
        <v>3513</v>
      </c>
      <c r="B1119" t="s">
        <v>3514</v>
      </c>
      <c r="C1119" t="s">
        <v>3515</v>
      </c>
      <c r="D1119" t="s">
        <v>7</v>
      </c>
    </row>
    <row r="1120" spans="1:37" x14ac:dyDescent="0.3">
      <c r="A1120" t="s">
        <v>3516</v>
      </c>
      <c r="B1120" t="s">
        <v>3517</v>
      </c>
      <c r="C1120" t="s">
        <v>3518</v>
      </c>
      <c r="D1120" t="s">
        <v>3519</v>
      </c>
      <c r="E1120" t="str">
        <f>T("73.1")</f>
        <v>73.1</v>
      </c>
      <c r="K1120" t="str">
        <f>T("172.560")</f>
        <v>172.560</v>
      </c>
      <c r="L1120" t="str">
        <f>T("172.859")</f>
        <v>172.859</v>
      </c>
      <c r="M1120" t="str">
        <f>T("173.228")</f>
        <v>173.228</v>
      </c>
      <c r="N1120" t="str">
        <f>T("175.320")</f>
        <v>175.320</v>
      </c>
      <c r="O1120" t="str">
        <f>T("177.1200")</f>
        <v>177.1200</v>
      </c>
      <c r="P1120" t="str">
        <f>T("182.60")</f>
        <v>182.60</v>
      </c>
      <c r="AG1120" t="str">
        <f>T("2414")</f>
        <v>2414</v>
      </c>
      <c r="AH1120" t="str">
        <f>T("3")</f>
        <v>3</v>
      </c>
      <c r="AK1120" t="str">
        <f>T("27")</f>
        <v>27</v>
      </c>
    </row>
    <row r="1121" spans="1:37" x14ac:dyDescent="0.3">
      <c r="A1121" t="s">
        <v>3520</v>
      </c>
      <c r="B1121" t="s">
        <v>3521</v>
      </c>
      <c r="C1121" t="s">
        <v>3522</v>
      </c>
      <c r="D1121" t="s">
        <v>7</v>
      </c>
      <c r="K1121" t="str">
        <f>T("172.515")</f>
        <v>172.515</v>
      </c>
      <c r="L1121" t="str">
        <f>T("175.300")</f>
        <v>175.300</v>
      </c>
      <c r="AG1121" t="str">
        <f>T("2415")</f>
        <v>2415</v>
      </c>
      <c r="AH1121" t="str">
        <f>T("3")</f>
        <v>3</v>
      </c>
      <c r="AI1121" t="str">
        <f>T("25")</f>
        <v>25</v>
      </c>
      <c r="AK1121" t="str">
        <f>T("595")</f>
        <v>595</v>
      </c>
    </row>
    <row r="1122" spans="1:37" x14ac:dyDescent="0.3">
      <c r="A1122" t="s">
        <v>3523</v>
      </c>
      <c r="B1122" t="s">
        <v>3524</v>
      </c>
      <c r="C1122" t="s">
        <v>3525</v>
      </c>
      <c r="D1122" t="s">
        <v>7</v>
      </c>
      <c r="AG1122" t="str">
        <f>T("4477")</f>
        <v>4477</v>
      </c>
      <c r="AH1122" t="str">
        <f>T("24")</f>
        <v>24</v>
      </c>
      <c r="AK1122" t="str">
        <f>T("1969")</f>
        <v>1969</v>
      </c>
    </row>
    <row r="1123" spans="1:37" x14ac:dyDescent="0.3">
      <c r="A1123" t="s">
        <v>3526</v>
      </c>
      <c r="B1123" t="s">
        <v>3527</v>
      </c>
      <c r="C1123" t="s">
        <v>3528</v>
      </c>
      <c r="D1123" t="s">
        <v>7</v>
      </c>
      <c r="AG1123" t="str">
        <f>T("4038")</f>
        <v>4038</v>
      </c>
      <c r="AH1123" t="str">
        <f>T("21")</f>
        <v>21</v>
      </c>
      <c r="AK1123" t="str">
        <f>T("1718")</f>
        <v>1718</v>
      </c>
    </row>
    <row r="1124" spans="1:37" x14ac:dyDescent="0.3">
      <c r="A1124" t="s">
        <v>3529</v>
      </c>
      <c r="B1124" t="s">
        <v>3530</v>
      </c>
      <c r="C1124" t="s">
        <v>3531</v>
      </c>
      <c r="D1124" t="s">
        <v>7</v>
      </c>
      <c r="AG1124" t="str">
        <f>T("4443")</f>
        <v>4443</v>
      </c>
      <c r="AH1124" t="str">
        <f>T("24")</f>
        <v>24</v>
      </c>
      <c r="AK1124" t="str">
        <f>T("1959")</f>
        <v>1959</v>
      </c>
    </row>
    <row r="1125" spans="1:37" x14ac:dyDescent="0.3">
      <c r="A1125" t="s">
        <v>3532</v>
      </c>
      <c r="B1125" t="s">
        <v>3533</v>
      </c>
      <c r="C1125" t="s">
        <v>3534</v>
      </c>
      <c r="D1125" t="s">
        <v>7</v>
      </c>
      <c r="AG1125" t="str">
        <f>T("4039")</f>
        <v>4039</v>
      </c>
      <c r="AH1125" t="str">
        <f>T("21")</f>
        <v>21</v>
      </c>
      <c r="AK1125" t="str">
        <f>T("1680")</f>
        <v>1680</v>
      </c>
    </row>
    <row r="1126" spans="1:37" x14ac:dyDescent="0.3">
      <c r="A1126" t="s">
        <v>3535</v>
      </c>
      <c r="B1126" t="s">
        <v>3536</v>
      </c>
      <c r="C1126" t="s">
        <v>3537</v>
      </c>
      <c r="D1126" t="s">
        <v>7</v>
      </c>
      <c r="AG1126" t="str">
        <f>T("4597")</f>
        <v>4597</v>
      </c>
      <c r="AH1126" t="str">
        <f>T("24")</f>
        <v>24</v>
      </c>
    </row>
    <row r="1127" spans="1:37" x14ac:dyDescent="0.3">
      <c r="A1127" t="s">
        <v>3538</v>
      </c>
      <c r="B1127" t="s">
        <v>3539</v>
      </c>
      <c r="C1127" t="s">
        <v>3540</v>
      </c>
      <c r="D1127" t="s">
        <v>7</v>
      </c>
      <c r="AG1127" t="str">
        <f>T("4452")</f>
        <v>4452</v>
      </c>
      <c r="AH1127" t="str">
        <f>T("24")</f>
        <v>24</v>
      </c>
      <c r="AK1127" t="str">
        <f>T("1953")</f>
        <v>1953</v>
      </c>
    </row>
    <row r="1128" spans="1:37" x14ac:dyDescent="0.3">
      <c r="A1128" t="s">
        <v>3541</v>
      </c>
      <c r="B1128" t="s">
        <v>3542</v>
      </c>
      <c r="C1128" t="s">
        <v>3543</v>
      </c>
      <c r="D1128" t="s">
        <v>7</v>
      </c>
      <c r="AG1128" t="str">
        <f>T("4459")</f>
        <v>4459</v>
      </c>
      <c r="AH1128" t="str">
        <f>T("24")</f>
        <v>24</v>
      </c>
      <c r="AK1128" t="str">
        <f>T("1958")</f>
        <v>1958</v>
      </c>
    </row>
    <row r="1129" spans="1:37" x14ac:dyDescent="0.3">
      <c r="A1129" t="s">
        <v>3544</v>
      </c>
      <c r="B1129" t="s">
        <v>3545</v>
      </c>
      <c r="C1129" t="s">
        <v>3546</v>
      </c>
      <c r="D1129" t="s">
        <v>7</v>
      </c>
      <c r="K1129" t="str">
        <f>T("172.515")</f>
        <v>172.515</v>
      </c>
      <c r="AG1129" t="str">
        <f>T("2416")</f>
        <v>2416</v>
      </c>
      <c r="AH1129" t="str">
        <f>T("3")</f>
        <v>3</v>
      </c>
      <c r="AK1129" t="str">
        <f>T("835")</f>
        <v>835</v>
      </c>
    </row>
    <row r="1130" spans="1:37" x14ac:dyDescent="0.3">
      <c r="A1130" t="s">
        <v>3547</v>
      </c>
      <c r="B1130" t="s">
        <v>3548</v>
      </c>
      <c r="C1130" t="s">
        <v>3549</v>
      </c>
      <c r="D1130" t="s">
        <v>7</v>
      </c>
      <c r="AG1130" t="str">
        <f>T("3147")</f>
        <v>3147</v>
      </c>
      <c r="AH1130" t="str">
        <f>T("4")</f>
        <v>4</v>
      </c>
      <c r="AK1130" t="str">
        <f>T("1305")</f>
        <v>1305</v>
      </c>
    </row>
    <row r="1131" spans="1:37" x14ac:dyDescent="0.3">
      <c r="A1131" t="s">
        <v>3550</v>
      </c>
      <c r="B1131" t="s">
        <v>3551</v>
      </c>
      <c r="C1131" t="s">
        <v>3552</v>
      </c>
      <c r="D1131" t="s">
        <v>7</v>
      </c>
      <c r="AG1131" t="str">
        <f>T("3974")</f>
        <v>3974</v>
      </c>
      <c r="AH1131" t="str">
        <f>T("20")</f>
        <v>20</v>
      </c>
      <c r="AK1131" t="str">
        <f>T("1295")</f>
        <v>1295</v>
      </c>
    </row>
    <row r="1132" spans="1:37" x14ac:dyDescent="0.3">
      <c r="A1132" t="s">
        <v>3553</v>
      </c>
      <c r="B1132" t="s">
        <v>3554</v>
      </c>
      <c r="C1132" t="s">
        <v>3555</v>
      </c>
      <c r="D1132" t="s">
        <v>7</v>
      </c>
      <c r="K1132" t="str">
        <f>T("172.515")</f>
        <v>172.515</v>
      </c>
      <c r="AG1132" t="str">
        <f>T("2417")</f>
        <v>2417</v>
      </c>
      <c r="AH1132" t="str">
        <f>T("3")</f>
        <v>3</v>
      </c>
      <c r="AK1132" t="str">
        <f>T("628")</f>
        <v>628</v>
      </c>
    </row>
    <row r="1133" spans="1:37" x14ac:dyDescent="0.3">
      <c r="A1133" t="s">
        <v>3556</v>
      </c>
      <c r="B1133" t="s">
        <v>3557</v>
      </c>
      <c r="C1133" t="s">
        <v>3558</v>
      </c>
      <c r="D1133" t="s">
        <v>3559</v>
      </c>
      <c r="E1133" t="str">
        <f>T("73.30")</f>
        <v>73.30</v>
      </c>
      <c r="F1133" t="str">
        <f>T("73.345")</f>
        <v>73.345</v>
      </c>
      <c r="G1133" t="str">
        <f>T("73.615")</f>
        <v>73.615</v>
      </c>
      <c r="K1133" t="str">
        <f>T("172.340")</f>
        <v>172.340</v>
      </c>
      <c r="L1133" t="str">
        <f>T("172.560")</f>
        <v>172.560</v>
      </c>
      <c r="M1133" t="str">
        <f>T("172.580")</f>
        <v>172.580</v>
      </c>
      <c r="N1133" t="str">
        <f>T("175.105")</f>
        <v>175.105</v>
      </c>
      <c r="O1133" t="str">
        <f>T("176.180")</f>
        <v>176.180</v>
      </c>
      <c r="P1133" t="str">
        <f>T("176.200")</f>
        <v>176.200</v>
      </c>
      <c r="Q1133" t="str">
        <f>T("177.1200")</f>
        <v>177.1200</v>
      </c>
      <c r="R1133" t="str">
        <f>T("177.1650")</f>
        <v>177.1650</v>
      </c>
      <c r="S1133" t="str">
        <f>T("178.1010")</f>
        <v>178.1010</v>
      </c>
      <c r="T1133" t="str">
        <f>T("184.1293")</f>
        <v>184.1293</v>
      </c>
      <c r="AF1133" t="s">
        <v>3560</v>
      </c>
      <c r="AG1133" t="str">
        <f>T("2419")</f>
        <v>2419</v>
      </c>
      <c r="AH1133" t="str">
        <f>T("3")</f>
        <v>3</v>
      </c>
      <c r="AK1133" t="str">
        <f>T("41")</f>
        <v>41</v>
      </c>
    </row>
    <row r="1134" spans="1:37" x14ac:dyDescent="0.3">
      <c r="A1134" t="s">
        <v>3561</v>
      </c>
      <c r="B1134" t="s">
        <v>3562</v>
      </c>
      <c r="C1134" t="s">
        <v>3563</v>
      </c>
      <c r="D1134" t="s">
        <v>7</v>
      </c>
      <c r="AG1134" t="str">
        <f>T("4236")</f>
        <v>4236</v>
      </c>
      <c r="AH1134" t="str">
        <f>T("22")</f>
        <v>22</v>
      </c>
      <c r="AK1134" t="str">
        <f>T("1579")</f>
        <v>1579</v>
      </c>
    </row>
    <row r="1135" spans="1:37" x14ac:dyDescent="0.3">
      <c r="A1135" t="s">
        <v>3564</v>
      </c>
      <c r="B1135" t="s">
        <v>3565</v>
      </c>
      <c r="C1135" t="s">
        <v>3566</v>
      </c>
      <c r="D1135" t="s">
        <v>7</v>
      </c>
      <c r="K1135" t="str">
        <f>T("172.515")</f>
        <v>172.515</v>
      </c>
      <c r="AG1135" t="str">
        <f>T("2420")</f>
        <v>2420</v>
      </c>
      <c r="AH1135" t="str">
        <f>T("3")</f>
        <v>3</v>
      </c>
      <c r="AI1135" t="str">
        <f>T("25")</f>
        <v>25</v>
      </c>
      <c r="AK1135" t="str">
        <f>T("885")</f>
        <v>885</v>
      </c>
    </row>
    <row r="1136" spans="1:37" x14ac:dyDescent="0.3">
      <c r="A1136" t="s">
        <v>3567</v>
      </c>
      <c r="B1136" t="s">
        <v>3568</v>
      </c>
      <c r="C1136" t="s">
        <v>3569</v>
      </c>
      <c r="D1136" t="s">
        <v>7</v>
      </c>
      <c r="K1136" t="str">
        <f>T("172.515")</f>
        <v>172.515</v>
      </c>
      <c r="AG1136" t="str">
        <f>T("2421")</f>
        <v>2421</v>
      </c>
      <c r="AH1136" t="str">
        <f>T("3")</f>
        <v>3</v>
      </c>
      <c r="AK1136" t="str">
        <f>T("1535")</f>
        <v>1535</v>
      </c>
    </row>
    <row r="1137" spans="1:37" x14ac:dyDescent="0.3">
      <c r="A1137" t="s">
        <v>3570</v>
      </c>
      <c r="B1137" t="s">
        <v>3571</v>
      </c>
      <c r="C1137" t="s">
        <v>3572</v>
      </c>
      <c r="D1137" t="s">
        <v>7</v>
      </c>
      <c r="AG1137" t="str">
        <f>T("3756")</f>
        <v>3756</v>
      </c>
      <c r="AH1137" t="str">
        <f>T("15")</f>
        <v>15</v>
      </c>
      <c r="AK1137" t="str">
        <f>T("865")</f>
        <v>865</v>
      </c>
    </row>
    <row r="1138" spans="1:37" x14ac:dyDescent="0.3">
      <c r="A1138" t="s">
        <v>3573</v>
      </c>
      <c r="B1138" t="s">
        <v>3574</v>
      </c>
      <c r="C1138" t="s">
        <v>3575</v>
      </c>
      <c r="D1138" t="s">
        <v>7</v>
      </c>
      <c r="K1138" t="str">
        <f>T("172.515")</f>
        <v>172.515</v>
      </c>
      <c r="AG1138" t="str">
        <f>T("2422")</f>
        <v>2422</v>
      </c>
      <c r="AH1138" t="str">
        <f>T("3")</f>
        <v>3</v>
      </c>
      <c r="AK1138" t="str">
        <f>T("852")</f>
        <v>852</v>
      </c>
    </row>
    <row r="1139" spans="1:37" x14ac:dyDescent="0.3">
      <c r="A1139" t="s">
        <v>3576</v>
      </c>
      <c r="B1139" t="s">
        <v>3577</v>
      </c>
      <c r="C1139" t="s">
        <v>3578</v>
      </c>
      <c r="D1139" t="s">
        <v>7</v>
      </c>
      <c r="K1139" t="str">
        <f>T("172.515")</f>
        <v>172.515</v>
      </c>
      <c r="AG1139" t="str">
        <f>T("2423")</f>
        <v>2423</v>
      </c>
      <c r="AH1139" t="str">
        <f>T("3")</f>
        <v>3</v>
      </c>
      <c r="AI1139" t="str">
        <f>T("25")</f>
        <v>25</v>
      </c>
      <c r="AK1139" t="str">
        <f>T("834")</f>
        <v>834</v>
      </c>
    </row>
    <row r="1140" spans="1:37" x14ac:dyDescent="0.3">
      <c r="A1140" t="s">
        <v>3579</v>
      </c>
      <c r="B1140" t="s">
        <v>3580</v>
      </c>
      <c r="C1140" t="s">
        <v>3581</v>
      </c>
      <c r="D1140" t="s">
        <v>7</v>
      </c>
      <c r="K1140" t="str">
        <f>T("172.515")</f>
        <v>172.515</v>
      </c>
      <c r="AG1140" t="str">
        <f>T("3543")</f>
        <v>3543</v>
      </c>
      <c r="AH1140" t="str">
        <f>T("11")</f>
        <v>11</v>
      </c>
      <c r="AK1140" t="str">
        <f>T("626")</f>
        <v>626</v>
      </c>
    </row>
    <row r="1141" spans="1:37" x14ac:dyDescent="0.3">
      <c r="A1141" t="s">
        <v>3582</v>
      </c>
      <c r="B1141" t="s">
        <v>3583</v>
      </c>
      <c r="C1141" t="s">
        <v>3584</v>
      </c>
      <c r="D1141" t="s">
        <v>7</v>
      </c>
      <c r="K1141" t="str">
        <f>T("172.515")</f>
        <v>172.515</v>
      </c>
      <c r="AG1141" t="str">
        <f>T("2425")</f>
        <v>2425</v>
      </c>
      <c r="AH1141" t="str">
        <f>T("3")</f>
        <v>3</v>
      </c>
      <c r="AK1141" t="str">
        <f>T("140")</f>
        <v>140</v>
      </c>
    </row>
    <row r="1142" spans="1:37" x14ac:dyDescent="0.3">
      <c r="A1142" t="s">
        <v>3585</v>
      </c>
      <c r="B1142" t="s">
        <v>3586</v>
      </c>
      <c r="C1142" t="s">
        <v>3587</v>
      </c>
      <c r="D1142" t="s">
        <v>7</v>
      </c>
      <c r="K1142" t="str">
        <f>T("172.515")</f>
        <v>172.515</v>
      </c>
      <c r="AG1142" t="str">
        <f>T("2426")</f>
        <v>2426</v>
      </c>
      <c r="AH1142" t="str">
        <f>T("3")</f>
        <v>3</v>
      </c>
      <c r="AI1142" t="str">
        <f>T("25")</f>
        <v>25</v>
      </c>
      <c r="AK1142" t="str">
        <f>T("256")</f>
        <v>256</v>
      </c>
    </row>
    <row r="1143" spans="1:37" x14ac:dyDescent="0.3">
      <c r="A1143" t="s">
        <v>3588</v>
      </c>
      <c r="B1143" t="s">
        <v>3589</v>
      </c>
      <c r="C1143" t="s">
        <v>3590</v>
      </c>
      <c r="D1143" t="s">
        <v>7</v>
      </c>
      <c r="K1143" t="str">
        <f>T("182.60")</f>
        <v>182.60</v>
      </c>
      <c r="AG1143" t="str">
        <f>T("2427")</f>
        <v>2427</v>
      </c>
      <c r="AH1143" t="str">
        <f>T("3")</f>
        <v>3</v>
      </c>
      <c r="AK1143" t="str">
        <f>T("29")</f>
        <v>29</v>
      </c>
    </row>
    <row r="1144" spans="1:37" x14ac:dyDescent="0.3">
      <c r="A1144" t="s">
        <v>3591</v>
      </c>
      <c r="B1144" t="s">
        <v>3592</v>
      </c>
      <c r="C1144" t="s">
        <v>3593</v>
      </c>
      <c r="D1144" t="s">
        <v>7</v>
      </c>
      <c r="K1144" t="str">
        <f>T("172.515")</f>
        <v>172.515</v>
      </c>
      <c r="AG1144" t="str">
        <f>T("2429")</f>
        <v>2429</v>
      </c>
      <c r="AH1144" t="str">
        <f>T("3")</f>
        <v>3</v>
      </c>
      <c r="AI1144" t="str">
        <f>T("25")</f>
        <v>25</v>
      </c>
      <c r="AK1144" t="str">
        <f>T("257")</f>
        <v>257</v>
      </c>
    </row>
    <row r="1145" spans="1:37" x14ac:dyDescent="0.3">
      <c r="A1145" t="s">
        <v>3594</v>
      </c>
      <c r="B1145" t="s">
        <v>3595</v>
      </c>
      <c r="C1145" t="s">
        <v>3596</v>
      </c>
      <c r="D1145" t="s">
        <v>3597</v>
      </c>
      <c r="E1145" t="str">
        <f>T("73.1")</f>
        <v>73.1</v>
      </c>
      <c r="K1145" t="str">
        <f>T("172.868")</f>
        <v>172.868</v>
      </c>
      <c r="L1145" t="str">
        <f>T("175.300")</f>
        <v>175.300</v>
      </c>
      <c r="M1145" t="str">
        <f>T("182.90")</f>
        <v>182.90</v>
      </c>
    </row>
    <row r="1146" spans="1:37" x14ac:dyDescent="0.3">
      <c r="A1146" t="s">
        <v>3598</v>
      </c>
      <c r="B1146" t="s">
        <v>3599</v>
      </c>
      <c r="C1146" t="s">
        <v>3600</v>
      </c>
      <c r="D1146" t="s">
        <v>7</v>
      </c>
      <c r="K1146" t="str">
        <f>T("172.515")</f>
        <v>172.515</v>
      </c>
      <c r="AG1146" t="str">
        <f>T("2430")</f>
        <v>2430</v>
      </c>
      <c r="AH1146" t="str">
        <f>T("3")</f>
        <v>3</v>
      </c>
      <c r="AK1146" t="str">
        <f>T("659")</f>
        <v>659</v>
      </c>
    </row>
    <row r="1147" spans="1:37" x14ac:dyDescent="0.3">
      <c r="A1147" t="s">
        <v>3601</v>
      </c>
      <c r="B1147" t="s">
        <v>3602</v>
      </c>
      <c r="C1147" t="s">
        <v>3603</v>
      </c>
      <c r="D1147" t="s">
        <v>7</v>
      </c>
      <c r="K1147" t="str">
        <f>T("172.515")</f>
        <v>172.515</v>
      </c>
      <c r="AG1147" t="str">
        <f>T("3486")</f>
        <v>3486</v>
      </c>
      <c r="AH1147" t="str">
        <f>T("10")</f>
        <v>10</v>
      </c>
      <c r="AI1147" t="str">
        <f>T("25")</f>
        <v>25</v>
      </c>
      <c r="AK1147" t="str">
        <f>T("1806")</f>
        <v>1806</v>
      </c>
    </row>
    <row r="1148" spans="1:37" x14ac:dyDescent="0.3">
      <c r="A1148" t="s">
        <v>3604</v>
      </c>
      <c r="B1148" t="s">
        <v>3605</v>
      </c>
      <c r="C1148" t="s">
        <v>3606</v>
      </c>
      <c r="D1148" t="s">
        <v>7</v>
      </c>
      <c r="AG1148" t="str">
        <f>T("3544")</f>
        <v>3544</v>
      </c>
      <c r="AH1148" t="str">
        <f>T("11")</f>
        <v>11</v>
      </c>
      <c r="AK1148" t="str">
        <f>T("963")</f>
        <v>963</v>
      </c>
    </row>
    <row r="1149" spans="1:37" x14ac:dyDescent="0.3">
      <c r="A1149" t="s">
        <v>3607</v>
      </c>
      <c r="B1149" t="s">
        <v>3608</v>
      </c>
      <c r="C1149" t="s">
        <v>3609</v>
      </c>
      <c r="D1149" t="s">
        <v>7</v>
      </c>
      <c r="K1149" t="str">
        <f>T("172.515")</f>
        <v>172.515</v>
      </c>
      <c r="AG1149" t="str">
        <f>T("2431")</f>
        <v>2431</v>
      </c>
      <c r="AH1149" t="str">
        <f>T("3")</f>
        <v>3</v>
      </c>
      <c r="AI1149" t="str">
        <f>T("25")</f>
        <v>25</v>
      </c>
      <c r="AK1149" t="str">
        <f>T("966")</f>
        <v>966</v>
      </c>
    </row>
    <row r="1150" spans="1:37" x14ac:dyDescent="0.3">
      <c r="A1150" t="s">
        <v>3610</v>
      </c>
      <c r="B1150" t="s">
        <v>3611</v>
      </c>
      <c r="C1150" t="s">
        <v>3612</v>
      </c>
      <c r="D1150" t="s">
        <v>7</v>
      </c>
      <c r="AG1150" t="str">
        <f>T("3148")</f>
        <v>3148</v>
      </c>
      <c r="AH1150" t="str">
        <f>T("4")</f>
        <v>4</v>
      </c>
      <c r="AI1150" t="str">
        <f>T("25")</f>
        <v>25</v>
      </c>
      <c r="AK1150" t="str">
        <f>T("1192")</f>
        <v>1192</v>
      </c>
    </row>
    <row r="1151" spans="1:37" x14ac:dyDescent="0.3">
      <c r="A1151" t="s">
        <v>3613</v>
      </c>
      <c r="B1151" t="s">
        <v>3614</v>
      </c>
      <c r="C1151" t="s">
        <v>3615</v>
      </c>
      <c r="D1151" t="s">
        <v>7</v>
      </c>
      <c r="K1151" t="str">
        <f>T("172.515")</f>
        <v>172.515</v>
      </c>
      <c r="AG1151" t="str">
        <f>T("2432")</f>
        <v>2432</v>
      </c>
      <c r="AH1151" t="str">
        <f>T("3")</f>
        <v>3</v>
      </c>
      <c r="AI1151" t="str">
        <f>T("25")</f>
        <v>25</v>
      </c>
      <c r="AK1151" t="str">
        <f>T("35")</f>
        <v>35</v>
      </c>
    </row>
    <row r="1152" spans="1:37" x14ac:dyDescent="0.3">
      <c r="A1152" t="s">
        <v>3616</v>
      </c>
      <c r="B1152" t="s">
        <v>3617</v>
      </c>
      <c r="C1152" t="s">
        <v>3618</v>
      </c>
      <c r="D1152" t="s">
        <v>7</v>
      </c>
      <c r="AG1152" t="str">
        <f>T("3832")</f>
        <v>3832</v>
      </c>
      <c r="AH1152" t="str">
        <f>T("18")</f>
        <v>18</v>
      </c>
      <c r="AK1152" t="str">
        <f>T("1193")</f>
        <v>1193</v>
      </c>
    </row>
    <row r="1153" spans="1:37" x14ac:dyDescent="0.3">
      <c r="A1153" t="s">
        <v>3619</v>
      </c>
      <c r="B1153" t="s">
        <v>3620</v>
      </c>
      <c r="C1153" t="s">
        <v>3621</v>
      </c>
      <c r="D1153" t="s">
        <v>7</v>
      </c>
      <c r="AG1153" t="str">
        <f>T("3641")</f>
        <v>3641</v>
      </c>
      <c r="AH1153" t="str">
        <f>T("12")</f>
        <v>12</v>
      </c>
      <c r="AI1153" t="str">
        <f>T("25")</f>
        <v>25</v>
      </c>
      <c r="AK1153" t="str">
        <f>T("1814")</f>
        <v>1814</v>
      </c>
    </row>
    <row r="1154" spans="1:37" x14ac:dyDescent="0.3">
      <c r="A1154" t="s">
        <v>3622</v>
      </c>
      <c r="B1154" t="s">
        <v>3623</v>
      </c>
      <c r="C1154" t="s">
        <v>3624</v>
      </c>
      <c r="D1154" t="s">
        <v>7</v>
      </c>
      <c r="AG1154" t="str">
        <f>T("3642")</f>
        <v>3642</v>
      </c>
      <c r="AH1154" t="str">
        <f>T("12")</f>
        <v>12</v>
      </c>
      <c r="AK1154" t="str">
        <f>T("341")</f>
        <v>341</v>
      </c>
    </row>
    <row r="1155" spans="1:37" x14ac:dyDescent="0.3">
      <c r="A1155" t="s">
        <v>3625</v>
      </c>
      <c r="B1155" t="s">
        <v>3626</v>
      </c>
      <c r="C1155" t="s">
        <v>3627</v>
      </c>
      <c r="D1155" t="s">
        <v>7</v>
      </c>
      <c r="AG1155" t="str">
        <f>T("4546")</f>
        <v>4546</v>
      </c>
      <c r="AH1155" t="str">
        <f>T("24")</f>
        <v>24</v>
      </c>
    </row>
    <row r="1156" spans="1:37" x14ac:dyDescent="0.3">
      <c r="A1156" t="s">
        <v>3628</v>
      </c>
      <c r="B1156" t="s">
        <v>3629</v>
      </c>
      <c r="C1156" t="s">
        <v>3630</v>
      </c>
      <c r="D1156" t="s">
        <v>7</v>
      </c>
      <c r="AG1156" t="str">
        <f>T("4695")</f>
        <v>4695</v>
      </c>
      <c r="AH1156" t="str">
        <f>T("25")</f>
        <v>25</v>
      </c>
      <c r="AK1156" t="str">
        <f>T("2114")</f>
        <v>2114</v>
      </c>
    </row>
    <row r="1157" spans="1:37" x14ac:dyDescent="0.3">
      <c r="A1157" t="s">
        <v>3631</v>
      </c>
      <c r="B1157" t="s">
        <v>3632</v>
      </c>
      <c r="C1157" t="s">
        <v>3633</v>
      </c>
      <c r="D1157" t="s">
        <v>7</v>
      </c>
      <c r="AG1157" t="str">
        <f>T("3671")</f>
        <v>3671</v>
      </c>
      <c r="AH1157" t="str">
        <f>T("13")</f>
        <v>13</v>
      </c>
      <c r="AK1157" t="str">
        <f>T("723")</f>
        <v>723</v>
      </c>
    </row>
    <row r="1158" spans="1:37" x14ac:dyDescent="0.3">
      <c r="A1158" t="s">
        <v>3634</v>
      </c>
      <c r="B1158" t="s">
        <v>3635</v>
      </c>
      <c r="C1158" t="s">
        <v>3636</v>
      </c>
      <c r="D1158" t="s">
        <v>7</v>
      </c>
      <c r="AG1158" t="str">
        <f>T("4667")</f>
        <v>4667</v>
      </c>
      <c r="AH1158" t="str">
        <f>T("25")</f>
        <v>25</v>
      </c>
      <c r="AK1158" t="s">
        <v>3637</v>
      </c>
    </row>
    <row r="1159" spans="1:37" x14ac:dyDescent="0.3">
      <c r="A1159" t="s">
        <v>3638</v>
      </c>
      <c r="B1159" t="s">
        <v>3639</v>
      </c>
      <c r="C1159" t="s">
        <v>3640</v>
      </c>
      <c r="D1159" t="s">
        <v>7</v>
      </c>
      <c r="AG1159" t="str">
        <f>T("3672")</f>
        <v>3672</v>
      </c>
      <c r="AH1159" t="str">
        <f>T("13")</f>
        <v>13</v>
      </c>
      <c r="AK1159" t="str">
        <f>T("1555")</f>
        <v>1555</v>
      </c>
    </row>
    <row r="1160" spans="1:37" x14ac:dyDescent="0.3">
      <c r="A1160" t="s">
        <v>3641</v>
      </c>
      <c r="B1160" t="s">
        <v>3642</v>
      </c>
      <c r="C1160" t="s">
        <v>3643</v>
      </c>
      <c r="D1160" t="s">
        <v>7</v>
      </c>
      <c r="AG1160" t="str">
        <f>T("3150")</f>
        <v>3150</v>
      </c>
      <c r="AH1160" t="str">
        <f>T("4")</f>
        <v>4</v>
      </c>
      <c r="AK1160" t="str">
        <f>T("776")</f>
        <v>776</v>
      </c>
    </row>
    <row r="1161" spans="1:37" x14ac:dyDescent="0.3">
      <c r="A1161" t="s">
        <v>3644</v>
      </c>
      <c r="B1161" t="s">
        <v>3645</v>
      </c>
      <c r="C1161" t="s">
        <v>3646</v>
      </c>
      <c r="D1161" t="s">
        <v>7</v>
      </c>
      <c r="AG1161" t="str">
        <f>T("4434")</f>
        <v>4434</v>
      </c>
      <c r="AH1161" t="str">
        <f>T("24")</f>
        <v>24</v>
      </c>
      <c r="AK1161" t="str">
        <f>T("2126")</f>
        <v>2126</v>
      </c>
    </row>
    <row r="1162" spans="1:37" x14ac:dyDescent="0.3">
      <c r="A1162" t="s">
        <v>3647</v>
      </c>
      <c r="B1162" t="s">
        <v>3648</v>
      </c>
      <c r="C1162" t="s">
        <v>3649</v>
      </c>
      <c r="D1162" t="s">
        <v>7</v>
      </c>
      <c r="AG1162" t="str">
        <f>T("3278")</f>
        <v>3278</v>
      </c>
      <c r="AH1162" t="str">
        <f>T("5")</f>
        <v>5</v>
      </c>
      <c r="AK1162" t="str">
        <f>T("603")</f>
        <v>603</v>
      </c>
    </row>
    <row r="1163" spans="1:37" x14ac:dyDescent="0.3">
      <c r="A1163" t="s">
        <v>3650</v>
      </c>
      <c r="B1163" t="s">
        <v>3651</v>
      </c>
      <c r="C1163" t="s">
        <v>3652</v>
      </c>
      <c r="D1163" t="s">
        <v>3653</v>
      </c>
      <c r="K1163" t="str">
        <f>T("173.320")</f>
        <v>173.320</v>
      </c>
      <c r="L1163" t="str">
        <f>T("175.105")</f>
        <v>175.105</v>
      </c>
      <c r="M1163" t="str">
        <f>T("175.300")</f>
        <v>175.300</v>
      </c>
      <c r="N1163" t="str">
        <f>T("175.320")</f>
        <v>175.320</v>
      </c>
      <c r="O1163" t="str">
        <f>T("176.180")</f>
        <v>176.180</v>
      </c>
      <c r="P1163" t="str">
        <f>T("178.1010")</f>
        <v>178.1010</v>
      </c>
      <c r="Q1163" t="str">
        <f>T("178.3120")</f>
        <v>178.3120</v>
      </c>
      <c r="R1163" t="str">
        <f>T("181.30")</f>
        <v>181.30</v>
      </c>
    </row>
    <row r="1164" spans="1:37" x14ac:dyDescent="0.3">
      <c r="A1164" t="s">
        <v>3654</v>
      </c>
      <c r="B1164" t="s">
        <v>3655</v>
      </c>
      <c r="C1164" t="s">
        <v>3656</v>
      </c>
      <c r="D1164" t="s">
        <v>7</v>
      </c>
      <c r="AG1164" t="str">
        <f>T("4520")</f>
        <v>4520</v>
      </c>
      <c r="AH1164" t="str">
        <f>T("24")</f>
        <v>24</v>
      </c>
    </row>
    <row r="1165" spans="1:37" x14ac:dyDescent="0.3">
      <c r="A1165" t="s">
        <v>3657</v>
      </c>
      <c r="B1165" t="s">
        <v>3658</v>
      </c>
      <c r="C1165" t="s">
        <v>3659</v>
      </c>
      <c r="D1165" t="s">
        <v>3660</v>
      </c>
      <c r="E1165" t="str">
        <f>T("73.30")</f>
        <v>73.30</v>
      </c>
      <c r="F1165" t="str">
        <f>T("73.345")</f>
        <v>73.345</v>
      </c>
      <c r="G1165" t="str">
        <f>T("73.615")</f>
        <v>73.615</v>
      </c>
      <c r="K1165" t="str">
        <f>T("172.385")</f>
        <v>172.385</v>
      </c>
      <c r="L1165" t="str">
        <f>T("172.560")</f>
        <v>172.560</v>
      </c>
      <c r="M1165" t="str">
        <f>T("172.710")</f>
        <v>172.710</v>
      </c>
      <c r="N1165" t="str">
        <f>T("173.230")</f>
        <v>173.230</v>
      </c>
      <c r="O1165" t="str">
        <f>T("173.315")</f>
        <v>173.315</v>
      </c>
      <c r="P1165" t="str">
        <f>T("175.105")</f>
        <v>175.105</v>
      </c>
      <c r="Q1165" t="str">
        <f>T("176.170")</f>
        <v>176.170</v>
      </c>
      <c r="R1165" t="str">
        <f>T("177.1580")</f>
        <v>177.1580</v>
      </c>
      <c r="S1165" t="str">
        <f>T("177.1585")</f>
        <v>177.1585</v>
      </c>
      <c r="T1165" t="str">
        <f>T("177.2550")</f>
        <v>177.2550</v>
      </c>
    </row>
    <row r="1166" spans="1:37" x14ac:dyDescent="0.3">
      <c r="A1166" t="s">
        <v>3661</v>
      </c>
      <c r="B1166" t="s">
        <v>3662</v>
      </c>
      <c r="C1166" t="s">
        <v>3663</v>
      </c>
      <c r="E1166" t="str">
        <f>T("73.1")</f>
        <v>73.1</v>
      </c>
    </row>
    <row r="1167" spans="1:37" x14ac:dyDescent="0.3">
      <c r="A1167" t="s">
        <v>3664</v>
      </c>
      <c r="B1167" t="s">
        <v>3665</v>
      </c>
      <c r="C1167" t="s">
        <v>3666</v>
      </c>
      <c r="D1167" t="s">
        <v>3667</v>
      </c>
      <c r="K1167" t="str">
        <f>T("173.315")</f>
        <v>173.315</v>
      </c>
      <c r="L1167" t="str">
        <f>T("175.105")</f>
        <v>175.105</v>
      </c>
      <c r="M1167" t="str">
        <f>T("176.210")</f>
        <v>176.210</v>
      </c>
      <c r="N1167" t="str">
        <f>T("177.1650")</f>
        <v>177.1650</v>
      </c>
      <c r="O1167" t="str">
        <f>T("178.1010")</f>
        <v>178.1010</v>
      </c>
    </row>
    <row r="1168" spans="1:37" x14ac:dyDescent="0.3">
      <c r="A1168" t="s">
        <v>3668</v>
      </c>
      <c r="B1168" t="s">
        <v>3669</v>
      </c>
      <c r="C1168" t="s">
        <v>3670</v>
      </c>
      <c r="D1168" t="s">
        <v>3671</v>
      </c>
      <c r="E1168" t="str">
        <f>T("73.1")</f>
        <v>73.1</v>
      </c>
      <c r="K1168" t="str">
        <f>T("175.105")</f>
        <v>175.105</v>
      </c>
      <c r="L1168" t="str">
        <f>T("177.2600")</f>
        <v>177.2600</v>
      </c>
    </row>
    <row r="1169" spans="1:37" x14ac:dyDescent="0.3">
      <c r="A1169" t="s">
        <v>3672</v>
      </c>
      <c r="B1169" t="s">
        <v>3673</v>
      </c>
      <c r="C1169" t="s">
        <v>3674</v>
      </c>
      <c r="D1169" t="s">
        <v>7</v>
      </c>
      <c r="AG1169" t="str">
        <f>T("4620")</f>
        <v>4620</v>
      </c>
      <c r="AH1169" t="str">
        <f>T("24")</f>
        <v>24</v>
      </c>
    </row>
    <row r="1170" spans="1:37" x14ac:dyDescent="0.3">
      <c r="A1170" t="s">
        <v>3675</v>
      </c>
      <c r="B1170" t="s">
        <v>3676</v>
      </c>
      <c r="C1170" t="s">
        <v>3677</v>
      </c>
      <c r="D1170" t="s">
        <v>586</v>
      </c>
      <c r="K1170" t="str">
        <f>T("172.710")</f>
        <v>172.710</v>
      </c>
      <c r="L1170" t="str">
        <f>T("172.808")</f>
        <v>172.808</v>
      </c>
      <c r="M1170" t="str">
        <f>T("175.105")</f>
        <v>175.105</v>
      </c>
      <c r="N1170" t="str">
        <f>T("176.180")</f>
        <v>176.180</v>
      </c>
      <c r="O1170" t="str">
        <f>T("176.210")</f>
        <v>176.210</v>
      </c>
      <c r="P1170" t="str">
        <f>T("177.2470")</f>
        <v>177.2470</v>
      </c>
      <c r="Q1170" t="str">
        <f>T("178.3520")</f>
        <v>178.3520</v>
      </c>
      <c r="AG1170" t="s">
        <v>3678</v>
      </c>
      <c r="AH1170" t="str">
        <f>T("3")</f>
        <v>3</v>
      </c>
      <c r="AI1170" t="str">
        <f>T("27")</f>
        <v>27</v>
      </c>
      <c r="AJ1170" t="s">
        <v>3679</v>
      </c>
    </row>
    <row r="1171" spans="1:37" x14ac:dyDescent="0.3">
      <c r="A1171" t="s">
        <v>3680</v>
      </c>
      <c r="B1171" t="s">
        <v>3681</v>
      </c>
      <c r="C1171" t="s">
        <v>3682</v>
      </c>
      <c r="D1171" t="s">
        <v>802</v>
      </c>
      <c r="K1171" t="str">
        <f>T("172.770")</f>
        <v>172.770</v>
      </c>
    </row>
    <row r="1172" spans="1:37" x14ac:dyDescent="0.3">
      <c r="A1172" t="s">
        <v>3683</v>
      </c>
      <c r="B1172" t="s">
        <v>3684</v>
      </c>
      <c r="C1172" t="s">
        <v>3685</v>
      </c>
      <c r="K1172" t="str">
        <f>T("173.315")</f>
        <v>173.315</v>
      </c>
    </row>
    <row r="1173" spans="1:37" x14ac:dyDescent="0.3">
      <c r="A1173" t="s">
        <v>3686</v>
      </c>
      <c r="B1173" t="s">
        <v>3687</v>
      </c>
      <c r="C1173" t="s">
        <v>3688</v>
      </c>
      <c r="D1173" t="s">
        <v>3667</v>
      </c>
      <c r="K1173" t="str">
        <f>T("173.315")</f>
        <v>173.315</v>
      </c>
    </row>
    <row r="1174" spans="1:37" x14ac:dyDescent="0.3">
      <c r="A1174" t="s">
        <v>3689</v>
      </c>
      <c r="B1174" t="s">
        <v>3690</v>
      </c>
      <c r="C1174" t="s">
        <v>3691</v>
      </c>
      <c r="D1174" t="s">
        <v>3692</v>
      </c>
      <c r="K1174" t="str">
        <f>T("172.808")</f>
        <v>172.808</v>
      </c>
      <c r="L1174" t="str">
        <f>T("173.340")</f>
        <v>173.340</v>
      </c>
      <c r="M1174" t="str">
        <f>T("176.210")</f>
        <v>176.210</v>
      </c>
      <c r="N1174" t="str">
        <f>T("177.1210")</f>
        <v>177.1210</v>
      </c>
      <c r="O1174" t="str">
        <f>T("177.1680")</f>
        <v>177.1680</v>
      </c>
      <c r="P1174" t="str">
        <f>T("178.1010")</f>
        <v>178.1010</v>
      </c>
      <c r="Q1174" t="str">
        <f>T("178.3570")</f>
        <v>178.3570</v>
      </c>
    </row>
    <row r="1175" spans="1:37" x14ac:dyDescent="0.3">
      <c r="A1175" t="s">
        <v>3693</v>
      </c>
      <c r="B1175" t="s">
        <v>3694</v>
      </c>
      <c r="C1175" t="s">
        <v>3695</v>
      </c>
      <c r="D1175" t="s">
        <v>3696</v>
      </c>
    </row>
    <row r="1176" spans="1:37" x14ac:dyDescent="0.3">
      <c r="A1176" t="s">
        <v>3697</v>
      </c>
      <c r="B1176" t="s">
        <v>3698</v>
      </c>
      <c r="C1176" t="s">
        <v>3699</v>
      </c>
      <c r="D1176" t="s">
        <v>3696</v>
      </c>
      <c r="K1176" t="str">
        <f>T("178.1010")</f>
        <v>178.1010</v>
      </c>
    </row>
    <row r="1177" spans="1:37" x14ac:dyDescent="0.3">
      <c r="A1177" t="s">
        <v>3700</v>
      </c>
      <c r="B1177" t="s">
        <v>3701</v>
      </c>
      <c r="C1177" t="s">
        <v>3702</v>
      </c>
      <c r="D1177" t="s">
        <v>3696</v>
      </c>
      <c r="K1177" t="str">
        <f>T("172.810")</f>
        <v>172.810</v>
      </c>
    </row>
    <row r="1178" spans="1:37" x14ac:dyDescent="0.3">
      <c r="A1178" t="s">
        <v>3703</v>
      </c>
      <c r="B1178" t="s">
        <v>3704</v>
      </c>
      <c r="C1178" t="s">
        <v>3705</v>
      </c>
      <c r="D1178" t="s">
        <v>3696</v>
      </c>
    </row>
    <row r="1179" spans="1:37" x14ac:dyDescent="0.3">
      <c r="A1179" t="s">
        <v>3706</v>
      </c>
      <c r="B1179" t="s">
        <v>3707</v>
      </c>
      <c r="C1179" t="s">
        <v>3708</v>
      </c>
      <c r="D1179" t="s">
        <v>3667</v>
      </c>
      <c r="K1179" t="str">
        <f>T("173.315")</f>
        <v>173.315</v>
      </c>
    </row>
    <row r="1180" spans="1:37" x14ac:dyDescent="0.3">
      <c r="A1180" t="s">
        <v>3709</v>
      </c>
      <c r="B1180" t="s">
        <v>3710</v>
      </c>
      <c r="C1180" t="s">
        <v>3711</v>
      </c>
      <c r="D1180" t="s">
        <v>3667</v>
      </c>
      <c r="K1180" t="str">
        <f>T("173.315")</f>
        <v>173.315</v>
      </c>
    </row>
    <row r="1181" spans="1:37" x14ac:dyDescent="0.3">
      <c r="A1181" t="s">
        <v>3712</v>
      </c>
      <c r="B1181" t="s">
        <v>3713</v>
      </c>
      <c r="C1181" t="s">
        <v>3714</v>
      </c>
      <c r="K1181" t="str">
        <f>T("172.225")</f>
        <v>172.225</v>
      </c>
    </row>
    <row r="1182" spans="1:37" x14ac:dyDescent="0.3">
      <c r="A1182" t="s">
        <v>3715</v>
      </c>
      <c r="B1182" t="s">
        <v>3716</v>
      </c>
      <c r="C1182" t="s">
        <v>3717</v>
      </c>
      <c r="D1182" t="s">
        <v>7</v>
      </c>
      <c r="AG1182" t="str">
        <f>T("4115")</f>
        <v>4115</v>
      </c>
      <c r="AH1182" t="str">
        <f>T("22")</f>
        <v>22</v>
      </c>
      <c r="AK1182" t="str">
        <f>T("1547")</f>
        <v>1547</v>
      </c>
    </row>
    <row r="1183" spans="1:37" x14ac:dyDescent="0.3">
      <c r="A1183" t="s">
        <v>3718</v>
      </c>
      <c r="B1183" t="s">
        <v>3719</v>
      </c>
      <c r="C1183" t="s">
        <v>3720</v>
      </c>
      <c r="D1183" t="s">
        <v>7</v>
      </c>
      <c r="AG1183" t="str">
        <f>T("4344")</f>
        <v>4344</v>
      </c>
      <c r="AH1183" t="str">
        <f>T("23")</f>
        <v>23</v>
      </c>
    </row>
    <row r="1184" spans="1:37" x14ac:dyDescent="0.3">
      <c r="A1184" t="s">
        <v>3721</v>
      </c>
      <c r="B1184" t="s">
        <v>3722</v>
      </c>
      <c r="C1184" t="s">
        <v>3723</v>
      </c>
      <c r="D1184" t="s">
        <v>7</v>
      </c>
      <c r="AG1184" t="str">
        <f>T("4345")</f>
        <v>4345</v>
      </c>
      <c r="AH1184" t="str">
        <f>T("23")</f>
        <v>23</v>
      </c>
    </row>
    <row r="1185" spans="1:37" x14ac:dyDescent="0.3">
      <c r="A1185" t="s">
        <v>3724</v>
      </c>
      <c r="B1185" t="s">
        <v>3725</v>
      </c>
      <c r="C1185" t="s">
        <v>3726</v>
      </c>
      <c r="D1185" t="s">
        <v>7</v>
      </c>
      <c r="AG1185" t="str">
        <f>T("4653")</f>
        <v>4653</v>
      </c>
      <c r="AH1185" t="str">
        <f>T("24")</f>
        <v>24</v>
      </c>
      <c r="AK1185" t="str">
        <f>T("2143")</f>
        <v>2143</v>
      </c>
    </row>
    <row r="1186" spans="1:37" x14ac:dyDescent="0.3">
      <c r="A1186" t="s">
        <v>3727</v>
      </c>
      <c r="B1186" t="s">
        <v>3728</v>
      </c>
      <c r="C1186" t="s">
        <v>3729</v>
      </c>
      <c r="D1186" t="s">
        <v>7</v>
      </c>
      <c r="AG1186" t="str">
        <f>T("3341")</f>
        <v>3341</v>
      </c>
      <c r="AH1186" t="str">
        <f>T("6")</f>
        <v>6</v>
      </c>
      <c r="AK1186" t="str">
        <f>T("1475")</f>
        <v>1475</v>
      </c>
    </row>
    <row r="1187" spans="1:37" x14ac:dyDescent="0.3">
      <c r="A1187" t="s">
        <v>3730</v>
      </c>
      <c r="B1187" t="s">
        <v>3731</v>
      </c>
      <c r="C1187" t="s">
        <v>3732</v>
      </c>
      <c r="D1187" t="s">
        <v>7</v>
      </c>
      <c r="AG1187" t="str">
        <f>T("4572")</f>
        <v>4572</v>
      </c>
      <c r="AH1187" t="str">
        <f>T("24")</f>
        <v>24</v>
      </c>
      <c r="AK1187" t="str">
        <f>T("1922")</f>
        <v>1922</v>
      </c>
    </row>
    <row r="1188" spans="1:37" x14ac:dyDescent="0.3">
      <c r="A1188" t="s">
        <v>3733</v>
      </c>
      <c r="B1188" t="s">
        <v>3734</v>
      </c>
      <c r="C1188" t="s">
        <v>3735</v>
      </c>
      <c r="D1188" t="s">
        <v>7</v>
      </c>
      <c r="K1188" t="str">
        <f>T("184.1295")</f>
        <v>184.1295</v>
      </c>
      <c r="AG1188" t="str">
        <f>T("2434")</f>
        <v>2434</v>
      </c>
      <c r="AH1188" t="str">
        <f>T("3")</f>
        <v>3</v>
      </c>
      <c r="AK1188" t="str">
        <f>T("26")</f>
        <v>26</v>
      </c>
    </row>
    <row r="1189" spans="1:37" x14ac:dyDescent="0.3">
      <c r="A1189" t="s">
        <v>3736</v>
      </c>
      <c r="B1189" t="s">
        <v>3737</v>
      </c>
      <c r="C1189" t="s">
        <v>3738</v>
      </c>
      <c r="D1189" t="s">
        <v>7</v>
      </c>
      <c r="K1189" t="str">
        <f>T("172.515")</f>
        <v>172.515</v>
      </c>
      <c r="AG1189" t="str">
        <f>T("3673")</f>
        <v>3673</v>
      </c>
      <c r="AH1189" t="str">
        <f>T("13")</f>
        <v>13</v>
      </c>
      <c r="AK1189" t="str">
        <f>T("1489")</f>
        <v>1489</v>
      </c>
    </row>
    <row r="1190" spans="1:37" x14ac:dyDescent="0.3">
      <c r="A1190" t="s">
        <v>3739</v>
      </c>
      <c r="B1190" t="s">
        <v>3740</v>
      </c>
      <c r="C1190" t="s">
        <v>3741</v>
      </c>
      <c r="D1190" t="s">
        <v>7</v>
      </c>
      <c r="K1190" t="str">
        <f>T("172.515")</f>
        <v>172.515</v>
      </c>
      <c r="AG1190" t="str">
        <f>T("2435")</f>
        <v>2435</v>
      </c>
      <c r="AH1190" t="str">
        <f>T("3")</f>
        <v>3</v>
      </c>
      <c r="AI1190" t="str">
        <f>T("25")</f>
        <v>25</v>
      </c>
      <c r="AK1190" t="str">
        <f>T("1513")</f>
        <v>1513</v>
      </c>
    </row>
    <row r="1191" spans="1:37" x14ac:dyDescent="0.3">
      <c r="A1191" t="s">
        <v>3742</v>
      </c>
      <c r="B1191" t="s">
        <v>3743</v>
      </c>
      <c r="C1191" t="s">
        <v>3744</v>
      </c>
      <c r="D1191" t="s">
        <v>7</v>
      </c>
      <c r="AG1191" t="str">
        <f>T("4114")</f>
        <v>4114</v>
      </c>
      <c r="AH1191" t="str">
        <f>T("22")</f>
        <v>22</v>
      </c>
      <c r="AK1191" t="str">
        <f>T("1521")</f>
        <v>1521</v>
      </c>
    </row>
    <row r="1192" spans="1:37" x14ac:dyDescent="0.3">
      <c r="A1192" t="s">
        <v>3745</v>
      </c>
      <c r="B1192" t="s">
        <v>3746</v>
      </c>
      <c r="C1192" t="s">
        <v>3747</v>
      </c>
      <c r="D1192" t="s">
        <v>7</v>
      </c>
      <c r="AG1192" t="str">
        <f>T("3674")</f>
        <v>3674</v>
      </c>
      <c r="AH1192" t="str">
        <f>T("13")</f>
        <v>13</v>
      </c>
      <c r="AK1192" t="str">
        <f>T("1088")</f>
        <v>1088</v>
      </c>
    </row>
    <row r="1193" spans="1:37" x14ac:dyDescent="0.3">
      <c r="A1193" t="s">
        <v>3748</v>
      </c>
      <c r="B1193" t="s">
        <v>3749</v>
      </c>
      <c r="C1193" t="s">
        <v>3750</v>
      </c>
      <c r="D1193" t="s">
        <v>7</v>
      </c>
      <c r="AG1193" t="str">
        <f>T("4541")</f>
        <v>4541</v>
      </c>
      <c r="AH1193" t="str">
        <f>T("24")</f>
        <v>24</v>
      </c>
      <c r="AK1193" t="str">
        <f>T("2103")</f>
        <v>2103</v>
      </c>
    </row>
    <row r="1194" spans="1:37" x14ac:dyDescent="0.3">
      <c r="A1194" t="s">
        <v>3751</v>
      </c>
      <c r="B1194" t="s">
        <v>3752</v>
      </c>
      <c r="C1194" t="s">
        <v>3753</v>
      </c>
      <c r="D1194" t="s">
        <v>15</v>
      </c>
      <c r="K1194" t="str">
        <f>T("172.515")</f>
        <v>172.515</v>
      </c>
      <c r="AG1194" t="str">
        <f>T("2436")</f>
        <v>2436</v>
      </c>
      <c r="AH1194" t="str">
        <f>T("3")</f>
        <v>3</v>
      </c>
      <c r="AI1194" t="str">
        <f>T("25")</f>
        <v>25</v>
      </c>
      <c r="AK1194" t="str">
        <f>T("716")</f>
        <v>716</v>
      </c>
    </row>
    <row r="1195" spans="1:37" x14ac:dyDescent="0.3">
      <c r="A1195" t="s">
        <v>3754</v>
      </c>
      <c r="B1195" t="s">
        <v>3755</v>
      </c>
      <c r="C1195" t="s">
        <v>3756</v>
      </c>
      <c r="D1195" t="s">
        <v>7</v>
      </c>
      <c r="K1195" t="str">
        <f>T("172.515")</f>
        <v>172.515</v>
      </c>
      <c r="AG1195" t="str">
        <f>T("2437")</f>
        <v>2437</v>
      </c>
      <c r="AH1195" t="str">
        <f>T("3")</f>
        <v>3</v>
      </c>
      <c r="AK1195" t="str">
        <f>T("32")</f>
        <v>32</v>
      </c>
    </row>
    <row r="1196" spans="1:37" x14ac:dyDescent="0.3">
      <c r="A1196" t="s">
        <v>3757</v>
      </c>
      <c r="B1196" t="s">
        <v>3758</v>
      </c>
      <c r="C1196" t="s">
        <v>3759</v>
      </c>
      <c r="D1196" t="s">
        <v>7</v>
      </c>
      <c r="K1196" t="str">
        <f>T("172.515")</f>
        <v>172.515</v>
      </c>
      <c r="AG1196" t="str">
        <f>T("2438")</f>
        <v>2438</v>
      </c>
      <c r="AH1196" t="str">
        <f>T("3")</f>
        <v>3</v>
      </c>
      <c r="AI1196" t="str">
        <f>T("25")</f>
        <v>25</v>
      </c>
      <c r="AK1196" t="str">
        <f>T("1216")</f>
        <v>1216</v>
      </c>
    </row>
    <row r="1197" spans="1:37" x14ac:dyDescent="0.3">
      <c r="A1197" t="s">
        <v>3760</v>
      </c>
      <c r="B1197" t="s">
        <v>3761</v>
      </c>
      <c r="C1197" t="s">
        <v>3762</v>
      </c>
      <c r="D1197" t="s">
        <v>7</v>
      </c>
      <c r="AG1197" t="str">
        <f>T("3975")</f>
        <v>3975</v>
      </c>
      <c r="AH1197" t="str">
        <f>T("20")</f>
        <v>20</v>
      </c>
      <c r="AK1197" t="str">
        <f>T("1281")</f>
        <v>1281</v>
      </c>
    </row>
    <row r="1198" spans="1:37" x14ac:dyDescent="0.3">
      <c r="A1198" t="s">
        <v>3763</v>
      </c>
      <c r="B1198" t="s">
        <v>3764</v>
      </c>
      <c r="C1198" t="s">
        <v>3765</v>
      </c>
      <c r="D1198" t="s">
        <v>7</v>
      </c>
      <c r="AG1198" t="str">
        <f>T("3833")</f>
        <v>3833</v>
      </c>
      <c r="AH1198" t="str">
        <f>T("18")</f>
        <v>18</v>
      </c>
      <c r="AK1198" t="str">
        <f>T("519")</f>
        <v>519</v>
      </c>
    </row>
    <row r="1199" spans="1:37" x14ac:dyDescent="0.3">
      <c r="A1199" t="s">
        <v>3766</v>
      </c>
      <c r="B1199" t="s">
        <v>3767</v>
      </c>
      <c r="C1199" t="s">
        <v>3768</v>
      </c>
      <c r="D1199" t="s">
        <v>7</v>
      </c>
      <c r="K1199" t="str">
        <f>T("172.515")</f>
        <v>172.515</v>
      </c>
      <c r="AG1199" t="str">
        <f>T("2439")</f>
        <v>2439</v>
      </c>
      <c r="AH1199" t="str">
        <f>T("3")</f>
        <v>3</v>
      </c>
      <c r="AK1199" t="str">
        <f>T("31")</f>
        <v>31</v>
      </c>
    </row>
    <row r="1200" spans="1:37" x14ac:dyDescent="0.3">
      <c r="A1200" t="s">
        <v>3769</v>
      </c>
      <c r="B1200" t="s">
        <v>3770</v>
      </c>
      <c r="C1200" t="s">
        <v>3771</v>
      </c>
      <c r="D1200" t="s">
        <v>7</v>
      </c>
      <c r="K1200" t="str">
        <f>T("176.180")</f>
        <v>176.180</v>
      </c>
      <c r="L1200" t="str">
        <f>T("176.210")</f>
        <v>176.210</v>
      </c>
      <c r="M1200" t="str">
        <f>T("177.1200")</f>
        <v>177.1200</v>
      </c>
      <c r="AG1200" t="str">
        <f>T("3151")</f>
        <v>3151</v>
      </c>
      <c r="AH1200" t="str">
        <f>T("4")</f>
        <v>4</v>
      </c>
      <c r="AI1200" t="str">
        <f>T("25")</f>
        <v>25</v>
      </c>
      <c r="AK1200" t="str">
        <f>T("267")</f>
        <v>267</v>
      </c>
    </row>
    <row r="1201" spans="1:37" x14ac:dyDescent="0.3">
      <c r="A1201" t="s">
        <v>3772</v>
      </c>
      <c r="B1201" t="s">
        <v>3773</v>
      </c>
      <c r="C1201" t="s">
        <v>3774</v>
      </c>
      <c r="D1201" t="s">
        <v>7</v>
      </c>
      <c r="AG1201" t="str">
        <f>T("4612")</f>
        <v>4612</v>
      </c>
      <c r="AH1201" t="str">
        <f>T("24")</f>
        <v>24</v>
      </c>
    </row>
    <row r="1202" spans="1:37" x14ac:dyDescent="0.3">
      <c r="A1202" t="s">
        <v>3775</v>
      </c>
      <c r="B1202" t="s">
        <v>3776</v>
      </c>
      <c r="C1202" t="s">
        <v>3777</v>
      </c>
      <c r="D1202" t="s">
        <v>7</v>
      </c>
      <c r="AG1202" t="str">
        <f>T("4613")</f>
        <v>4613</v>
      </c>
      <c r="AH1202" t="str">
        <f>T("24")</f>
        <v>24</v>
      </c>
      <c r="AK1202" t="str">
        <f>T("2167")</f>
        <v>2167</v>
      </c>
    </row>
    <row r="1203" spans="1:37" x14ac:dyDescent="0.3">
      <c r="A1203" t="s">
        <v>3778</v>
      </c>
      <c r="B1203" t="s">
        <v>3779</v>
      </c>
      <c r="C1203" t="s">
        <v>3780</v>
      </c>
      <c r="D1203" t="s">
        <v>15</v>
      </c>
      <c r="AG1203" t="str">
        <f>T("3342")</f>
        <v>3342</v>
      </c>
      <c r="AH1203" t="str">
        <f>T("6")</f>
        <v>6</v>
      </c>
      <c r="AK1203" t="str">
        <f>T("335")</f>
        <v>335</v>
      </c>
    </row>
    <row r="1204" spans="1:37" x14ac:dyDescent="0.3">
      <c r="A1204" t="s">
        <v>3781</v>
      </c>
      <c r="B1204" t="s">
        <v>3782</v>
      </c>
      <c r="C1204" t="s">
        <v>3783</v>
      </c>
      <c r="D1204" t="s">
        <v>7</v>
      </c>
      <c r="AG1204" t="str">
        <f>T("4112")</f>
        <v>4112</v>
      </c>
      <c r="AH1204" t="str">
        <f>T("22")</f>
        <v>22</v>
      </c>
      <c r="AK1204" t="str">
        <f>T("1626")</f>
        <v>1626</v>
      </c>
    </row>
    <row r="1205" spans="1:37" x14ac:dyDescent="0.3">
      <c r="A1205" t="s">
        <v>3784</v>
      </c>
      <c r="B1205" t="s">
        <v>3785</v>
      </c>
      <c r="C1205" t="s">
        <v>3786</v>
      </c>
      <c r="D1205" t="s">
        <v>7</v>
      </c>
      <c r="AG1205" t="str">
        <f>T("3976")</f>
        <v>3976</v>
      </c>
      <c r="AH1205" t="str">
        <f>T("20")</f>
        <v>20</v>
      </c>
      <c r="AK1205" t="str">
        <f>T("1273")</f>
        <v>1273</v>
      </c>
    </row>
    <row r="1206" spans="1:37" x14ac:dyDescent="0.3">
      <c r="A1206" t="s">
        <v>3787</v>
      </c>
      <c r="B1206" t="s">
        <v>3788</v>
      </c>
      <c r="C1206" t="s">
        <v>3789</v>
      </c>
      <c r="D1206" t="s">
        <v>7</v>
      </c>
      <c r="AG1206" t="str">
        <f>T("4630")</f>
        <v>4630</v>
      </c>
      <c r="AH1206" t="str">
        <f>T("24")</f>
        <v>24</v>
      </c>
      <c r="AK1206" t="str">
        <f>T("2068")</f>
        <v>2068</v>
      </c>
    </row>
    <row r="1207" spans="1:37" x14ac:dyDescent="0.3">
      <c r="A1207" t="s">
        <v>3790</v>
      </c>
      <c r="B1207" t="s">
        <v>3791</v>
      </c>
      <c r="C1207" t="s">
        <v>3792</v>
      </c>
      <c r="D1207" t="s">
        <v>7</v>
      </c>
      <c r="AG1207" t="str">
        <f>T("4588")</f>
        <v>4588</v>
      </c>
      <c r="AH1207" t="str">
        <f>T("24")</f>
        <v>24</v>
      </c>
      <c r="AK1207" t="str">
        <f>T("1938")</f>
        <v>1938</v>
      </c>
    </row>
    <row r="1208" spans="1:37" x14ac:dyDescent="0.3">
      <c r="A1208" t="s">
        <v>3793</v>
      </c>
      <c r="B1208" t="s">
        <v>3794</v>
      </c>
      <c r="C1208" t="s">
        <v>3795</v>
      </c>
      <c r="D1208" t="s">
        <v>7</v>
      </c>
      <c r="AG1208" t="str">
        <f>T("3676")</f>
        <v>3676</v>
      </c>
      <c r="AH1208" t="str">
        <f>T("13")</f>
        <v>13</v>
      </c>
      <c r="AK1208" t="str">
        <f>T("448")</f>
        <v>448</v>
      </c>
    </row>
    <row r="1209" spans="1:37" x14ac:dyDescent="0.3">
      <c r="A1209" t="s">
        <v>3796</v>
      </c>
      <c r="B1209" t="s">
        <v>3797</v>
      </c>
      <c r="C1209" t="s">
        <v>3798</v>
      </c>
      <c r="D1209" t="s">
        <v>7</v>
      </c>
      <c r="AG1209" t="str">
        <f>T("3428")</f>
        <v>3428</v>
      </c>
      <c r="AH1209" t="str">
        <f>T("8")</f>
        <v>8</v>
      </c>
      <c r="AI1209" t="str">
        <f>T("25")</f>
        <v>25</v>
      </c>
      <c r="AK1209" t="str">
        <f>T("594")</f>
        <v>594</v>
      </c>
    </row>
    <row r="1210" spans="1:37" x14ac:dyDescent="0.3">
      <c r="A1210" t="s">
        <v>3799</v>
      </c>
      <c r="B1210" t="s">
        <v>3800</v>
      </c>
      <c r="C1210" t="s">
        <v>3801</v>
      </c>
      <c r="D1210" t="s">
        <v>7</v>
      </c>
      <c r="AG1210" t="str">
        <f>T("3152")</f>
        <v>3152</v>
      </c>
      <c r="AH1210" t="str">
        <f>T("4")</f>
        <v>4</v>
      </c>
      <c r="AI1210" t="str">
        <f>T("25")</f>
        <v>25</v>
      </c>
      <c r="AK1210" t="str">
        <f>T("419")</f>
        <v>419</v>
      </c>
    </row>
    <row r="1211" spans="1:37" x14ac:dyDescent="0.3">
      <c r="A1211" t="s">
        <v>3802</v>
      </c>
      <c r="B1211" t="s">
        <v>3803</v>
      </c>
      <c r="C1211" t="s">
        <v>3804</v>
      </c>
      <c r="D1211" t="s">
        <v>7</v>
      </c>
      <c r="AG1211" t="str">
        <f>T("4444")</f>
        <v>4444</v>
      </c>
      <c r="AH1211" t="str">
        <f>T("24")</f>
        <v>24</v>
      </c>
      <c r="AK1211" t="str">
        <f>T("1962")</f>
        <v>1962</v>
      </c>
    </row>
    <row r="1212" spans="1:37" x14ac:dyDescent="0.3">
      <c r="A1212" t="s">
        <v>3805</v>
      </c>
      <c r="B1212" t="s">
        <v>3806</v>
      </c>
      <c r="C1212" t="s">
        <v>3807</v>
      </c>
      <c r="D1212" t="s">
        <v>7</v>
      </c>
      <c r="AG1212" t="str">
        <f>T("4562")</f>
        <v>4562</v>
      </c>
      <c r="AH1212" t="str">
        <f>T("24")</f>
        <v>24</v>
      </c>
      <c r="AK1212" t="str">
        <f>T("1912")</f>
        <v>1912</v>
      </c>
    </row>
    <row r="1213" spans="1:37" x14ac:dyDescent="0.3">
      <c r="A1213" t="s">
        <v>3808</v>
      </c>
      <c r="B1213" t="s">
        <v>3809</v>
      </c>
      <c r="C1213" t="s">
        <v>3810</v>
      </c>
      <c r="D1213" t="s">
        <v>15</v>
      </c>
      <c r="AG1213" t="str">
        <f>T("3545")</f>
        <v>3545</v>
      </c>
      <c r="AH1213" t="str">
        <f>T("11")</f>
        <v>11</v>
      </c>
      <c r="AK1213" t="str">
        <f>T("601")</f>
        <v>601</v>
      </c>
    </row>
    <row r="1214" spans="1:37" x14ac:dyDescent="0.3">
      <c r="A1214" t="s">
        <v>3811</v>
      </c>
      <c r="B1214" t="s">
        <v>3812</v>
      </c>
      <c r="C1214" t="s">
        <v>3813</v>
      </c>
      <c r="D1214" t="s">
        <v>7</v>
      </c>
      <c r="AG1214" t="str">
        <f>T("4268")</f>
        <v>4268</v>
      </c>
      <c r="AH1214" t="str">
        <f>T("23")</f>
        <v>23</v>
      </c>
      <c r="AK1214" t="str">
        <f>T("1651")</f>
        <v>1651</v>
      </c>
    </row>
    <row r="1215" spans="1:37" x14ac:dyDescent="0.3">
      <c r="A1215" t="s">
        <v>3814</v>
      </c>
      <c r="B1215" t="s">
        <v>3815</v>
      </c>
      <c r="C1215" t="s">
        <v>3816</v>
      </c>
      <c r="D1215" t="s">
        <v>7</v>
      </c>
      <c r="AG1215" t="str">
        <f>T("4391")</f>
        <v>4391</v>
      </c>
      <c r="AH1215" t="str">
        <f>T("23")</f>
        <v>23</v>
      </c>
      <c r="AK1215" t="str">
        <f>T("1949")</f>
        <v>1949</v>
      </c>
    </row>
    <row r="1216" spans="1:37" x14ac:dyDescent="0.3">
      <c r="A1216" t="s">
        <v>3817</v>
      </c>
      <c r="B1216" t="s">
        <v>3818</v>
      </c>
      <c r="C1216" t="s">
        <v>3819</v>
      </c>
      <c r="D1216" t="s">
        <v>7</v>
      </c>
      <c r="AG1216" t="str">
        <f>T("3453")</f>
        <v>3453</v>
      </c>
      <c r="AH1216" t="str">
        <f>T("9")</f>
        <v>9</v>
      </c>
      <c r="AK1216" t="str">
        <f>T("422")</f>
        <v>422</v>
      </c>
    </row>
    <row r="1217" spans="1:37" x14ac:dyDescent="0.3">
      <c r="A1217" t="s">
        <v>3820</v>
      </c>
      <c r="B1217" t="s">
        <v>3821</v>
      </c>
      <c r="C1217" t="s">
        <v>3822</v>
      </c>
      <c r="D1217" t="s">
        <v>7</v>
      </c>
      <c r="AG1217" t="str">
        <f>T("3454")</f>
        <v>3454</v>
      </c>
      <c r="AH1217" t="str">
        <f>T("9")</f>
        <v>9</v>
      </c>
      <c r="AI1217" t="str">
        <f>T("25")</f>
        <v>25</v>
      </c>
      <c r="AK1217" t="str">
        <f>T("423")</f>
        <v>423</v>
      </c>
    </row>
    <row r="1218" spans="1:37" x14ac:dyDescent="0.3">
      <c r="A1218" t="s">
        <v>3823</v>
      </c>
      <c r="B1218" t="s">
        <v>3824</v>
      </c>
      <c r="C1218" t="s">
        <v>3825</v>
      </c>
      <c r="D1218" t="s">
        <v>15</v>
      </c>
      <c r="AG1218" t="str">
        <f>T("3623")</f>
        <v>3623</v>
      </c>
      <c r="AH1218" t="str">
        <f>T("12")</f>
        <v>12</v>
      </c>
      <c r="AK1218" t="str">
        <f>T("1449")</f>
        <v>1449</v>
      </c>
    </row>
    <row r="1219" spans="1:37" x14ac:dyDescent="0.3">
      <c r="A1219" t="s">
        <v>3826</v>
      </c>
      <c r="B1219" t="s">
        <v>3827</v>
      </c>
      <c r="C1219" t="s">
        <v>3828</v>
      </c>
      <c r="D1219" t="s">
        <v>15</v>
      </c>
      <c r="AG1219" t="str">
        <f>T("3153")</f>
        <v>3153</v>
      </c>
      <c r="AH1219" t="str">
        <f>T("4")</f>
        <v>4</v>
      </c>
      <c r="AK1219" t="str">
        <f>T("222")</f>
        <v>222</v>
      </c>
    </row>
    <row r="1220" spans="1:37" x14ac:dyDescent="0.3">
      <c r="A1220" t="s">
        <v>3829</v>
      </c>
      <c r="B1220" t="s">
        <v>3830</v>
      </c>
      <c r="C1220" t="s">
        <v>3831</v>
      </c>
      <c r="D1220" t="s">
        <v>7</v>
      </c>
      <c r="AG1220" t="str">
        <f>T("4269")</f>
        <v>4269</v>
      </c>
      <c r="AH1220" t="str">
        <f>T("23")</f>
        <v>23</v>
      </c>
      <c r="AK1220" t="str">
        <f>T("1652")</f>
        <v>1652</v>
      </c>
    </row>
    <row r="1221" spans="1:37" x14ac:dyDescent="0.3">
      <c r="A1221" t="s">
        <v>3832</v>
      </c>
      <c r="B1221" t="s">
        <v>3833</v>
      </c>
      <c r="C1221" t="s">
        <v>3834</v>
      </c>
      <c r="D1221" t="s">
        <v>7</v>
      </c>
      <c r="AG1221" t="str">
        <f>T("4453")</f>
        <v>4453</v>
      </c>
      <c r="AH1221" t="str">
        <f>T("24")</f>
        <v>24</v>
      </c>
      <c r="AK1221" t="str">
        <f>T("1955")</f>
        <v>1955</v>
      </c>
    </row>
    <row r="1222" spans="1:37" x14ac:dyDescent="0.3">
      <c r="A1222" t="s">
        <v>3835</v>
      </c>
      <c r="B1222" t="s">
        <v>3836</v>
      </c>
      <c r="C1222" t="s">
        <v>3837</v>
      </c>
      <c r="D1222" t="s">
        <v>7</v>
      </c>
      <c r="AG1222" t="str">
        <f>T("4610")</f>
        <v>4610</v>
      </c>
      <c r="AH1222" t="str">
        <f>T("24")</f>
        <v>24</v>
      </c>
      <c r="AK1222" t="str">
        <f>T("1987")</f>
        <v>1987</v>
      </c>
    </row>
    <row r="1223" spans="1:37" x14ac:dyDescent="0.3">
      <c r="A1223" t="s">
        <v>3838</v>
      </c>
      <c r="B1223" t="s">
        <v>3839</v>
      </c>
      <c r="C1223" t="s">
        <v>3840</v>
      </c>
      <c r="D1223" t="s">
        <v>7</v>
      </c>
      <c r="AG1223" t="str">
        <f>T("4598")</f>
        <v>4598</v>
      </c>
      <c r="AH1223" t="str">
        <f>T("24")</f>
        <v>24</v>
      </c>
    </row>
    <row r="1224" spans="1:37" x14ac:dyDescent="0.3">
      <c r="A1224" t="s">
        <v>3841</v>
      </c>
      <c r="B1224" t="s">
        <v>3842</v>
      </c>
      <c r="C1224" t="s">
        <v>3843</v>
      </c>
      <c r="D1224" t="s">
        <v>7</v>
      </c>
      <c r="K1224" t="str">
        <f>T("172.515")</f>
        <v>172.515</v>
      </c>
      <c r="AG1224" t="str">
        <f>T("2428")</f>
        <v>2428</v>
      </c>
      <c r="AH1224" t="str">
        <f>T("3")</f>
        <v>3</v>
      </c>
      <c r="AK1224" t="str">
        <f>T("186")</f>
        <v>186</v>
      </c>
    </row>
    <row r="1225" spans="1:37" x14ac:dyDescent="0.3">
      <c r="A1225" t="s">
        <v>3844</v>
      </c>
      <c r="B1225" t="s">
        <v>3845</v>
      </c>
      <c r="C1225" t="s">
        <v>3846</v>
      </c>
      <c r="D1225" t="s">
        <v>15</v>
      </c>
      <c r="AG1225" t="str">
        <f>T("3455")</f>
        <v>3455</v>
      </c>
      <c r="AH1225" t="s">
        <v>3847</v>
      </c>
      <c r="AI1225" t="str">
        <f>T("26")</f>
        <v>26</v>
      </c>
      <c r="AK1225" t="str">
        <f>T("1601")</f>
        <v>1601</v>
      </c>
    </row>
    <row r="1226" spans="1:37" x14ac:dyDescent="0.3">
      <c r="A1226" t="s">
        <v>3848</v>
      </c>
      <c r="B1226" t="s">
        <v>3849</v>
      </c>
      <c r="C1226" t="s">
        <v>3850</v>
      </c>
      <c r="D1226" t="s">
        <v>7</v>
      </c>
      <c r="AG1226" t="str">
        <f>T("4420")</f>
        <v>4420</v>
      </c>
      <c r="AH1226" t="str">
        <f>T("23")</f>
        <v>23</v>
      </c>
      <c r="AK1226" t="str">
        <f>T("1885")</f>
        <v>1885</v>
      </c>
    </row>
    <row r="1227" spans="1:37" x14ac:dyDescent="0.3">
      <c r="A1227" t="s">
        <v>3851</v>
      </c>
      <c r="B1227" t="s">
        <v>3852</v>
      </c>
      <c r="C1227" t="s">
        <v>3853</v>
      </c>
      <c r="D1227" t="s">
        <v>7</v>
      </c>
      <c r="K1227" t="str">
        <f>T("172.515")</f>
        <v>172.515</v>
      </c>
      <c r="AG1227" t="str">
        <f>T("2463")</f>
        <v>2463</v>
      </c>
      <c r="AH1227" t="str">
        <f>T("3")</f>
        <v>3</v>
      </c>
      <c r="AK1227" t="str">
        <f>T("196")</f>
        <v>196</v>
      </c>
    </row>
    <row r="1228" spans="1:37" x14ac:dyDescent="0.3">
      <c r="A1228" t="s">
        <v>3854</v>
      </c>
      <c r="B1228" t="s">
        <v>3855</v>
      </c>
      <c r="C1228" t="s">
        <v>3856</v>
      </c>
      <c r="D1228" t="s">
        <v>7</v>
      </c>
      <c r="K1228" t="str">
        <f>T("172.515")</f>
        <v>172.515</v>
      </c>
      <c r="L1228" t="str">
        <f>T("175.105")</f>
        <v>175.105</v>
      </c>
      <c r="AG1228" t="str">
        <f>T("2440")</f>
        <v>2440</v>
      </c>
      <c r="AH1228" t="str">
        <f>T("3")</f>
        <v>3</v>
      </c>
      <c r="AK1228" t="str">
        <f>T("931")</f>
        <v>931</v>
      </c>
    </row>
    <row r="1229" spans="1:37" x14ac:dyDescent="0.3">
      <c r="A1229" t="s">
        <v>3857</v>
      </c>
      <c r="B1229" t="s">
        <v>3858</v>
      </c>
      <c r="C1229" t="s">
        <v>3859</v>
      </c>
      <c r="D1229" t="s">
        <v>7</v>
      </c>
      <c r="K1229" t="str">
        <f>T("172.515")</f>
        <v>172.515</v>
      </c>
      <c r="AG1229" t="str">
        <f>T("2441")</f>
        <v>2441</v>
      </c>
      <c r="AH1229" t="str">
        <f>T("3")</f>
        <v>3</v>
      </c>
      <c r="AK1229" t="str">
        <f>T("37")</f>
        <v>37</v>
      </c>
    </row>
    <row r="1230" spans="1:37" x14ac:dyDescent="0.3">
      <c r="A1230" t="s">
        <v>3860</v>
      </c>
      <c r="B1230" t="s">
        <v>3861</v>
      </c>
      <c r="C1230" t="s">
        <v>3862</v>
      </c>
      <c r="D1230" t="s">
        <v>7</v>
      </c>
      <c r="K1230" t="str">
        <f>T("172.515")</f>
        <v>172.515</v>
      </c>
      <c r="AG1230" t="str">
        <f>T("2442")</f>
        <v>2442</v>
      </c>
      <c r="AH1230" t="str">
        <f>T("3")</f>
        <v>3</v>
      </c>
      <c r="AI1230" t="str">
        <f>T("25")</f>
        <v>25</v>
      </c>
      <c r="AK1230" t="str">
        <f>T("607")</f>
        <v>607</v>
      </c>
    </row>
    <row r="1231" spans="1:37" x14ac:dyDescent="0.3">
      <c r="A1231" t="s">
        <v>3863</v>
      </c>
      <c r="B1231" t="s">
        <v>3864</v>
      </c>
      <c r="C1231" t="s">
        <v>3865</v>
      </c>
      <c r="D1231" t="s">
        <v>7</v>
      </c>
      <c r="AG1231" t="str">
        <f>T("4479")</f>
        <v>4479</v>
      </c>
      <c r="AH1231" t="str">
        <f>T("24")</f>
        <v>24</v>
      </c>
      <c r="AK1231" t="str">
        <f>T("1973")</f>
        <v>1973</v>
      </c>
    </row>
    <row r="1232" spans="1:37" x14ac:dyDescent="0.3">
      <c r="A1232" t="s">
        <v>3866</v>
      </c>
      <c r="B1232" t="s">
        <v>3867</v>
      </c>
      <c r="C1232" t="s">
        <v>3868</v>
      </c>
      <c r="D1232" t="s">
        <v>7</v>
      </c>
      <c r="AG1232" t="str">
        <f>T("4591")</f>
        <v>4591</v>
      </c>
      <c r="AH1232" t="str">
        <f>T("24")</f>
        <v>24</v>
      </c>
      <c r="AK1232" t="str">
        <f>T("2134")</f>
        <v>2134</v>
      </c>
    </row>
    <row r="1233" spans="1:37" x14ac:dyDescent="0.3">
      <c r="A1233" t="s">
        <v>3869</v>
      </c>
      <c r="B1233" t="s">
        <v>3870</v>
      </c>
      <c r="C1233" t="s">
        <v>3871</v>
      </c>
      <c r="D1233" t="s">
        <v>3872</v>
      </c>
      <c r="K1233" t="str">
        <f>T("172.515")</f>
        <v>172.515</v>
      </c>
      <c r="AG1233" t="str">
        <f>T("3487")</f>
        <v>3487</v>
      </c>
      <c r="AH1233" t="str">
        <f>T("10")</f>
        <v>10</v>
      </c>
      <c r="AK1233" t="str">
        <f>T("1481")</f>
        <v>1481</v>
      </c>
    </row>
    <row r="1234" spans="1:37" x14ac:dyDescent="0.3">
      <c r="A1234" t="s">
        <v>3873</v>
      </c>
      <c r="B1234" t="s">
        <v>3874</v>
      </c>
      <c r="C1234" t="s">
        <v>3875</v>
      </c>
      <c r="D1234" t="s">
        <v>7</v>
      </c>
      <c r="AG1234" t="str">
        <f>T("4534")</f>
        <v>4534</v>
      </c>
      <c r="AH1234" t="str">
        <f>T("24")</f>
        <v>24</v>
      </c>
    </row>
    <row r="1235" spans="1:37" x14ac:dyDescent="0.3">
      <c r="A1235" t="s">
        <v>3876</v>
      </c>
      <c r="B1235" t="s">
        <v>3877</v>
      </c>
      <c r="C1235" t="s">
        <v>3878</v>
      </c>
      <c r="D1235" t="s">
        <v>7</v>
      </c>
      <c r="AG1235" t="str">
        <f>T("3977")</f>
        <v>3977</v>
      </c>
      <c r="AH1235" t="str">
        <f>T("20")</f>
        <v>20</v>
      </c>
      <c r="AK1235" t="str">
        <f>T("1294")</f>
        <v>1294</v>
      </c>
    </row>
    <row r="1236" spans="1:37" x14ac:dyDescent="0.3">
      <c r="A1236" t="s">
        <v>3879</v>
      </c>
      <c r="B1236" t="s">
        <v>3880</v>
      </c>
      <c r="D1236" t="s">
        <v>7</v>
      </c>
      <c r="AG1236" t="str">
        <f>T("4392")</f>
        <v>4392</v>
      </c>
      <c r="AH1236" t="str">
        <f>T("23")</f>
        <v>23</v>
      </c>
      <c r="AK1236" t="str">
        <f>T("1928")</f>
        <v>1928</v>
      </c>
    </row>
    <row r="1237" spans="1:37" x14ac:dyDescent="0.3">
      <c r="A1237" t="s">
        <v>3881</v>
      </c>
      <c r="B1237" t="s">
        <v>3882</v>
      </c>
      <c r="C1237" t="s">
        <v>3883</v>
      </c>
      <c r="D1237" t="s">
        <v>7</v>
      </c>
      <c r="AG1237" t="str">
        <f>T("4714")</f>
        <v>4714</v>
      </c>
      <c r="AH1237" t="str">
        <f>T("25")</f>
        <v>25</v>
      </c>
      <c r="AK1237" t="str">
        <f>T("2085")</f>
        <v>2085</v>
      </c>
    </row>
    <row r="1238" spans="1:37" x14ac:dyDescent="0.3">
      <c r="A1238" t="s">
        <v>3884</v>
      </c>
      <c r="B1238" t="s">
        <v>3885</v>
      </c>
      <c r="C1238" t="s">
        <v>3886</v>
      </c>
      <c r="D1238" t="s">
        <v>15</v>
      </c>
      <c r="AG1238" t="str">
        <f>T("3279")</f>
        <v>3279</v>
      </c>
      <c r="AH1238" t="str">
        <f>T("5")</f>
        <v>5</v>
      </c>
      <c r="AK1238" t="str">
        <f>T("552")</f>
        <v>552</v>
      </c>
    </row>
    <row r="1239" spans="1:37" x14ac:dyDescent="0.3">
      <c r="A1239" t="s">
        <v>3887</v>
      </c>
      <c r="B1239" t="s">
        <v>3888</v>
      </c>
      <c r="C1239" t="s">
        <v>3889</v>
      </c>
      <c r="D1239" t="s">
        <v>15</v>
      </c>
      <c r="AG1239" t="str">
        <f>T("3677")</f>
        <v>3677</v>
      </c>
      <c r="AH1239" t="str">
        <f>T("13")</f>
        <v>13</v>
      </c>
      <c r="AK1239" t="str">
        <f>T("553")</f>
        <v>553</v>
      </c>
    </row>
    <row r="1240" spans="1:37" x14ac:dyDescent="0.3">
      <c r="A1240" t="s">
        <v>3890</v>
      </c>
      <c r="B1240" t="s">
        <v>3891</v>
      </c>
      <c r="C1240" t="s">
        <v>3892</v>
      </c>
      <c r="D1240" t="s">
        <v>7</v>
      </c>
      <c r="AG1240" t="str">
        <f>T("4116")</f>
        <v>4116</v>
      </c>
      <c r="AH1240" t="str">
        <f>T("22")</f>
        <v>22</v>
      </c>
      <c r="AK1240" t="str">
        <f>T("1546")</f>
        <v>1546</v>
      </c>
    </row>
    <row r="1241" spans="1:37" x14ac:dyDescent="0.3">
      <c r="A1241" t="s">
        <v>3893</v>
      </c>
      <c r="B1241" t="s">
        <v>3894</v>
      </c>
      <c r="C1241" t="s">
        <v>3895</v>
      </c>
      <c r="D1241" t="s">
        <v>7</v>
      </c>
      <c r="K1241" t="str">
        <f>T("172.515")</f>
        <v>172.515</v>
      </c>
      <c r="AG1241" t="str">
        <f>T("2443")</f>
        <v>2443</v>
      </c>
      <c r="AH1241" t="str">
        <f>T("3")</f>
        <v>3</v>
      </c>
      <c r="AK1241" t="str">
        <f>T("206")</f>
        <v>206</v>
      </c>
    </row>
    <row r="1242" spans="1:37" x14ac:dyDescent="0.3">
      <c r="A1242" t="s">
        <v>3896</v>
      </c>
      <c r="B1242" t="s">
        <v>3897</v>
      </c>
      <c r="C1242" t="s">
        <v>3898</v>
      </c>
      <c r="D1242" t="s">
        <v>7</v>
      </c>
      <c r="AG1242" t="str">
        <f>T("4040")</f>
        <v>4040</v>
      </c>
      <c r="AH1242" t="str">
        <f>T("21")</f>
        <v>21</v>
      </c>
      <c r="AK1242" t="str">
        <f>T("1693")</f>
        <v>1693</v>
      </c>
    </row>
    <row r="1243" spans="1:37" x14ac:dyDescent="0.3">
      <c r="A1243" t="s">
        <v>3899</v>
      </c>
      <c r="B1243" t="s">
        <v>3900</v>
      </c>
      <c r="C1243" t="s">
        <v>3901</v>
      </c>
      <c r="D1243" t="s">
        <v>7</v>
      </c>
      <c r="AG1243" t="str">
        <f>T("3834")</f>
        <v>3834</v>
      </c>
      <c r="AH1243" t="str">
        <f>T("18")</f>
        <v>18</v>
      </c>
      <c r="AK1243" t="str">
        <f>T("581")</f>
        <v>581</v>
      </c>
    </row>
    <row r="1244" spans="1:37" x14ac:dyDescent="0.3">
      <c r="A1244" t="s">
        <v>3902</v>
      </c>
      <c r="B1244" t="s">
        <v>3903</v>
      </c>
      <c r="C1244" t="s">
        <v>3904</v>
      </c>
      <c r="D1244" t="s">
        <v>15</v>
      </c>
      <c r="AG1244" t="str">
        <f>T("3678")</f>
        <v>3678</v>
      </c>
      <c r="AH1244" t="str">
        <f>T("13")</f>
        <v>13</v>
      </c>
      <c r="AK1244" t="str">
        <f>T("353")</f>
        <v>353</v>
      </c>
    </row>
    <row r="1245" spans="1:37" x14ac:dyDescent="0.3">
      <c r="A1245" t="s">
        <v>3905</v>
      </c>
      <c r="B1245" t="s">
        <v>3906</v>
      </c>
      <c r="C1245" t="s">
        <v>3907</v>
      </c>
      <c r="D1245" t="s">
        <v>7</v>
      </c>
      <c r="AG1245" t="str">
        <f>T("3488")</f>
        <v>3488</v>
      </c>
      <c r="AH1245" t="str">
        <f>T("10")</f>
        <v>10</v>
      </c>
      <c r="AK1245" t="str">
        <f>T("214")</f>
        <v>214</v>
      </c>
    </row>
    <row r="1246" spans="1:37" x14ac:dyDescent="0.3">
      <c r="A1246" t="s">
        <v>3908</v>
      </c>
      <c r="B1246" t="s">
        <v>3909</v>
      </c>
      <c r="C1246" t="s">
        <v>3910</v>
      </c>
      <c r="D1246" t="s">
        <v>7</v>
      </c>
      <c r="AG1246" t="str">
        <f>T("3679")</f>
        <v>3679</v>
      </c>
      <c r="AH1246" t="str">
        <f>T("13")</f>
        <v>13</v>
      </c>
      <c r="AK1246" t="str">
        <f>T("215")</f>
        <v>215</v>
      </c>
    </row>
    <row r="1247" spans="1:37" x14ac:dyDescent="0.3">
      <c r="A1247" t="s">
        <v>3911</v>
      </c>
      <c r="B1247" t="s">
        <v>3912</v>
      </c>
      <c r="C1247" t="s">
        <v>3913</v>
      </c>
      <c r="D1247" t="s">
        <v>7</v>
      </c>
      <c r="AG1247" t="str">
        <f>T("4343")</f>
        <v>4343</v>
      </c>
      <c r="AH1247" t="str">
        <f>T("23")</f>
        <v>23</v>
      </c>
    </row>
    <row r="1248" spans="1:37" x14ac:dyDescent="0.3">
      <c r="A1248" t="s">
        <v>3914</v>
      </c>
      <c r="B1248" t="s">
        <v>3915</v>
      </c>
      <c r="C1248" t="s">
        <v>3916</v>
      </c>
      <c r="D1248" t="s">
        <v>7</v>
      </c>
      <c r="AG1248" t="str">
        <f>T("3456")</f>
        <v>3456</v>
      </c>
      <c r="AH1248" t="str">
        <f>T("9")</f>
        <v>9</v>
      </c>
      <c r="AK1248" t="str">
        <f>T("350")</f>
        <v>350</v>
      </c>
    </row>
    <row r="1249" spans="1:37" x14ac:dyDescent="0.3">
      <c r="A1249" t="s">
        <v>3917</v>
      </c>
      <c r="B1249" t="s">
        <v>3918</v>
      </c>
      <c r="C1249" t="s">
        <v>3919</v>
      </c>
      <c r="D1249" t="s">
        <v>7</v>
      </c>
      <c r="AG1249" t="str">
        <f>T("3489")</f>
        <v>3489</v>
      </c>
      <c r="AH1249" t="str">
        <f>T("10")</f>
        <v>10</v>
      </c>
      <c r="AI1249" t="str">
        <f>T("25")</f>
        <v>25</v>
      </c>
      <c r="AK1249" t="str">
        <f>T("351")</f>
        <v>351</v>
      </c>
    </row>
    <row r="1250" spans="1:37" x14ac:dyDescent="0.3">
      <c r="A1250" t="s">
        <v>3920</v>
      </c>
      <c r="B1250" t="s">
        <v>3921</v>
      </c>
      <c r="C1250" t="s">
        <v>3922</v>
      </c>
      <c r="D1250" t="s">
        <v>7</v>
      </c>
      <c r="AG1250" t="str">
        <f>T("3154")</f>
        <v>3154</v>
      </c>
      <c r="AH1250" t="str">
        <f>T("4")</f>
        <v>4</v>
      </c>
      <c r="AI1250" t="str">
        <f>T("25")</f>
        <v>25</v>
      </c>
      <c r="AK1250" t="str">
        <f>T("770")</f>
        <v>770</v>
      </c>
    </row>
    <row r="1251" spans="1:37" x14ac:dyDescent="0.3">
      <c r="A1251" t="s">
        <v>3923</v>
      </c>
      <c r="B1251" t="s">
        <v>3924</v>
      </c>
      <c r="C1251" t="s">
        <v>3925</v>
      </c>
      <c r="D1251" t="s">
        <v>7</v>
      </c>
      <c r="AG1251" t="str">
        <f>T("3919")</f>
        <v>3919</v>
      </c>
      <c r="AH1251" t="str">
        <f>T("19")</f>
        <v>19</v>
      </c>
      <c r="AK1251" t="str">
        <f>T("769")</f>
        <v>769</v>
      </c>
    </row>
    <row r="1252" spans="1:37" x14ac:dyDescent="0.3">
      <c r="A1252" t="s">
        <v>3926</v>
      </c>
      <c r="B1252" t="s">
        <v>3927</v>
      </c>
      <c r="C1252" t="s">
        <v>3928</v>
      </c>
      <c r="D1252" t="s">
        <v>7</v>
      </c>
      <c r="AG1252" t="str">
        <f>T("3155")</f>
        <v>3155</v>
      </c>
      <c r="AH1252" t="str">
        <f>T("4")</f>
        <v>4</v>
      </c>
      <c r="AK1252" t="str">
        <f>T("768")</f>
        <v>768</v>
      </c>
    </row>
    <row r="1253" spans="1:37" x14ac:dyDescent="0.3">
      <c r="A1253" t="s">
        <v>3929</v>
      </c>
      <c r="B1253" t="s">
        <v>3930</v>
      </c>
      <c r="C1253" t="s">
        <v>3931</v>
      </c>
      <c r="D1253" t="s">
        <v>7</v>
      </c>
      <c r="AG1253" t="str">
        <f>T("3546")</f>
        <v>3546</v>
      </c>
      <c r="AH1253" t="str">
        <f>T("11")</f>
        <v>11</v>
      </c>
      <c r="AK1253" t="str">
        <f>T("1318")</f>
        <v>1318</v>
      </c>
    </row>
    <row r="1254" spans="1:37" x14ac:dyDescent="0.3">
      <c r="A1254" t="s">
        <v>3932</v>
      </c>
      <c r="B1254" t="s">
        <v>3933</v>
      </c>
      <c r="C1254" t="s">
        <v>3934</v>
      </c>
      <c r="D1254" t="s">
        <v>7</v>
      </c>
      <c r="AG1254" t="str">
        <f>T("3680")</f>
        <v>3680</v>
      </c>
      <c r="AH1254" t="str">
        <f>T("13")</f>
        <v>13</v>
      </c>
      <c r="AI1254" t="str">
        <f>T("25")</f>
        <v>25</v>
      </c>
      <c r="AK1254" t="str">
        <f>T("1044")</f>
        <v>1044</v>
      </c>
    </row>
    <row r="1255" spans="1:37" x14ac:dyDescent="0.3">
      <c r="A1255" t="s">
        <v>3935</v>
      </c>
      <c r="B1255" t="s">
        <v>3936</v>
      </c>
      <c r="C1255" t="s">
        <v>3937</v>
      </c>
      <c r="D1255" t="s">
        <v>7</v>
      </c>
      <c r="AG1255" t="str">
        <f>T("4388")</f>
        <v>4388</v>
      </c>
      <c r="AH1255" t="str">
        <f>T("23")</f>
        <v>23</v>
      </c>
      <c r="AK1255" t="str">
        <f>T("2113")</f>
        <v>2113</v>
      </c>
    </row>
    <row r="1256" spans="1:37" x14ac:dyDescent="0.3">
      <c r="A1256" t="s">
        <v>3938</v>
      </c>
      <c r="B1256" t="s">
        <v>3939</v>
      </c>
      <c r="C1256" t="s">
        <v>3940</v>
      </c>
      <c r="D1256" t="s">
        <v>7</v>
      </c>
      <c r="AG1256" t="str">
        <f>T("3835")</f>
        <v>3835</v>
      </c>
      <c r="AH1256" t="str">
        <f>T("18")</f>
        <v>18</v>
      </c>
      <c r="AK1256" t="str">
        <f>T("475")</f>
        <v>475</v>
      </c>
    </row>
    <row r="1257" spans="1:37" x14ac:dyDescent="0.3">
      <c r="A1257" t="s">
        <v>3941</v>
      </c>
      <c r="B1257" t="s">
        <v>3942</v>
      </c>
      <c r="C1257" t="s">
        <v>3943</v>
      </c>
      <c r="D1257" t="s">
        <v>7</v>
      </c>
      <c r="AG1257" t="str">
        <f>T("3836")</f>
        <v>3836</v>
      </c>
      <c r="AH1257" t="str">
        <f>T("18")</f>
        <v>18</v>
      </c>
      <c r="AK1257" t="str">
        <f>T("480")</f>
        <v>480</v>
      </c>
    </row>
    <row r="1258" spans="1:37" x14ac:dyDescent="0.3">
      <c r="A1258" t="s">
        <v>3944</v>
      </c>
      <c r="B1258" t="s">
        <v>3945</v>
      </c>
      <c r="C1258" t="s">
        <v>3946</v>
      </c>
      <c r="D1258" t="s">
        <v>7</v>
      </c>
      <c r="AG1258" t="str">
        <f>T("3681")</f>
        <v>3681</v>
      </c>
      <c r="AH1258" t="str">
        <f>T("13")</f>
        <v>13</v>
      </c>
      <c r="AK1258" t="str">
        <f>T("477")</f>
        <v>477</v>
      </c>
    </row>
    <row r="1259" spans="1:37" x14ac:dyDescent="0.3">
      <c r="A1259" t="s">
        <v>3947</v>
      </c>
      <c r="B1259" t="s">
        <v>3948</v>
      </c>
      <c r="C1259" t="s">
        <v>3949</v>
      </c>
      <c r="D1259" t="s">
        <v>7</v>
      </c>
      <c r="AG1259" t="str">
        <f>T("4563")</f>
        <v>4563</v>
      </c>
      <c r="AH1259" t="str">
        <f>T("24")</f>
        <v>24</v>
      </c>
      <c r="AK1259" t="str">
        <f>T("1915")</f>
        <v>1915</v>
      </c>
    </row>
    <row r="1260" spans="1:37" x14ac:dyDescent="0.3">
      <c r="A1260" t="s">
        <v>3950</v>
      </c>
      <c r="B1260" t="s">
        <v>3951</v>
      </c>
      <c r="C1260" t="s">
        <v>3952</v>
      </c>
      <c r="D1260" t="s">
        <v>7</v>
      </c>
      <c r="AG1260" t="str">
        <f>T("4565")</f>
        <v>4565</v>
      </c>
      <c r="AH1260" t="str">
        <f>T("24")</f>
        <v>24</v>
      </c>
      <c r="AK1260" t="str">
        <f>T("1917")</f>
        <v>1917</v>
      </c>
    </row>
    <row r="1261" spans="1:37" x14ac:dyDescent="0.3">
      <c r="A1261" t="s">
        <v>3953</v>
      </c>
      <c r="B1261" t="s">
        <v>3954</v>
      </c>
      <c r="C1261" t="s">
        <v>3955</v>
      </c>
      <c r="D1261" t="s">
        <v>7</v>
      </c>
      <c r="AG1261" t="str">
        <f>T("3343")</f>
        <v>3343</v>
      </c>
      <c r="AH1261" t="str">
        <f>T("6")</f>
        <v>6</v>
      </c>
      <c r="AI1261" t="str">
        <f>T("25")</f>
        <v>25</v>
      </c>
      <c r="AK1261" t="str">
        <f>T("476")</f>
        <v>476</v>
      </c>
    </row>
    <row r="1262" spans="1:37" x14ac:dyDescent="0.3">
      <c r="A1262" t="s">
        <v>3956</v>
      </c>
      <c r="B1262" t="s">
        <v>3957</v>
      </c>
      <c r="C1262" t="s">
        <v>3958</v>
      </c>
      <c r="D1262" t="s">
        <v>7</v>
      </c>
      <c r="AG1262" t="str">
        <f>T("4631")</f>
        <v>4631</v>
      </c>
      <c r="AH1262" t="str">
        <f>T("24")</f>
        <v>24</v>
      </c>
      <c r="AK1262" t="str">
        <f>T("2132")</f>
        <v>2132</v>
      </c>
    </row>
    <row r="1263" spans="1:37" x14ac:dyDescent="0.3">
      <c r="A1263" t="s">
        <v>3959</v>
      </c>
      <c r="B1263" t="s">
        <v>3960</v>
      </c>
      <c r="C1263" t="s">
        <v>3961</v>
      </c>
      <c r="D1263" t="s">
        <v>7</v>
      </c>
      <c r="AG1263" t="str">
        <f>T("4564")</f>
        <v>4564</v>
      </c>
      <c r="AH1263" t="str">
        <f>T("24")</f>
        <v>24</v>
      </c>
      <c r="AK1263" t="str">
        <f>T("1916")</f>
        <v>1916</v>
      </c>
    </row>
    <row r="1264" spans="1:37" x14ac:dyDescent="0.3">
      <c r="A1264" t="s">
        <v>3962</v>
      </c>
      <c r="B1264" t="s">
        <v>3963</v>
      </c>
      <c r="C1264" t="s">
        <v>3964</v>
      </c>
      <c r="D1264" t="s">
        <v>7</v>
      </c>
      <c r="AG1264" t="str">
        <f>T("3978")</f>
        <v>3978</v>
      </c>
      <c r="AH1264" t="str">
        <f>T("20")</f>
        <v>20</v>
      </c>
      <c r="AK1264" t="str">
        <f>T("1298")</f>
        <v>1298</v>
      </c>
    </row>
    <row r="1265" spans="1:37" x14ac:dyDescent="0.3">
      <c r="A1265" t="s">
        <v>3965</v>
      </c>
      <c r="B1265" t="s">
        <v>3966</v>
      </c>
      <c r="C1265" t="s">
        <v>3967</v>
      </c>
      <c r="D1265" t="s">
        <v>7</v>
      </c>
      <c r="AG1265" t="str">
        <f>T("3757")</f>
        <v>3757</v>
      </c>
      <c r="AH1265" t="str">
        <f>T("15")</f>
        <v>15</v>
      </c>
      <c r="AK1265" t="str">
        <f>T("1578")</f>
        <v>1578</v>
      </c>
    </row>
    <row r="1266" spans="1:37" x14ac:dyDescent="0.3">
      <c r="A1266" t="s">
        <v>3968</v>
      </c>
      <c r="B1266" t="s">
        <v>3969</v>
      </c>
      <c r="C1266" t="s">
        <v>3970</v>
      </c>
      <c r="D1266" t="s">
        <v>7</v>
      </c>
      <c r="AG1266" t="str">
        <f>T("3280")</f>
        <v>3280</v>
      </c>
      <c r="AH1266" t="str">
        <f>T("5")</f>
        <v>5</v>
      </c>
      <c r="AK1266" t="str">
        <f>T("789")</f>
        <v>789</v>
      </c>
    </row>
    <row r="1267" spans="1:37" x14ac:dyDescent="0.3">
      <c r="A1267" t="s">
        <v>3971</v>
      </c>
      <c r="B1267" t="s">
        <v>3972</v>
      </c>
      <c r="C1267" t="s">
        <v>3973</v>
      </c>
      <c r="D1267" t="s">
        <v>7</v>
      </c>
      <c r="K1267" t="str">
        <f>T("172.515")</f>
        <v>172.515</v>
      </c>
      <c r="AG1267" t="str">
        <f>T("2445")</f>
        <v>2445</v>
      </c>
      <c r="AH1267" t="str">
        <f>T("3")</f>
        <v>3</v>
      </c>
      <c r="AK1267" t="str">
        <f>T("38")</f>
        <v>38</v>
      </c>
    </row>
    <row r="1268" spans="1:37" x14ac:dyDescent="0.3">
      <c r="A1268" t="s">
        <v>3974</v>
      </c>
      <c r="B1268" t="s">
        <v>3975</v>
      </c>
      <c r="C1268" t="s">
        <v>3976</v>
      </c>
      <c r="D1268" t="s">
        <v>7</v>
      </c>
      <c r="K1268" t="str">
        <f>T("172.515")</f>
        <v>172.515</v>
      </c>
      <c r="AG1268" t="str">
        <f>T("2446")</f>
        <v>2446</v>
      </c>
      <c r="AH1268" t="str">
        <f>T("3")</f>
        <v>3</v>
      </c>
    </row>
    <row r="1269" spans="1:37" x14ac:dyDescent="0.3">
      <c r="A1269" t="s">
        <v>3977</v>
      </c>
      <c r="B1269" t="s">
        <v>3978</v>
      </c>
      <c r="C1269" t="s">
        <v>3979</v>
      </c>
      <c r="D1269" t="s">
        <v>7</v>
      </c>
      <c r="AG1269" t="str">
        <f>T("4113")</f>
        <v>4113</v>
      </c>
      <c r="AH1269" t="str">
        <f>T("22")</f>
        <v>22</v>
      </c>
      <c r="AK1269" t="str">
        <f>T("1596")</f>
        <v>1596</v>
      </c>
    </row>
    <row r="1270" spans="1:37" x14ac:dyDescent="0.3">
      <c r="A1270" t="s">
        <v>3980</v>
      </c>
      <c r="B1270" t="s">
        <v>3981</v>
      </c>
      <c r="C1270" t="s">
        <v>3982</v>
      </c>
      <c r="D1270" t="s">
        <v>7</v>
      </c>
      <c r="K1270" t="str">
        <f>T("172.515")</f>
        <v>172.515</v>
      </c>
      <c r="AG1270" t="str">
        <f>T("2447")</f>
        <v>2447</v>
      </c>
      <c r="AH1270" t="str">
        <f>T("3")</f>
        <v>3</v>
      </c>
      <c r="AK1270" t="str">
        <f>T("34")</f>
        <v>34</v>
      </c>
    </row>
    <row r="1271" spans="1:37" x14ac:dyDescent="0.3">
      <c r="A1271" t="s">
        <v>3983</v>
      </c>
      <c r="B1271" t="s">
        <v>3984</v>
      </c>
      <c r="C1271" t="s">
        <v>3985</v>
      </c>
      <c r="D1271" t="s">
        <v>7</v>
      </c>
      <c r="K1271" t="str">
        <f>T("172.515")</f>
        <v>172.515</v>
      </c>
      <c r="AG1271" t="str">
        <f>T("2448")</f>
        <v>2448</v>
      </c>
      <c r="AH1271" t="str">
        <f>T("3")</f>
        <v>3</v>
      </c>
      <c r="AI1271" t="str">
        <f>T("25")</f>
        <v>25</v>
      </c>
      <c r="AK1271" t="str">
        <f>T("1352")</f>
        <v>1352</v>
      </c>
    </row>
    <row r="1272" spans="1:37" x14ac:dyDescent="0.3">
      <c r="A1272" t="s">
        <v>3986</v>
      </c>
      <c r="B1272" t="s">
        <v>3987</v>
      </c>
      <c r="C1272" t="s">
        <v>3988</v>
      </c>
      <c r="D1272" t="s">
        <v>7</v>
      </c>
      <c r="AG1272" t="str">
        <f>T("3490")</f>
        <v>3490</v>
      </c>
      <c r="AH1272" t="str">
        <f>T("10")</f>
        <v>10</v>
      </c>
      <c r="AK1272" t="str">
        <f>T("40")</f>
        <v>40</v>
      </c>
    </row>
    <row r="1273" spans="1:37" x14ac:dyDescent="0.3">
      <c r="A1273" t="s">
        <v>3989</v>
      </c>
      <c r="B1273" t="s">
        <v>3990</v>
      </c>
      <c r="C1273" t="s">
        <v>3991</v>
      </c>
      <c r="D1273" t="s">
        <v>7</v>
      </c>
      <c r="AG1273" t="str">
        <f>T("3682")</f>
        <v>3682</v>
      </c>
      <c r="AH1273" t="str">
        <f>T("13")</f>
        <v>13</v>
      </c>
      <c r="AK1273" t="str">
        <f>T("339")</f>
        <v>339</v>
      </c>
    </row>
    <row r="1274" spans="1:37" x14ac:dyDescent="0.3">
      <c r="A1274" t="s">
        <v>3992</v>
      </c>
      <c r="B1274" t="s">
        <v>3993</v>
      </c>
      <c r="C1274" t="s">
        <v>3994</v>
      </c>
      <c r="D1274" t="s">
        <v>7</v>
      </c>
      <c r="AG1274" t="str">
        <f>T("4117")</f>
        <v>4117</v>
      </c>
      <c r="AH1274" t="str">
        <f>T("22")</f>
        <v>22</v>
      </c>
      <c r="AK1274" t="str">
        <f>T("1819")</f>
        <v>1819</v>
      </c>
    </row>
    <row r="1275" spans="1:37" x14ac:dyDescent="0.3">
      <c r="A1275" t="s">
        <v>3995</v>
      </c>
      <c r="B1275" t="s">
        <v>3996</v>
      </c>
      <c r="C1275" t="s">
        <v>3997</v>
      </c>
      <c r="D1275" t="s">
        <v>7</v>
      </c>
      <c r="K1275" t="str">
        <f>T("172.515")</f>
        <v>172.515</v>
      </c>
      <c r="AG1275" t="str">
        <f>T("2449")</f>
        <v>2449</v>
      </c>
      <c r="AH1275" t="str">
        <f>T("3")</f>
        <v>3</v>
      </c>
      <c r="AI1275" t="str">
        <f>T("25")</f>
        <v>25</v>
      </c>
      <c r="AK1275" t="str">
        <f>T("33")</f>
        <v>33</v>
      </c>
    </row>
    <row r="1276" spans="1:37" x14ac:dyDescent="0.3">
      <c r="A1276" t="s">
        <v>3998</v>
      </c>
      <c r="B1276" t="s">
        <v>3999</v>
      </c>
      <c r="C1276" t="s">
        <v>4000</v>
      </c>
      <c r="D1276" t="s">
        <v>7</v>
      </c>
      <c r="AG1276" t="str">
        <f>T("3800")</f>
        <v>3800</v>
      </c>
      <c r="AH1276" t="str">
        <f>T("17")</f>
        <v>17</v>
      </c>
      <c r="AK1276" t="str">
        <f>T("1218")</f>
        <v>1218</v>
      </c>
    </row>
    <row r="1277" spans="1:37" x14ac:dyDescent="0.3">
      <c r="A1277" t="s">
        <v>4001</v>
      </c>
      <c r="B1277" t="s">
        <v>4002</v>
      </c>
      <c r="C1277" t="s">
        <v>4003</v>
      </c>
      <c r="D1277" t="s">
        <v>7</v>
      </c>
      <c r="AG1277" t="str">
        <f>T("3643")</f>
        <v>3643</v>
      </c>
      <c r="AH1277" t="str">
        <f>T("12")</f>
        <v>12</v>
      </c>
      <c r="AI1277" t="str">
        <f>T("25")</f>
        <v>25</v>
      </c>
      <c r="AK1277" t="str">
        <f>T("1812")</f>
        <v>1812</v>
      </c>
    </row>
    <row r="1278" spans="1:37" x14ac:dyDescent="0.3">
      <c r="A1278" t="s">
        <v>4004</v>
      </c>
      <c r="B1278" t="s">
        <v>4005</v>
      </c>
      <c r="C1278" t="s">
        <v>4006</v>
      </c>
      <c r="D1278" t="s">
        <v>7</v>
      </c>
      <c r="AG1278" t="str">
        <f>T("4361")</f>
        <v>4361</v>
      </c>
      <c r="AH1278" t="str">
        <f>T("23")</f>
        <v>23</v>
      </c>
      <c r="AK1278" t="str">
        <f>T("1632")</f>
        <v>1632</v>
      </c>
    </row>
    <row r="1279" spans="1:37" x14ac:dyDescent="0.3">
      <c r="A1279" t="s">
        <v>4007</v>
      </c>
      <c r="B1279" t="s">
        <v>4008</v>
      </c>
      <c r="C1279" t="s">
        <v>4009</v>
      </c>
      <c r="D1279" t="s">
        <v>7</v>
      </c>
      <c r="AG1279" t="str">
        <f>T("3344")</f>
        <v>3344</v>
      </c>
      <c r="AH1279" t="str">
        <f>T("6")</f>
        <v>6</v>
      </c>
      <c r="AK1279" t="str">
        <f>T("338")</f>
        <v>338</v>
      </c>
    </row>
    <row r="1280" spans="1:37" x14ac:dyDescent="0.3">
      <c r="A1280" t="s">
        <v>4010</v>
      </c>
      <c r="B1280" t="s">
        <v>4011</v>
      </c>
      <c r="C1280" t="s">
        <v>4012</v>
      </c>
      <c r="D1280" t="s">
        <v>15</v>
      </c>
      <c r="K1280" t="str">
        <f>T("172.515")</f>
        <v>172.515</v>
      </c>
      <c r="AG1280" t="str">
        <f>T("2450")</f>
        <v>2450</v>
      </c>
      <c r="AH1280" t="str">
        <f>T("3")</f>
        <v>3</v>
      </c>
      <c r="AI1280" t="str">
        <f>T("25")</f>
        <v>25</v>
      </c>
      <c r="AK1280" t="str">
        <f>T("345")</f>
        <v>345</v>
      </c>
    </row>
    <row r="1281" spans="1:37" x14ac:dyDescent="0.3">
      <c r="A1281" t="s">
        <v>4013</v>
      </c>
      <c r="B1281" t="s">
        <v>4014</v>
      </c>
      <c r="C1281" t="s">
        <v>4015</v>
      </c>
      <c r="D1281" t="s">
        <v>7</v>
      </c>
      <c r="AG1281" t="str">
        <f>T("3149")</f>
        <v>3149</v>
      </c>
      <c r="AH1281" t="str">
        <f>T("4")</f>
        <v>4</v>
      </c>
      <c r="AK1281" t="str">
        <f>T("775")</f>
        <v>775</v>
      </c>
    </row>
    <row r="1282" spans="1:37" x14ac:dyDescent="0.3">
      <c r="A1282" t="s">
        <v>4016</v>
      </c>
      <c r="B1282" t="s">
        <v>4017</v>
      </c>
      <c r="C1282" t="s">
        <v>4018</v>
      </c>
      <c r="D1282" t="s">
        <v>7</v>
      </c>
      <c r="AG1282" t="str">
        <f>T("4457")</f>
        <v>4457</v>
      </c>
      <c r="AH1282" t="str">
        <f>T("24")</f>
        <v>24</v>
      </c>
      <c r="AK1282" t="str">
        <f>T("1961")</f>
        <v>1961</v>
      </c>
    </row>
    <row r="1283" spans="1:37" x14ac:dyDescent="0.3">
      <c r="A1283" t="s">
        <v>4019</v>
      </c>
      <c r="B1283" t="s">
        <v>4020</v>
      </c>
      <c r="C1283" t="s">
        <v>4021</v>
      </c>
      <c r="D1283" t="s">
        <v>7</v>
      </c>
      <c r="AG1283" t="str">
        <f>T("3683")</f>
        <v>3683</v>
      </c>
      <c r="AH1283" t="str">
        <f>T("13")</f>
        <v>13</v>
      </c>
      <c r="AK1283" t="str">
        <f>T("602")</f>
        <v>602</v>
      </c>
    </row>
    <row r="1284" spans="1:37" x14ac:dyDescent="0.3">
      <c r="A1284" t="s">
        <v>4022</v>
      </c>
      <c r="B1284" t="s">
        <v>4023</v>
      </c>
      <c r="C1284" t="s">
        <v>4024</v>
      </c>
      <c r="D1284" t="s">
        <v>7</v>
      </c>
      <c r="AG1284" t="str">
        <f>T("2451")</f>
        <v>2451</v>
      </c>
      <c r="AH1284" t="str">
        <f>T("3")</f>
        <v>3</v>
      </c>
      <c r="AI1284" t="str">
        <f>T("25")</f>
        <v>25</v>
      </c>
      <c r="AK1284" t="str">
        <f>T("39")</f>
        <v>39</v>
      </c>
    </row>
    <row r="1285" spans="1:37" x14ac:dyDescent="0.3">
      <c r="A1285" t="s">
        <v>4025</v>
      </c>
      <c r="B1285" t="s">
        <v>4026</v>
      </c>
      <c r="C1285" t="s">
        <v>4027</v>
      </c>
      <c r="D1285" t="s">
        <v>7</v>
      </c>
      <c r="AG1285" t="str">
        <f>T("4360")</f>
        <v>4360</v>
      </c>
      <c r="AH1285" t="str">
        <f>T("23")</f>
        <v>23</v>
      </c>
      <c r="AK1285" t="str">
        <f>T("1618")</f>
        <v>1618</v>
      </c>
    </row>
    <row r="1286" spans="1:37" x14ac:dyDescent="0.3">
      <c r="A1286" t="s">
        <v>4028</v>
      </c>
      <c r="B1286" t="s">
        <v>4029</v>
      </c>
      <c r="C1286" t="s">
        <v>4030</v>
      </c>
      <c r="D1286" t="s">
        <v>4031</v>
      </c>
      <c r="AG1286" t="str">
        <f>T("3156")</f>
        <v>3156</v>
      </c>
      <c r="AH1286" t="str">
        <f>T("4")</f>
        <v>4</v>
      </c>
      <c r="AK1286" t="str">
        <f>T("694")</f>
        <v>694</v>
      </c>
    </row>
    <row r="1287" spans="1:37" x14ac:dyDescent="0.3">
      <c r="A1287" t="s">
        <v>4032</v>
      </c>
      <c r="B1287" t="s">
        <v>4033</v>
      </c>
      <c r="C1287" t="s">
        <v>4034</v>
      </c>
      <c r="D1287" t="s">
        <v>7</v>
      </c>
      <c r="K1287" t="str">
        <f>T("172.515")</f>
        <v>172.515</v>
      </c>
      <c r="AG1287" t="str">
        <f>T("2452")</f>
        <v>2452</v>
      </c>
      <c r="AH1287" t="str">
        <f>T("3")</f>
        <v>3</v>
      </c>
      <c r="AI1287" t="str">
        <f>T("25")</f>
        <v>25</v>
      </c>
      <c r="AK1287" t="str">
        <f>T("1009")</f>
        <v>1009</v>
      </c>
    </row>
    <row r="1288" spans="1:37" x14ac:dyDescent="0.3">
      <c r="A1288" t="s">
        <v>4035</v>
      </c>
      <c r="B1288" t="s">
        <v>4036</v>
      </c>
      <c r="C1288" t="s">
        <v>4037</v>
      </c>
      <c r="D1288" t="s">
        <v>15</v>
      </c>
      <c r="K1288" t="str">
        <f>T("172.515")</f>
        <v>172.515</v>
      </c>
      <c r="AG1288" t="str">
        <f>T("2453")</f>
        <v>2453</v>
      </c>
      <c r="AH1288" t="str">
        <f>T("3")</f>
        <v>3</v>
      </c>
      <c r="AI1288" t="str">
        <f>T("25")</f>
        <v>25</v>
      </c>
      <c r="AK1288" t="str">
        <f>T("1458")</f>
        <v>1458</v>
      </c>
    </row>
    <row r="1289" spans="1:37" x14ac:dyDescent="0.3">
      <c r="A1289" t="s">
        <v>4038</v>
      </c>
      <c r="B1289" t="s">
        <v>4039</v>
      </c>
      <c r="C1289" t="s">
        <v>4040</v>
      </c>
      <c r="D1289" t="s">
        <v>7</v>
      </c>
      <c r="K1289" t="str">
        <f>T("172.515")</f>
        <v>172.515</v>
      </c>
      <c r="AG1289" t="str">
        <f>T("2454")</f>
        <v>2454</v>
      </c>
      <c r="AH1289" t="str">
        <f>T("3")</f>
        <v>3</v>
      </c>
      <c r="AK1289" t="str">
        <f>T("1576")</f>
        <v>1576</v>
      </c>
    </row>
    <row r="1290" spans="1:37" x14ac:dyDescent="0.3">
      <c r="A1290" t="s">
        <v>4041</v>
      </c>
      <c r="B1290" t="s">
        <v>4042</v>
      </c>
      <c r="C1290" t="s">
        <v>4043</v>
      </c>
      <c r="D1290" t="s">
        <v>7</v>
      </c>
      <c r="K1290" t="str">
        <f>T("172.515")</f>
        <v>172.515</v>
      </c>
      <c r="AG1290" t="str">
        <f>T("2455")</f>
        <v>2455</v>
      </c>
      <c r="AH1290" t="str">
        <f>T("3")</f>
        <v>3</v>
      </c>
      <c r="AI1290" t="str">
        <f>T("25")</f>
        <v>25</v>
      </c>
      <c r="AK1290" t="str">
        <f>T("644")</f>
        <v>644</v>
      </c>
    </row>
    <row r="1291" spans="1:37" x14ac:dyDescent="0.3">
      <c r="A1291" t="s">
        <v>4044</v>
      </c>
      <c r="B1291" t="s">
        <v>4045</v>
      </c>
      <c r="C1291" t="s">
        <v>4046</v>
      </c>
      <c r="D1291" t="s">
        <v>7</v>
      </c>
      <c r="K1291" t="str">
        <f>T("172.515")</f>
        <v>172.515</v>
      </c>
      <c r="AG1291" t="str">
        <f>T("2456")</f>
        <v>2456</v>
      </c>
      <c r="AH1291" t="str">
        <f>T("3")</f>
        <v>3</v>
      </c>
      <c r="AK1291" t="str">
        <f>T("28")</f>
        <v>28</v>
      </c>
    </row>
    <row r="1292" spans="1:37" x14ac:dyDescent="0.3">
      <c r="A1292" t="s">
        <v>4047</v>
      </c>
      <c r="B1292" t="s">
        <v>4048</v>
      </c>
      <c r="C1292" t="s">
        <v>4049</v>
      </c>
      <c r="D1292" t="s">
        <v>7</v>
      </c>
      <c r="AG1292" t="str">
        <f>T("4041")</f>
        <v>4041</v>
      </c>
      <c r="AH1292" t="str">
        <f>T("21")</f>
        <v>21</v>
      </c>
      <c r="AK1292" t="str">
        <f>T("1694")</f>
        <v>1694</v>
      </c>
    </row>
    <row r="1293" spans="1:37" x14ac:dyDescent="0.3">
      <c r="A1293" t="s">
        <v>4050</v>
      </c>
      <c r="B1293" t="s">
        <v>4051</v>
      </c>
      <c r="C1293" t="s">
        <v>4052</v>
      </c>
      <c r="D1293" t="s">
        <v>7</v>
      </c>
      <c r="AG1293" t="str">
        <f>T("4042")</f>
        <v>4042</v>
      </c>
      <c r="AH1293" t="str">
        <f>T("21")</f>
        <v>21</v>
      </c>
      <c r="AK1293" t="str">
        <f>T("1695")</f>
        <v>1695</v>
      </c>
    </row>
    <row r="1294" spans="1:37" x14ac:dyDescent="0.3">
      <c r="A1294" t="s">
        <v>4053</v>
      </c>
      <c r="B1294" t="s">
        <v>4054</v>
      </c>
      <c r="C1294" t="s">
        <v>4055</v>
      </c>
      <c r="D1294" t="s">
        <v>15</v>
      </c>
      <c r="AG1294" t="str">
        <f>T("3281")</f>
        <v>3281</v>
      </c>
      <c r="AH1294" t="str">
        <f>T("5")</f>
        <v>5</v>
      </c>
      <c r="AK1294" t="str">
        <f>T("762")</f>
        <v>762</v>
      </c>
    </row>
    <row r="1295" spans="1:37" x14ac:dyDescent="0.3">
      <c r="A1295" t="s">
        <v>4056</v>
      </c>
      <c r="B1295" t="s">
        <v>4057</v>
      </c>
      <c r="C1295" t="s">
        <v>4058</v>
      </c>
      <c r="D1295" t="s">
        <v>7</v>
      </c>
      <c r="AG1295" t="str">
        <f>T("3394")</f>
        <v>3394</v>
      </c>
      <c r="AH1295" t="str">
        <f>T("7")</f>
        <v>7</v>
      </c>
      <c r="AI1295" t="str">
        <f>T("25")</f>
        <v>25</v>
      </c>
      <c r="AK1295" t="str">
        <f>T("1315")</f>
        <v>1315</v>
      </c>
    </row>
    <row r="1296" spans="1:37" x14ac:dyDescent="0.3">
      <c r="A1296" t="s">
        <v>4059</v>
      </c>
      <c r="B1296" t="s">
        <v>4060</v>
      </c>
      <c r="C1296" t="s">
        <v>4061</v>
      </c>
      <c r="D1296" t="s">
        <v>7</v>
      </c>
      <c r="AG1296" t="str">
        <f>T("4317")</f>
        <v>4317</v>
      </c>
      <c r="AH1296" t="str">
        <f>T("23")</f>
        <v>23</v>
      </c>
      <c r="AK1296" t="str">
        <f>T("2150")</f>
        <v>2150</v>
      </c>
    </row>
    <row r="1297" spans="1:37" x14ac:dyDescent="0.3">
      <c r="A1297" t="s">
        <v>4062</v>
      </c>
      <c r="B1297" t="s">
        <v>4063</v>
      </c>
      <c r="C1297" t="s">
        <v>4064</v>
      </c>
      <c r="D1297" t="s">
        <v>7</v>
      </c>
      <c r="K1297" t="str">
        <f>T("172.515")</f>
        <v>172.515</v>
      </c>
      <c r="AG1297" t="str">
        <f>T("2457")</f>
        <v>2457</v>
      </c>
      <c r="AH1297" t="str">
        <f>T("3")</f>
        <v>3</v>
      </c>
      <c r="AK1297" t="str">
        <f>T("938")</f>
        <v>938</v>
      </c>
    </row>
    <row r="1298" spans="1:37" x14ac:dyDescent="0.3">
      <c r="A1298" t="s">
        <v>4065</v>
      </c>
      <c r="B1298" t="s">
        <v>4066</v>
      </c>
      <c r="C1298" t="s">
        <v>4067</v>
      </c>
      <c r="D1298" t="s">
        <v>7</v>
      </c>
      <c r="K1298" t="str">
        <f>T("172.515")</f>
        <v>172.515</v>
      </c>
      <c r="AG1298" t="str">
        <f>T("2458")</f>
        <v>2458</v>
      </c>
      <c r="AH1298" t="str">
        <f>T("3")</f>
        <v>3</v>
      </c>
      <c r="AI1298" t="str">
        <f>T("25")</f>
        <v>25</v>
      </c>
      <c r="AK1298" t="str">
        <f>T("900")</f>
        <v>900</v>
      </c>
    </row>
    <row r="1299" spans="1:37" x14ac:dyDescent="0.3">
      <c r="A1299" t="s">
        <v>4068</v>
      </c>
      <c r="B1299" t="s">
        <v>4069</v>
      </c>
      <c r="C1299" t="s">
        <v>4070</v>
      </c>
      <c r="D1299" t="s">
        <v>15</v>
      </c>
      <c r="K1299" t="str">
        <f>T("172.515")</f>
        <v>172.515</v>
      </c>
      <c r="AG1299" t="str">
        <f>T("2459")</f>
        <v>2459</v>
      </c>
      <c r="AH1299" t="str">
        <f>T("3")</f>
        <v>3</v>
      </c>
      <c r="AI1299" t="str">
        <f>T("25")</f>
        <v>25</v>
      </c>
      <c r="AK1299" t="str">
        <f>T("1178")</f>
        <v>1178</v>
      </c>
    </row>
    <row r="1300" spans="1:37" x14ac:dyDescent="0.3">
      <c r="A1300" t="s">
        <v>4071</v>
      </c>
      <c r="B1300" t="s">
        <v>4072</v>
      </c>
      <c r="C1300" t="s">
        <v>4073</v>
      </c>
      <c r="D1300" t="s">
        <v>15</v>
      </c>
      <c r="AG1300" t="str">
        <f>T("3282")</f>
        <v>3282</v>
      </c>
      <c r="AH1300" t="str">
        <f>T("5")</f>
        <v>5</v>
      </c>
      <c r="AK1300" t="str">
        <f>T("483")</f>
        <v>483</v>
      </c>
    </row>
    <row r="1301" spans="1:37" x14ac:dyDescent="0.3">
      <c r="A1301" t="s">
        <v>4074</v>
      </c>
      <c r="B1301" t="s">
        <v>4075</v>
      </c>
      <c r="C1301" t="s">
        <v>4076</v>
      </c>
      <c r="D1301" t="s">
        <v>7</v>
      </c>
      <c r="AG1301" t="str">
        <f>T("4282")</f>
        <v>4282</v>
      </c>
      <c r="AH1301" t="str">
        <f>T("23")</f>
        <v>23</v>
      </c>
      <c r="AK1301" t="str">
        <f>T("1703")</f>
        <v>1703</v>
      </c>
    </row>
    <row r="1302" spans="1:37" x14ac:dyDescent="0.3">
      <c r="A1302" t="s">
        <v>4077</v>
      </c>
      <c r="B1302" t="s">
        <v>4078</v>
      </c>
      <c r="C1302" t="s">
        <v>4079</v>
      </c>
      <c r="D1302" t="s">
        <v>15</v>
      </c>
      <c r="AG1302" t="str">
        <f>T("3345")</f>
        <v>3345</v>
      </c>
      <c r="AH1302" t="str">
        <f>T("6")</f>
        <v>6</v>
      </c>
      <c r="AK1302" t="str">
        <f>T("529")</f>
        <v>529</v>
      </c>
    </row>
    <row r="1303" spans="1:37" x14ac:dyDescent="0.3">
      <c r="A1303" t="s">
        <v>4080</v>
      </c>
      <c r="B1303" t="s">
        <v>4081</v>
      </c>
      <c r="C1303" t="s">
        <v>4082</v>
      </c>
      <c r="D1303" t="s">
        <v>15</v>
      </c>
      <c r="K1303" t="str">
        <f>T("172.515")</f>
        <v>172.515</v>
      </c>
      <c r="AG1303" t="str">
        <f>T("2460")</f>
        <v>2460</v>
      </c>
      <c r="AH1303" t="str">
        <f>T("3")</f>
        <v>3</v>
      </c>
      <c r="AI1303" t="str">
        <f>T("25")</f>
        <v>25</v>
      </c>
      <c r="AK1303" t="str">
        <f>T("1824")</f>
        <v>1824</v>
      </c>
    </row>
    <row r="1304" spans="1:37" x14ac:dyDescent="0.3">
      <c r="A1304" t="s">
        <v>4083</v>
      </c>
      <c r="B1304" t="s">
        <v>4084</v>
      </c>
      <c r="C1304" t="s">
        <v>4085</v>
      </c>
      <c r="D1304" t="s">
        <v>15</v>
      </c>
      <c r="AG1304" t="str">
        <f>T("3675")</f>
        <v>3675</v>
      </c>
      <c r="AH1304" t="str">
        <f>T("13")</f>
        <v>13</v>
      </c>
      <c r="AI1304" t="str">
        <f>T("25")</f>
        <v>25</v>
      </c>
      <c r="AK1304" t="str">
        <f>T("1808")</f>
        <v>1808</v>
      </c>
    </row>
    <row r="1305" spans="1:37" x14ac:dyDescent="0.3">
      <c r="A1305" t="s">
        <v>4086</v>
      </c>
      <c r="B1305" t="s">
        <v>4087</v>
      </c>
      <c r="C1305" t="s">
        <v>4088</v>
      </c>
      <c r="D1305" t="s">
        <v>7</v>
      </c>
      <c r="AG1305" t="str">
        <f>T("4290")</f>
        <v>4290</v>
      </c>
      <c r="AH1305" t="str">
        <f>T("23")</f>
        <v>23</v>
      </c>
      <c r="AK1305" t="str">
        <f>T("1815")</f>
        <v>1815</v>
      </c>
    </row>
    <row r="1306" spans="1:37" x14ac:dyDescent="0.3">
      <c r="A1306" t="s">
        <v>4089</v>
      </c>
      <c r="B1306" t="s">
        <v>4090</v>
      </c>
      <c r="C1306" t="s">
        <v>4091</v>
      </c>
      <c r="D1306" t="s">
        <v>15</v>
      </c>
      <c r="AG1306" t="str">
        <f>T("3491")</f>
        <v>3491</v>
      </c>
      <c r="AH1306" t="str">
        <f>T("10")</f>
        <v>10</v>
      </c>
      <c r="AK1306" t="str">
        <f>T("440")</f>
        <v>440</v>
      </c>
    </row>
    <row r="1307" spans="1:37" x14ac:dyDescent="0.3">
      <c r="A1307" t="s">
        <v>4092</v>
      </c>
      <c r="B1307" t="s">
        <v>4093</v>
      </c>
      <c r="C1307" t="s">
        <v>4094</v>
      </c>
      <c r="D1307" t="s">
        <v>15</v>
      </c>
      <c r="K1307" t="str">
        <f>T("172.515")</f>
        <v>172.515</v>
      </c>
      <c r="AG1307" t="str">
        <f>T("3492")</f>
        <v>3492</v>
      </c>
      <c r="AH1307" t="str">
        <f>T("10")</f>
        <v>10</v>
      </c>
      <c r="AK1307" t="str">
        <f>T("36")</f>
        <v>36</v>
      </c>
    </row>
    <row r="1308" spans="1:37" x14ac:dyDescent="0.3">
      <c r="A1308" t="s">
        <v>4095</v>
      </c>
      <c r="B1308" t="s">
        <v>4096</v>
      </c>
      <c r="C1308" t="s">
        <v>4097</v>
      </c>
      <c r="D1308" t="s">
        <v>15</v>
      </c>
      <c r="K1308" t="str">
        <f>T("172.515")</f>
        <v>172.515</v>
      </c>
      <c r="AG1308" t="str">
        <f>T("2461")</f>
        <v>2461</v>
      </c>
      <c r="AH1308" t="str">
        <f>T("3")</f>
        <v>3</v>
      </c>
      <c r="AK1308" t="str">
        <f>T("343")</f>
        <v>343</v>
      </c>
    </row>
    <row r="1309" spans="1:37" x14ac:dyDescent="0.3">
      <c r="A1309" t="s">
        <v>4098</v>
      </c>
      <c r="B1309" t="s">
        <v>4099</v>
      </c>
      <c r="C1309" t="s">
        <v>4100</v>
      </c>
      <c r="D1309" t="s">
        <v>15</v>
      </c>
      <c r="K1309" t="str">
        <f>T("172.515")</f>
        <v>172.515</v>
      </c>
      <c r="AG1309" t="str">
        <f>T("2462")</f>
        <v>2462</v>
      </c>
      <c r="AH1309" t="str">
        <f>T("3")</f>
        <v>3</v>
      </c>
      <c r="AK1309" t="str">
        <f>T("30")</f>
        <v>30</v>
      </c>
    </row>
    <row r="1310" spans="1:37" x14ac:dyDescent="0.3">
      <c r="A1310" t="s">
        <v>4101</v>
      </c>
      <c r="B1310" t="s">
        <v>4102</v>
      </c>
      <c r="C1310" t="s">
        <v>4103</v>
      </c>
      <c r="D1310" t="s">
        <v>395</v>
      </c>
      <c r="K1310" t="str">
        <f>T("182.60")</f>
        <v>182.60</v>
      </c>
      <c r="L1310" t="str">
        <f>T("182.90")</f>
        <v>182.90</v>
      </c>
      <c r="AG1310" t="str">
        <f>T("2464")</f>
        <v>2464</v>
      </c>
      <c r="AH1310" t="str">
        <f>T("3")</f>
        <v>3</v>
      </c>
      <c r="AK1310" t="str">
        <f>T("893")</f>
        <v>893</v>
      </c>
    </row>
    <row r="1311" spans="1:37" x14ac:dyDescent="0.3">
      <c r="A1311" t="s">
        <v>4104</v>
      </c>
      <c r="B1311" t="s">
        <v>4105</v>
      </c>
      <c r="C1311" t="s">
        <v>4106</v>
      </c>
      <c r="D1311" t="s">
        <v>7</v>
      </c>
      <c r="AG1311" t="str">
        <f>T("3801")</f>
        <v>3801</v>
      </c>
      <c r="AH1311" t="str">
        <f>T("17")</f>
        <v>17</v>
      </c>
      <c r="AK1311" t="str">
        <f>T("892")</f>
        <v>892</v>
      </c>
    </row>
    <row r="1312" spans="1:37" x14ac:dyDescent="0.3">
      <c r="A1312" t="s">
        <v>4107</v>
      </c>
      <c r="B1312" t="s">
        <v>4108</v>
      </c>
      <c r="C1312" t="s">
        <v>4109</v>
      </c>
      <c r="D1312" t="s">
        <v>7</v>
      </c>
      <c r="AG1312" t="str">
        <f>T("3837")</f>
        <v>3837</v>
      </c>
      <c r="AH1312" t="str">
        <f>T("18")</f>
        <v>18</v>
      </c>
      <c r="AK1312" t="str">
        <f>T("953")</f>
        <v>953</v>
      </c>
    </row>
    <row r="1313" spans="1:37" x14ac:dyDescent="0.3">
      <c r="A1313" t="s">
        <v>4110</v>
      </c>
      <c r="B1313" t="s">
        <v>4111</v>
      </c>
      <c r="C1313" t="s">
        <v>4112</v>
      </c>
      <c r="D1313" t="s">
        <v>7</v>
      </c>
      <c r="AG1313" t="str">
        <f>T("3838")</f>
        <v>3838</v>
      </c>
      <c r="AH1313" t="str">
        <f>T("18")</f>
        <v>18</v>
      </c>
      <c r="AK1313" t="str">
        <f>T("954")</f>
        <v>954</v>
      </c>
    </row>
    <row r="1314" spans="1:37" x14ac:dyDescent="0.3">
      <c r="A1314" t="s">
        <v>4113</v>
      </c>
      <c r="B1314" t="s">
        <v>4114</v>
      </c>
      <c r="C1314" t="s">
        <v>4115</v>
      </c>
      <c r="D1314" t="s">
        <v>7</v>
      </c>
      <c r="K1314" t="str">
        <f>T("172.515")</f>
        <v>172.515</v>
      </c>
      <c r="AG1314" t="str">
        <f>T("2465")</f>
        <v>2465</v>
      </c>
      <c r="AH1314" t="str">
        <f t="shared" ref="AH1314:AH1319" si="12">T("3")</f>
        <v>3</v>
      </c>
      <c r="AI1314" t="str">
        <f>T("25")</f>
        <v>25</v>
      </c>
      <c r="AK1314" t="str">
        <f>T("1234")</f>
        <v>1234</v>
      </c>
    </row>
    <row r="1315" spans="1:37" x14ac:dyDescent="0.3">
      <c r="A1315" t="s">
        <v>4116</v>
      </c>
      <c r="B1315" t="s">
        <v>4117</v>
      </c>
      <c r="C1315" t="s">
        <v>4118</v>
      </c>
      <c r="D1315" t="s">
        <v>7</v>
      </c>
      <c r="K1315" t="str">
        <f>T("172.510")</f>
        <v>172.510</v>
      </c>
      <c r="AG1315" t="str">
        <f>T("2466")</f>
        <v>2466</v>
      </c>
      <c r="AH1315" t="str">
        <f t="shared" si="12"/>
        <v>3</v>
      </c>
    </row>
    <row r="1316" spans="1:37" x14ac:dyDescent="0.3">
      <c r="A1316" t="s">
        <v>4119</v>
      </c>
      <c r="B1316" t="s">
        <v>4120</v>
      </c>
      <c r="C1316" t="s">
        <v>4121</v>
      </c>
      <c r="D1316" t="s">
        <v>7</v>
      </c>
      <c r="K1316" t="str">
        <f>T("177.2800")</f>
        <v>177.2800</v>
      </c>
      <c r="L1316" t="str">
        <f>T("184.1257")</f>
        <v>184.1257</v>
      </c>
      <c r="AG1316" t="str">
        <f>T("2467")</f>
        <v>2467</v>
      </c>
      <c r="AH1316" t="str">
        <f t="shared" si="12"/>
        <v>3</v>
      </c>
      <c r="AK1316" t="str">
        <f>T("1529")</f>
        <v>1529</v>
      </c>
    </row>
    <row r="1317" spans="1:37" x14ac:dyDescent="0.3">
      <c r="A1317" t="s">
        <v>4122</v>
      </c>
      <c r="B1317" t="s">
        <v>4123</v>
      </c>
      <c r="C1317" t="s">
        <v>4124</v>
      </c>
      <c r="D1317" t="s">
        <v>7</v>
      </c>
      <c r="K1317" t="str">
        <f>T("172.515")</f>
        <v>172.515</v>
      </c>
      <c r="AG1317" t="str">
        <f>T("2469")</f>
        <v>2469</v>
      </c>
      <c r="AH1317" t="str">
        <f t="shared" si="12"/>
        <v>3</v>
      </c>
      <c r="AK1317" t="str">
        <f>T("1531")</f>
        <v>1531</v>
      </c>
    </row>
    <row r="1318" spans="1:37" x14ac:dyDescent="0.3">
      <c r="A1318" t="s">
        <v>4125</v>
      </c>
      <c r="B1318" t="s">
        <v>4126</v>
      </c>
      <c r="C1318" t="s">
        <v>4127</v>
      </c>
      <c r="D1318" t="s">
        <v>7</v>
      </c>
      <c r="K1318" t="str">
        <f>T("172.515")</f>
        <v>172.515</v>
      </c>
      <c r="AG1318" t="str">
        <f>T("2471")</f>
        <v>2471</v>
      </c>
      <c r="AH1318" t="str">
        <f t="shared" si="12"/>
        <v>3</v>
      </c>
      <c r="AK1318" t="str">
        <f>T("1533")</f>
        <v>1533</v>
      </c>
    </row>
    <row r="1319" spans="1:37" x14ac:dyDescent="0.3">
      <c r="A1319" t="s">
        <v>4128</v>
      </c>
      <c r="B1319" t="s">
        <v>4129</v>
      </c>
      <c r="C1319" t="s">
        <v>4130</v>
      </c>
      <c r="D1319" t="s">
        <v>7</v>
      </c>
      <c r="K1319" t="str">
        <f>T("172.515")</f>
        <v>172.515</v>
      </c>
      <c r="AG1319" t="str">
        <f>T("2473")</f>
        <v>2473</v>
      </c>
      <c r="AH1319" t="str">
        <f t="shared" si="12"/>
        <v>3</v>
      </c>
      <c r="AK1319" t="str">
        <f>T("1530")</f>
        <v>1530</v>
      </c>
    </row>
    <row r="1320" spans="1:37" x14ac:dyDescent="0.3">
      <c r="A1320" t="s">
        <v>4131</v>
      </c>
      <c r="B1320" t="s">
        <v>4132</v>
      </c>
      <c r="C1320" t="s">
        <v>4133</v>
      </c>
      <c r="D1320" t="s">
        <v>7</v>
      </c>
      <c r="AG1320" t="str">
        <f>T("4118")</f>
        <v>4118</v>
      </c>
      <c r="AH1320" t="str">
        <f>T("22")</f>
        <v>22</v>
      </c>
      <c r="AK1320" t="str">
        <f>T("1532")</f>
        <v>1532</v>
      </c>
    </row>
    <row r="1321" spans="1:37" x14ac:dyDescent="0.3">
      <c r="A1321" t="s">
        <v>4134</v>
      </c>
      <c r="B1321" t="s">
        <v>4135</v>
      </c>
      <c r="C1321" t="s">
        <v>4136</v>
      </c>
      <c r="D1321" t="s">
        <v>7</v>
      </c>
      <c r="AG1321" t="str">
        <f>T("4668")</f>
        <v>4668</v>
      </c>
      <c r="AH1321" t="str">
        <f>T("25")</f>
        <v>25</v>
      </c>
      <c r="AK1321" t="str">
        <f>T("2077")</f>
        <v>2077</v>
      </c>
    </row>
    <row r="1322" spans="1:37" x14ac:dyDescent="0.3">
      <c r="A1322" t="s">
        <v>4137</v>
      </c>
      <c r="B1322" t="s">
        <v>4138</v>
      </c>
      <c r="C1322" t="s">
        <v>4139</v>
      </c>
      <c r="D1322" t="s">
        <v>7</v>
      </c>
      <c r="AG1322" t="str">
        <f>T("4019")</f>
        <v>4019</v>
      </c>
      <c r="AH1322" t="str">
        <f>T("20")</f>
        <v>20</v>
      </c>
      <c r="AK1322" t="str">
        <f>T("1228")</f>
        <v>1228</v>
      </c>
    </row>
    <row r="1323" spans="1:37" x14ac:dyDescent="0.3">
      <c r="A1323" t="s">
        <v>4140</v>
      </c>
      <c r="B1323" t="s">
        <v>4141</v>
      </c>
      <c r="C1323" t="s">
        <v>4142</v>
      </c>
      <c r="D1323" t="s">
        <v>7</v>
      </c>
      <c r="AG1323" t="str">
        <f>T("3839")</f>
        <v>3839</v>
      </c>
      <c r="AH1323" t="str">
        <f>T("18")</f>
        <v>18</v>
      </c>
      <c r="AK1323" t="str">
        <f>T("1343")</f>
        <v>1343</v>
      </c>
    </row>
    <row r="1324" spans="1:37" x14ac:dyDescent="0.3">
      <c r="A1324" t="s">
        <v>4143</v>
      </c>
      <c r="B1324" t="s">
        <v>4144</v>
      </c>
      <c r="C1324" t="s">
        <v>4145</v>
      </c>
      <c r="D1324" t="s">
        <v>7</v>
      </c>
      <c r="K1324" t="str">
        <f>T("172.515")</f>
        <v>172.515</v>
      </c>
      <c r="AG1324" t="str">
        <f>T("2478")</f>
        <v>2478</v>
      </c>
      <c r="AH1324" t="str">
        <f>T("3")</f>
        <v>3</v>
      </c>
      <c r="AI1324" t="str">
        <f>T("25")</f>
        <v>25</v>
      </c>
      <c r="AK1324" t="str">
        <f>T("1230")</f>
        <v>1230</v>
      </c>
    </row>
    <row r="1325" spans="1:37" x14ac:dyDescent="0.3">
      <c r="A1325" t="s">
        <v>4146</v>
      </c>
      <c r="B1325" t="s">
        <v>4147</v>
      </c>
      <c r="C1325" t="s">
        <v>4148</v>
      </c>
      <c r="D1325" t="s">
        <v>4149</v>
      </c>
      <c r="K1325" t="str">
        <f>T("172.210")</f>
        <v>172.210</v>
      </c>
      <c r="L1325" t="str">
        <f>T("172.340")</f>
        <v>172.340</v>
      </c>
      <c r="M1325" t="str">
        <f>T("172.822")</f>
        <v>172.822</v>
      </c>
      <c r="N1325" t="str">
        <f>T("172.860")</f>
        <v>172.860</v>
      </c>
      <c r="O1325" t="str">
        <f>T("175.105")</f>
        <v>175.105</v>
      </c>
      <c r="P1325" t="str">
        <f>T("177.2420")</f>
        <v>177.2420</v>
      </c>
      <c r="Q1325" t="str">
        <f>T("177.2600")</f>
        <v>177.2600</v>
      </c>
    </row>
    <row r="1326" spans="1:37" x14ac:dyDescent="0.3">
      <c r="A1326" t="s">
        <v>4150</v>
      </c>
      <c r="B1326" t="s">
        <v>4151</v>
      </c>
      <c r="C1326" t="s">
        <v>4152</v>
      </c>
      <c r="K1326" t="str">
        <f>T("172.864")</f>
        <v>172.864</v>
      </c>
      <c r="L1326" t="str">
        <f>T("178.3480")</f>
        <v>178.3480</v>
      </c>
    </row>
    <row r="1327" spans="1:37" x14ac:dyDescent="0.3">
      <c r="A1327" t="s">
        <v>4153</v>
      </c>
      <c r="B1327" t="s">
        <v>4154</v>
      </c>
      <c r="C1327" t="s">
        <v>4155</v>
      </c>
      <c r="D1327" t="s">
        <v>1537</v>
      </c>
      <c r="E1327" t="str">
        <f>T("74.101")</f>
        <v>74.101</v>
      </c>
      <c r="F1327" t="str">
        <f>T("74.1101")</f>
        <v>74.1101</v>
      </c>
      <c r="G1327" t="str">
        <f>T("74.2101")</f>
        <v>74.2101</v>
      </c>
      <c r="H1327" t="str">
        <f>T("82.101")</f>
        <v>82.101</v>
      </c>
    </row>
    <row r="1328" spans="1:37" x14ac:dyDescent="0.3">
      <c r="A1328" t="s">
        <v>4156</v>
      </c>
      <c r="B1328" t="s">
        <v>4157</v>
      </c>
      <c r="C1328" t="s">
        <v>4158</v>
      </c>
      <c r="D1328" t="s">
        <v>606</v>
      </c>
      <c r="E1328" t="str">
        <f>T("74.1101")</f>
        <v>74.1101</v>
      </c>
      <c r="F1328" t="str">
        <f>T("74.2101")</f>
        <v>74.2101</v>
      </c>
      <c r="K1328" t="str">
        <f>T("176.180")</f>
        <v>176.180</v>
      </c>
    </row>
    <row r="1329" spans="1:13" x14ac:dyDescent="0.3">
      <c r="A1329" t="s">
        <v>4159</v>
      </c>
      <c r="B1329" t="s">
        <v>4160</v>
      </c>
      <c r="C1329" t="s">
        <v>4161</v>
      </c>
      <c r="D1329" t="s">
        <v>606</v>
      </c>
      <c r="K1329" t="str">
        <f>T("176.180")</f>
        <v>176.180</v>
      </c>
    </row>
    <row r="1330" spans="1:13" x14ac:dyDescent="0.3">
      <c r="A1330" t="s">
        <v>4162</v>
      </c>
      <c r="B1330" t="s">
        <v>4163</v>
      </c>
      <c r="C1330" t="s">
        <v>4164</v>
      </c>
      <c r="D1330" t="s">
        <v>606</v>
      </c>
      <c r="E1330" t="str">
        <f>T("74.102")</f>
        <v>74.102</v>
      </c>
      <c r="F1330" t="str">
        <f>T("74.1102")</f>
        <v>74.1102</v>
      </c>
      <c r="G1330" t="str">
        <f>T("82.102")</f>
        <v>82.102</v>
      </c>
    </row>
    <row r="1331" spans="1:13" x14ac:dyDescent="0.3">
      <c r="A1331" t="s">
        <v>4165</v>
      </c>
      <c r="B1331" t="s">
        <v>4166</v>
      </c>
      <c r="C1331" t="s">
        <v>4167</v>
      </c>
      <c r="D1331" t="s">
        <v>606</v>
      </c>
      <c r="K1331" t="str">
        <f>T("176.180")</f>
        <v>176.180</v>
      </c>
    </row>
    <row r="1332" spans="1:13" x14ac:dyDescent="0.3">
      <c r="A1332" t="s">
        <v>4168</v>
      </c>
      <c r="B1332" t="s">
        <v>4169</v>
      </c>
      <c r="C1332" t="s">
        <v>4170</v>
      </c>
      <c r="E1332" t="str">
        <f>T("81.30")</f>
        <v>81.30</v>
      </c>
    </row>
    <row r="1333" spans="1:13" x14ac:dyDescent="0.3">
      <c r="A1333" t="s">
        <v>4171</v>
      </c>
      <c r="B1333" t="s">
        <v>4172</v>
      </c>
      <c r="C1333" t="s">
        <v>4173</v>
      </c>
      <c r="E1333" t="str">
        <f>T("81.30")</f>
        <v>81.30</v>
      </c>
    </row>
    <row r="1334" spans="1:13" x14ac:dyDescent="0.3">
      <c r="A1334" t="s">
        <v>4174</v>
      </c>
      <c r="B1334" t="s">
        <v>4175</v>
      </c>
      <c r="C1334" t="s">
        <v>4176</v>
      </c>
      <c r="D1334" t="s">
        <v>606</v>
      </c>
      <c r="K1334" t="str">
        <f>T("176.180")</f>
        <v>176.180</v>
      </c>
    </row>
    <row r="1335" spans="1:13" x14ac:dyDescent="0.3">
      <c r="A1335" t="s">
        <v>4177</v>
      </c>
      <c r="B1335" t="s">
        <v>4178</v>
      </c>
      <c r="C1335" t="s">
        <v>4179</v>
      </c>
      <c r="E1335" t="str">
        <f>T("81.10")</f>
        <v>81.10</v>
      </c>
      <c r="F1335" t="str">
        <f>T("81.30")</f>
        <v>81.30</v>
      </c>
    </row>
    <row r="1336" spans="1:13" x14ac:dyDescent="0.3">
      <c r="A1336" t="s">
        <v>4180</v>
      </c>
      <c r="B1336" t="s">
        <v>4181</v>
      </c>
      <c r="C1336" t="s">
        <v>4182</v>
      </c>
      <c r="E1336" t="str">
        <f>T("81.10")</f>
        <v>81.10</v>
      </c>
      <c r="F1336" t="str">
        <f>T("81.30")</f>
        <v>81.30</v>
      </c>
    </row>
    <row r="1337" spans="1:13" x14ac:dyDescent="0.3">
      <c r="A1337" t="s">
        <v>4183</v>
      </c>
      <c r="B1337" t="s">
        <v>4184</v>
      </c>
      <c r="C1337" t="s">
        <v>4185</v>
      </c>
      <c r="E1337" t="str">
        <f>T("81.10")</f>
        <v>81.10</v>
      </c>
      <c r="F1337" t="str">
        <f>T("81.30")</f>
        <v>81.30</v>
      </c>
    </row>
    <row r="1338" spans="1:13" x14ac:dyDescent="0.3">
      <c r="A1338" t="s">
        <v>4186</v>
      </c>
      <c r="B1338" t="s">
        <v>4187</v>
      </c>
      <c r="C1338" t="s">
        <v>4188</v>
      </c>
      <c r="E1338" t="str">
        <f>T("81.10")</f>
        <v>81.10</v>
      </c>
      <c r="F1338" t="str">
        <f>T("81.30")</f>
        <v>81.30</v>
      </c>
    </row>
    <row r="1339" spans="1:13" x14ac:dyDescent="0.3">
      <c r="A1339" t="s">
        <v>4189</v>
      </c>
      <c r="B1339" t="s">
        <v>4190</v>
      </c>
      <c r="C1339" t="s">
        <v>4191</v>
      </c>
      <c r="E1339" t="str">
        <f>T("74.1304")</f>
        <v>74.1304</v>
      </c>
      <c r="F1339" t="str">
        <f>T("74.2304")</f>
        <v>74.2304</v>
      </c>
      <c r="G1339" t="str">
        <f>T("81.10")</f>
        <v>81.10</v>
      </c>
      <c r="H1339" t="str">
        <f>T("81.30")</f>
        <v>81.30</v>
      </c>
      <c r="I1339" t="str">
        <f>T("82.304")</f>
        <v>82.304</v>
      </c>
    </row>
    <row r="1340" spans="1:13" x14ac:dyDescent="0.3">
      <c r="A1340" t="s">
        <v>4192</v>
      </c>
      <c r="B1340" t="s">
        <v>4193</v>
      </c>
      <c r="C1340" t="s">
        <v>4194</v>
      </c>
      <c r="D1340" t="s">
        <v>4195</v>
      </c>
      <c r="E1340" t="str">
        <f>T("74.1303")</f>
        <v>74.1303</v>
      </c>
      <c r="F1340" t="str">
        <f>T("74.303")</f>
        <v>74.303</v>
      </c>
      <c r="G1340" t="str">
        <f>T("81.10")</f>
        <v>81.10</v>
      </c>
    </row>
    <row r="1341" spans="1:13" x14ac:dyDescent="0.3">
      <c r="A1341" t="s">
        <v>4196</v>
      </c>
      <c r="B1341" t="s">
        <v>4197</v>
      </c>
      <c r="C1341" t="s">
        <v>4198</v>
      </c>
      <c r="D1341" t="s">
        <v>1537</v>
      </c>
      <c r="E1341" t="str">
        <f>T("74.1340")</f>
        <v>74.1340</v>
      </c>
      <c r="F1341" t="str">
        <f>T("74.2340")</f>
        <v>74.2340</v>
      </c>
      <c r="G1341" t="str">
        <f>T("74.340")</f>
        <v>74.340</v>
      </c>
    </row>
    <row r="1342" spans="1:13" x14ac:dyDescent="0.3">
      <c r="A1342" t="s">
        <v>4199</v>
      </c>
      <c r="B1342" t="s">
        <v>4200</v>
      </c>
      <c r="C1342" t="s">
        <v>4201</v>
      </c>
      <c r="E1342" t="str">
        <f>T("81.10")</f>
        <v>81.10</v>
      </c>
      <c r="F1342" t="str">
        <f>T("81.30")</f>
        <v>81.30</v>
      </c>
    </row>
    <row r="1343" spans="1:13" x14ac:dyDescent="0.3">
      <c r="A1343" t="s">
        <v>4202</v>
      </c>
      <c r="B1343" t="s">
        <v>4203</v>
      </c>
      <c r="C1343" t="s">
        <v>4204</v>
      </c>
      <c r="D1343" t="s">
        <v>1537</v>
      </c>
      <c r="E1343" t="str">
        <f>T("74.1705")</f>
        <v>74.1705</v>
      </c>
      <c r="F1343" t="str">
        <f>T("74.2705")</f>
        <v>74.2705</v>
      </c>
      <c r="G1343" t="str">
        <f>T("74.705")</f>
        <v>74.705</v>
      </c>
      <c r="H1343" t="str">
        <f>T("82.705")</f>
        <v>82.705</v>
      </c>
      <c r="K1343" t="str">
        <f>T("176.170")</f>
        <v>176.170</v>
      </c>
      <c r="L1343" t="str">
        <f>T("178.1010")</f>
        <v>178.1010</v>
      </c>
      <c r="M1343" t="str">
        <f>T("178.3297")</f>
        <v>178.3297</v>
      </c>
    </row>
    <row r="1344" spans="1:13" x14ac:dyDescent="0.3">
      <c r="A1344" t="s">
        <v>4205</v>
      </c>
      <c r="B1344" t="s">
        <v>4206</v>
      </c>
      <c r="C1344" t="s">
        <v>4207</v>
      </c>
      <c r="D1344" t="s">
        <v>606</v>
      </c>
      <c r="E1344" t="str">
        <f>T("74.1705")</f>
        <v>74.1705</v>
      </c>
      <c r="F1344" t="str">
        <f>T("82.705")</f>
        <v>82.705</v>
      </c>
      <c r="K1344" t="str">
        <f>T("176.180")</f>
        <v>176.180</v>
      </c>
    </row>
    <row r="1345" spans="1:37" x14ac:dyDescent="0.3">
      <c r="A1345" t="s">
        <v>4208</v>
      </c>
      <c r="B1345" t="s">
        <v>4209</v>
      </c>
      <c r="C1345" t="s">
        <v>4210</v>
      </c>
      <c r="D1345" t="s">
        <v>606</v>
      </c>
      <c r="E1345" t="str">
        <f>T("82.705")</f>
        <v>82.705</v>
      </c>
      <c r="K1345" t="str">
        <f>T("176.180")</f>
        <v>176.180</v>
      </c>
    </row>
    <row r="1346" spans="1:37" x14ac:dyDescent="0.3">
      <c r="A1346" t="s">
        <v>4211</v>
      </c>
      <c r="B1346" t="s">
        <v>4212</v>
      </c>
      <c r="C1346" t="s">
        <v>4213</v>
      </c>
      <c r="D1346" t="s">
        <v>1537</v>
      </c>
      <c r="E1346" t="str">
        <f>T("74.1706")</f>
        <v>74.1706</v>
      </c>
      <c r="F1346" t="str">
        <f>T("74.2706")</f>
        <v>74.2706</v>
      </c>
      <c r="G1346" t="str">
        <f>T("74.706")</f>
        <v>74.706</v>
      </c>
      <c r="H1346" t="str">
        <f>T("82.706")</f>
        <v>82.706</v>
      </c>
    </row>
    <row r="1347" spans="1:37" x14ac:dyDescent="0.3">
      <c r="A1347" t="s">
        <v>4214</v>
      </c>
      <c r="B1347" t="s">
        <v>4215</v>
      </c>
      <c r="C1347" t="s">
        <v>4216</v>
      </c>
      <c r="D1347" t="s">
        <v>1537</v>
      </c>
      <c r="E1347" t="str">
        <f>T("82.706")</f>
        <v>82.706</v>
      </c>
      <c r="K1347" t="str">
        <f>T("176.180")</f>
        <v>176.180</v>
      </c>
    </row>
    <row r="1348" spans="1:37" x14ac:dyDescent="0.3">
      <c r="A1348" t="s">
        <v>4217</v>
      </c>
      <c r="B1348" t="s">
        <v>4218</v>
      </c>
      <c r="C1348" t="s">
        <v>4219</v>
      </c>
      <c r="D1348" t="s">
        <v>606</v>
      </c>
      <c r="E1348" t="str">
        <f>T("82.706")</f>
        <v>82.706</v>
      </c>
      <c r="K1348" t="str">
        <f>T("176.180")</f>
        <v>176.180</v>
      </c>
    </row>
    <row r="1349" spans="1:37" x14ac:dyDescent="0.3">
      <c r="A1349" t="s">
        <v>4220</v>
      </c>
      <c r="B1349" t="s">
        <v>4221</v>
      </c>
      <c r="C1349" t="s">
        <v>4222</v>
      </c>
      <c r="D1349" t="s">
        <v>606</v>
      </c>
      <c r="E1349" t="str">
        <f>T("74.1203")</f>
        <v>74.1203</v>
      </c>
      <c r="F1349" t="str">
        <f>T("74.203")</f>
        <v>74.203</v>
      </c>
      <c r="G1349" t="str">
        <f>T("74.2203")</f>
        <v>74.2203</v>
      </c>
      <c r="H1349" t="str">
        <f>T("82.203")</f>
        <v>82.203</v>
      </c>
    </row>
    <row r="1350" spans="1:37" x14ac:dyDescent="0.3">
      <c r="A1350" t="s">
        <v>4223</v>
      </c>
      <c r="B1350" t="s">
        <v>4224</v>
      </c>
      <c r="C1350" t="s">
        <v>4225</v>
      </c>
      <c r="D1350" t="s">
        <v>606</v>
      </c>
      <c r="K1350" t="str">
        <f>T("176.180")</f>
        <v>176.180</v>
      </c>
    </row>
    <row r="1351" spans="1:37" x14ac:dyDescent="0.3">
      <c r="A1351" t="s">
        <v>4226</v>
      </c>
      <c r="B1351" t="s">
        <v>4227</v>
      </c>
      <c r="C1351" t="s">
        <v>4228</v>
      </c>
      <c r="D1351" t="s">
        <v>606</v>
      </c>
      <c r="E1351" t="str">
        <f>T("74.2340")</f>
        <v>74.2340</v>
      </c>
      <c r="F1351" t="str">
        <f>T("74.340")</f>
        <v>74.340</v>
      </c>
      <c r="K1351" t="str">
        <f>T("176.180")</f>
        <v>176.180</v>
      </c>
    </row>
    <row r="1352" spans="1:37" x14ac:dyDescent="0.3">
      <c r="A1352" t="s">
        <v>4229</v>
      </c>
      <c r="B1352" t="s">
        <v>4230</v>
      </c>
      <c r="C1352" t="s">
        <v>4231</v>
      </c>
      <c r="D1352" t="s">
        <v>606</v>
      </c>
      <c r="E1352" t="str">
        <f>T("74.340")</f>
        <v>74.340</v>
      </c>
      <c r="K1352" t="str">
        <f>T("176.180")</f>
        <v>176.180</v>
      </c>
    </row>
    <row r="1353" spans="1:37" x14ac:dyDescent="0.3">
      <c r="A1353" t="s">
        <v>4232</v>
      </c>
      <c r="B1353" t="s">
        <v>4233</v>
      </c>
      <c r="C1353" t="s">
        <v>4234</v>
      </c>
      <c r="D1353" t="s">
        <v>15</v>
      </c>
      <c r="K1353" t="str">
        <f>T("172.515")</f>
        <v>172.515</v>
      </c>
      <c r="AG1353" t="str">
        <f>T("2479")</f>
        <v>2479</v>
      </c>
      <c r="AH1353" t="str">
        <f t="shared" ref="AH1353:AH1360" si="13">T("3")</f>
        <v>3</v>
      </c>
      <c r="AI1353" t="str">
        <f>T("25")</f>
        <v>25</v>
      </c>
      <c r="AK1353" t="str">
        <f>T("1396")</f>
        <v>1396</v>
      </c>
    </row>
    <row r="1354" spans="1:37" x14ac:dyDescent="0.3">
      <c r="A1354" t="s">
        <v>4235</v>
      </c>
      <c r="B1354" t="s">
        <v>4236</v>
      </c>
      <c r="C1354" t="s">
        <v>4237</v>
      </c>
      <c r="D1354" t="s">
        <v>15</v>
      </c>
      <c r="K1354" t="str">
        <f>T("172.515")</f>
        <v>172.515</v>
      </c>
      <c r="AG1354" t="str">
        <f>T("2480")</f>
        <v>2480</v>
      </c>
      <c r="AH1354" t="str">
        <f t="shared" si="13"/>
        <v>3</v>
      </c>
      <c r="AI1354" t="str">
        <f>T("25")</f>
        <v>25</v>
      </c>
      <c r="AK1354" t="str">
        <f>T("1397")</f>
        <v>1397</v>
      </c>
    </row>
    <row r="1355" spans="1:37" x14ac:dyDescent="0.3">
      <c r="A1355" t="s">
        <v>4238</v>
      </c>
      <c r="B1355" t="s">
        <v>4239</v>
      </c>
      <c r="C1355" t="s">
        <v>4240</v>
      </c>
      <c r="D1355" t="s">
        <v>7</v>
      </c>
      <c r="K1355" t="str">
        <f>T("182.10")</f>
        <v>182.10</v>
      </c>
      <c r="AG1355" t="str">
        <f>T("2481")</f>
        <v>2481</v>
      </c>
      <c r="AH1355" t="str">
        <f t="shared" si="13"/>
        <v>3</v>
      </c>
    </row>
    <row r="1356" spans="1:37" x14ac:dyDescent="0.3">
      <c r="A1356" t="s">
        <v>4241</v>
      </c>
      <c r="B1356" t="s">
        <v>4242</v>
      </c>
      <c r="C1356" t="s">
        <v>4243</v>
      </c>
      <c r="D1356" t="s">
        <v>7</v>
      </c>
      <c r="K1356" t="str">
        <f>T("182.10")</f>
        <v>182.10</v>
      </c>
      <c r="AG1356" t="str">
        <f>T("2482")</f>
        <v>2482</v>
      </c>
      <c r="AH1356" t="str">
        <f t="shared" si="13"/>
        <v>3</v>
      </c>
    </row>
    <row r="1357" spans="1:37" x14ac:dyDescent="0.3">
      <c r="A1357" t="s">
        <v>4244</v>
      </c>
      <c r="B1357" t="s">
        <v>4245</v>
      </c>
      <c r="C1357" t="s">
        <v>4246</v>
      </c>
      <c r="D1357" t="s">
        <v>7</v>
      </c>
      <c r="K1357" t="str">
        <f>T("182.20")</f>
        <v>182.20</v>
      </c>
      <c r="AG1357" t="str">
        <f>T("2483")</f>
        <v>2483</v>
      </c>
      <c r="AH1357" t="str">
        <f t="shared" si="13"/>
        <v>3</v>
      </c>
    </row>
    <row r="1358" spans="1:37" x14ac:dyDescent="0.3">
      <c r="A1358" t="s">
        <v>4247</v>
      </c>
      <c r="B1358" t="s">
        <v>4248</v>
      </c>
      <c r="C1358" t="s">
        <v>4249</v>
      </c>
      <c r="D1358" t="s">
        <v>7</v>
      </c>
      <c r="K1358" t="str">
        <f>T("182.10")</f>
        <v>182.10</v>
      </c>
      <c r="AF1358" t="str">
        <f>T("101.22")</f>
        <v>101.22</v>
      </c>
      <c r="AG1358" t="str">
        <f>T("2484")</f>
        <v>2484</v>
      </c>
      <c r="AH1358" t="str">
        <f t="shared" si="13"/>
        <v>3</v>
      </c>
    </row>
    <row r="1359" spans="1:37" x14ac:dyDescent="0.3">
      <c r="A1359" t="s">
        <v>4250</v>
      </c>
      <c r="B1359" t="s">
        <v>4251</v>
      </c>
      <c r="C1359" t="s">
        <v>4252</v>
      </c>
      <c r="D1359" t="s">
        <v>7</v>
      </c>
      <c r="K1359" t="str">
        <f>T("182.20")</f>
        <v>182.20</v>
      </c>
      <c r="AG1359" t="str">
        <f>T("2485")</f>
        <v>2485</v>
      </c>
      <c r="AH1359" t="str">
        <f t="shared" si="13"/>
        <v>3</v>
      </c>
    </row>
    <row r="1360" spans="1:37" x14ac:dyDescent="0.3">
      <c r="A1360" t="s">
        <v>4253</v>
      </c>
      <c r="B1360" t="s">
        <v>4254</v>
      </c>
      <c r="C1360" t="s">
        <v>4255</v>
      </c>
      <c r="D1360" t="s">
        <v>7</v>
      </c>
      <c r="K1360" t="str">
        <f>T("182.20")</f>
        <v>182.20</v>
      </c>
      <c r="AG1360" t="str">
        <f>T("2486")</f>
        <v>2486</v>
      </c>
      <c r="AH1360" t="str">
        <f t="shared" si="13"/>
        <v>3</v>
      </c>
    </row>
    <row r="1361" spans="1:13" x14ac:dyDescent="0.3">
      <c r="A1361" t="s">
        <v>4256</v>
      </c>
      <c r="B1361" t="s">
        <v>4257</v>
      </c>
      <c r="C1361" t="s">
        <v>4258</v>
      </c>
      <c r="D1361" t="s">
        <v>137</v>
      </c>
      <c r="K1361" t="str">
        <f>T("184.1296")</f>
        <v>184.1296</v>
      </c>
    </row>
    <row r="1362" spans="1:13" x14ac:dyDescent="0.3">
      <c r="A1362" t="s">
        <v>4259</v>
      </c>
      <c r="B1362" t="s">
        <v>4260</v>
      </c>
      <c r="C1362" t="s">
        <v>4261</v>
      </c>
      <c r="D1362" t="s">
        <v>4262</v>
      </c>
      <c r="K1362" t="str">
        <f>T("175.105")</f>
        <v>175.105</v>
      </c>
      <c r="L1362" t="str">
        <f>T("176.170")</f>
        <v>176.170</v>
      </c>
      <c r="M1362" t="str">
        <f>T("184.1297")</f>
        <v>184.1297</v>
      </c>
    </row>
    <row r="1363" spans="1:13" x14ac:dyDescent="0.3">
      <c r="A1363" t="s">
        <v>4263</v>
      </c>
      <c r="B1363" t="s">
        <v>4264</v>
      </c>
      <c r="C1363" t="s">
        <v>4265</v>
      </c>
      <c r="D1363" t="s">
        <v>137</v>
      </c>
    </row>
    <row r="1364" spans="1:13" x14ac:dyDescent="0.3">
      <c r="A1364" t="s">
        <v>4266</v>
      </c>
      <c r="B1364" t="s">
        <v>4267</v>
      </c>
      <c r="C1364" t="s">
        <v>4268</v>
      </c>
      <c r="D1364" t="s">
        <v>460</v>
      </c>
      <c r="E1364" t="str">
        <f>T("73.350")</f>
        <v>73.350</v>
      </c>
      <c r="K1364" t="str">
        <f>T("176.170")</f>
        <v>176.170</v>
      </c>
      <c r="L1364" t="str">
        <f>T("178.3297")</f>
        <v>178.3297</v>
      </c>
      <c r="M1364" t="str">
        <f>T("186.1300")</f>
        <v>186.1300</v>
      </c>
    </row>
    <row r="1365" spans="1:13" x14ac:dyDescent="0.3">
      <c r="A1365" t="s">
        <v>4269</v>
      </c>
      <c r="B1365" t="s">
        <v>4270</v>
      </c>
      <c r="C1365" t="s">
        <v>4271</v>
      </c>
      <c r="D1365" t="s">
        <v>137</v>
      </c>
    </row>
    <row r="1366" spans="1:13" x14ac:dyDescent="0.3">
      <c r="A1366" t="s">
        <v>4272</v>
      </c>
      <c r="B1366" t="s">
        <v>4273</v>
      </c>
      <c r="C1366" t="s">
        <v>4274</v>
      </c>
      <c r="D1366" t="s">
        <v>137</v>
      </c>
      <c r="K1366" t="str">
        <f>T("184.1301")</f>
        <v>184.1301</v>
      </c>
    </row>
    <row r="1367" spans="1:13" x14ac:dyDescent="0.3">
      <c r="A1367" t="s">
        <v>4275</v>
      </c>
      <c r="B1367" t="s">
        <v>4276</v>
      </c>
      <c r="C1367" t="s">
        <v>4277</v>
      </c>
      <c r="D1367" t="s">
        <v>137</v>
      </c>
      <c r="K1367" t="str">
        <f>T("184.1304")</f>
        <v>184.1304</v>
      </c>
    </row>
    <row r="1368" spans="1:13" x14ac:dyDescent="0.3">
      <c r="A1368" t="s">
        <v>4278</v>
      </c>
      <c r="B1368" t="s">
        <v>4279</v>
      </c>
      <c r="C1368" t="s">
        <v>4280</v>
      </c>
    </row>
    <row r="1369" spans="1:13" x14ac:dyDescent="0.3">
      <c r="A1369" t="s">
        <v>4281</v>
      </c>
      <c r="B1369" t="s">
        <v>4282</v>
      </c>
      <c r="C1369" t="s">
        <v>4283</v>
      </c>
      <c r="D1369" t="s">
        <v>7</v>
      </c>
      <c r="K1369" t="str">
        <f>T("184.1307")</f>
        <v>184.1307</v>
      </c>
    </row>
    <row r="1370" spans="1:13" x14ac:dyDescent="0.3">
      <c r="A1370" t="s">
        <v>4284</v>
      </c>
      <c r="B1370" t="s">
        <v>4285</v>
      </c>
      <c r="C1370" t="s">
        <v>4286</v>
      </c>
    </row>
    <row r="1371" spans="1:13" x14ac:dyDescent="0.3">
      <c r="A1371" t="s">
        <v>4287</v>
      </c>
      <c r="B1371" t="s">
        <v>4288</v>
      </c>
      <c r="C1371" t="s">
        <v>4289</v>
      </c>
      <c r="D1371" t="s">
        <v>137</v>
      </c>
    </row>
    <row r="1372" spans="1:13" x14ac:dyDescent="0.3">
      <c r="A1372" t="s">
        <v>4290</v>
      </c>
      <c r="B1372" t="s">
        <v>4291</v>
      </c>
      <c r="C1372" t="s">
        <v>4292</v>
      </c>
    </row>
    <row r="1373" spans="1:13" x14ac:dyDescent="0.3">
      <c r="A1373" t="s">
        <v>4293</v>
      </c>
      <c r="B1373" t="s">
        <v>4294</v>
      </c>
      <c r="C1373" t="s">
        <v>4295</v>
      </c>
      <c r="D1373" t="s">
        <v>137</v>
      </c>
    </row>
    <row r="1374" spans="1:13" x14ac:dyDescent="0.3">
      <c r="A1374" t="s">
        <v>4296</v>
      </c>
      <c r="B1374" t="s">
        <v>4297</v>
      </c>
      <c r="C1374" t="s">
        <v>4298</v>
      </c>
      <c r="D1374" t="s">
        <v>137</v>
      </c>
      <c r="K1374" t="str">
        <f>T("172.350")</f>
        <v>172.350</v>
      </c>
    </row>
    <row r="1375" spans="1:13" x14ac:dyDescent="0.3">
      <c r="A1375" t="s">
        <v>4299</v>
      </c>
      <c r="B1375" t="s">
        <v>4300</v>
      </c>
      <c r="C1375" t="s">
        <v>4301</v>
      </c>
      <c r="D1375" t="s">
        <v>4302</v>
      </c>
      <c r="E1375" t="str">
        <f>T("73.160")</f>
        <v>73.160</v>
      </c>
      <c r="K1375" t="str">
        <f>T("182.80")</f>
        <v>182.80</v>
      </c>
      <c r="L1375" t="str">
        <f>T("184.1308")</f>
        <v>184.1308</v>
      </c>
    </row>
    <row r="1376" spans="1:13" x14ac:dyDescent="0.3">
      <c r="A1376" t="s">
        <v>4303</v>
      </c>
      <c r="B1376" t="s">
        <v>4304</v>
      </c>
      <c r="C1376" t="s">
        <v>4305</v>
      </c>
      <c r="D1376" t="s">
        <v>4302</v>
      </c>
      <c r="E1376" t="str">
        <f>T("73.165")</f>
        <v>73.165</v>
      </c>
      <c r="K1376" t="str">
        <f>T("184.1311")</f>
        <v>184.1311</v>
      </c>
    </row>
    <row r="1377" spans="1:37" x14ac:dyDescent="0.3">
      <c r="A1377" t="s">
        <v>4306</v>
      </c>
      <c r="B1377" t="s">
        <v>4307</v>
      </c>
      <c r="D1377" t="s">
        <v>7</v>
      </c>
      <c r="AG1377" t="str">
        <f>T("4699")</f>
        <v>4699</v>
      </c>
      <c r="AH1377" t="str">
        <f>T("25")</f>
        <v>25</v>
      </c>
    </row>
    <row r="1378" spans="1:37" x14ac:dyDescent="0.3">
      <c r="A1378" t="s">
        <v>4308</v>
      </c>
      <c r="B1378" t="s">
        <v>4309</v>
      </c>
      <c r="C1378" t="s">
        <v>4310</v>
      </c>
      <c r="D1378" t="s">
        <v>137</v>
      </c>
    </row>
    <row r="1379" spans="1:37" x14ac:dyDescent="0.3">
      <c r="A1379" t="s">
        <v>4311</v>
      </c>
      <c r="B1379" t="s">
        <v>4312</v>
      </c>
      <c r="C1379" t="s">
        <v>4313</v>
      </c>
      <c r="D1379" t="s">
        <v>4314</v>
      </c>
      <c r="K1379" t="str">
        <f>T("184.1315")</f>
        <v>184.1315</v>
      </c>
    </row>
    <row r="1380" spans="1:37" x14ac:dyDescent="0.3">
      <c r="A1380" t="s">
        <v>4315</v>
      </c>
      <c r="B1380" t="s">
        <v>4316</v>
      </c>
      <c r="C1380" t="s">
        <v>4317</v>
      </c>
      <c r="D1380" t="s">
        <v>3431</v>
      </c>
      <c r="K1380" t="str">
        <f>T("184.1316")</f>
        <v>184.1316</v>
      </c>
    </row>
    <row r="1381" spans="1:37" x14ac:dyDescent="0.3">
      <c r="A1381" t="s">
        <v>4318</v>
      </c>
      <c r="B1381" t="s">
        <v>4319</v>
      </c>
      <c r="C1381" t="s">
        <v>4320</v>
      </c>
      <c r="D1381" t="s">
        <v>7</v>
      </c>
      <c r="K1381" t="str">
        <f>T("172.510")</f>
        <v>172.510</v>
      </c>
      <c r="AG1381" t="str">
        <f>T("2905")</f>
        <v>2905</v>
      </c>
      <c r="AH1381" t="str">
        <f>T("3")</f>
        <v>3</v>
      </c>
    </row>
    <row r="1382" spans="1:37" x14ac:dyDescent="0.3">
      <c r="A1382" t="s">
        <v>4321</v>
      </c>
      <c r="B1382" t="s">
        <v>4322</v>
      </c>
      <c r="C1382" t="s">
        <v>4323</v>
      </c>
      <c r="D1382" t="s">
        <v>7</v>
      </c>
      <c r="K1382" t="str">
        <f>T("172.510")</f>
        <v>172.510</v>
      </c>
      <c r="AG1382" t="str">
        <f>T("2905")</f>
        <v>2905</v>
      </c>
      <c r="AH1382" t="str">
        <f>T("3")</f>
        <v>3</v>
      </c>
    </row>
    <row r="1383" spans="1:37" x14ac:dyDescent="0.3">
      <c r="A1383" t="s">
        <v>4324</v>
      </c>
      <c r="B1383" t="s">
        <v>4325</v>
      </c>
      <c r="C1383" t="s">
        <v>4326</v>
      </c>
      <c r="D1383" t="s">
        <v>420</v>
      </c>
      <c r="K1383" t="str">
        <f>T("176.170")</f>
        <v>176.170</v>
      </c>
      <c r="L1383" t="str">
        <f>T("176.180")</f>
        <v>176.180</v>
      </c>
      <c r="M1383" t="str">
        <f>T("176.210")</f>
        <v>176.210</v>
      </c>
      <c r="N1383" t="str">
        <f>T("177.2800")</f>
        <v>177.2800</v>
      </c>
      <c r="O1383" t="str">
        <f>T("186.1551")</f>
        <v>186.1551</v>
      </c>
    </row>
    <row r="1384" spans="1:37" x14ac:dyDescent="0.3">
      <c r="A1384" t="s">
        <v>4327</v>
      </c>
      <c r="B1384" t="s">
        <v>4328</v>
      </c>
      <c r="C1384" t="s">
        <v>4329</v>
      </c>
      <c r="D1384" t="s">
        <v>137</v>
      </c>
      <c r="K1384" t="str">
        <f>T("172.385")</f>
        <v>172.385</v>
      </c>
    </row>
    <row r="1385" spans="1:37" x14ac:dyDescent="0.3">
      <c r="A1385" t="s">
        <v>4330</v>
      </c>
      <c r="B1385" t="s">
        <v>4331</v>
      </c>
      <c r="C1385" t="s">
        <v>4332</v>
      </c>
      <c r="D1385" t="s">
        <v>137</v>
      </c>
      <c r="K1385" t="str">
        <f>T("172.340")</f>
        <v>172.340</v>
      </c>
    </row>
    <row r="1386" spans="1:37" x14ac:dyDescent="0.3">
      <c r="A1386" t="s">
        <v>4333</v>
      </c>
      <c r="B1386" t="s">
        <v>4334</v>
      </c>
      <c r="C1386" t="s">
        <v>4335</v>
      </c>
      <c r="D1386" t="s">
        <v>137</v>
      </c>
      <c r="K1386" t="str">
        <f>T("172.345")</f>
        <v>172.345</v>
      </c>
      <c r="L1386" t="str">
        <f>T("172.896")</f>
        <v>172.896</v>
      </c>
      <c r="AF1386" t="s">
        <v>4336</v>
      </c>
    </row>
    <row r="1387" spans="1:37" x14ac:dyDescent="0.3">
      <c r="A1387" t="s">
        <v>4337</v>
      </c>
      <c r="B1387" t="s">
        <v>4338</v>
      </c>
      <c r="C1387" t="s">
        <v>4339</v>
      </c>
      <c r="D1387" t="s">
        <v>3660</v>
      </c>
      <c r="K1387" t="str">
        <f>T("173.340")</f>
        <v>173.340</v>
      </c>
      <c r="L1387" t="str">
        <f>T("175.105")</f>
        <v>175.105</v>
      </c>
      <c r="M1387" t="str">
        <f>T("175.210")</f>
        <v>175.210</v>
      </c>
      <c r="N1387" t="str">
        <f>T("175.300")</f>
        <v>175.300</v>
      </c>
      <c r="O1387" t="str">
        <f>T("176.170")</f>
        <v>176.170</v>
      </c>
      <c r="P1387" t="str">
        <f>T("176.180")</f>
        <v>176.180</v>
      </c>
      <c r="Q1387" t="str">
        <f>T("176.200")</f>
        <v>176.200</v>
      </c>
      <c r="R1387" t="str">
        <f>T("177.1200")</f>
        <v>177.1200</v>
      </c>
      <c r="S1387" t="str">
        <f>T("177.2410")</f>
        <v>177.2410</v>
      </c>
      <c r="T1387" t="str">
        <f>T("178.3120")</f>
        <v>178.3120</v>
      </c>
    </row>
    <row r="1388" spans="1:37" x14ac:dyDescent="0.3">
      <c r="A1388" t="s">
        <v>4340</v>
      </c>
      <c r="B1388" t="s">
        <v>4341</v>
      </c>
      <c r="C1388" t="s">
        <v>4342</v>
      </c>
      <c r="D1388" t="s">
        <v>1360</v>
      </c>
      <c r="K1388" t="str">
        <f>T("172.515")</f>
        <v>172.515</v>
      </c>
      <c r="L1388" t="str">
        <f>T("172.723")</f>
        <v>172.723</v>
      </c>
      <c r="M1388" t="str">
        <f>T("186.1316")</f>
        <v>186.1316</v>
      </c>
      <c r="AG1388" t="str">
        <f>T("2487")</f>
        <v>2487</v>
      </c>
      <c r="AH1388" t="str">
        <f>T("3")</f>
        <v>3</v>
      </c>
      <c r="AI1388" t="str">
        <f>T("25")</f>
        <v>25</v>
      </c>
      <c r="AK1388" t="str">
        <f>T("79")</f>
        <v>79</v>
      </c>
    </row>
    <row r="1389" spans="1:37" x14ac:dyDescent="0.3">
      <c r="A1389" t="s">
        <v>4343</v>
      </c>
      <c r="B1389" t="s">
        <v>4344</v>
      </c>
      <c r="C1389" t="s">
        <v>4345</v>
      </c>
      <c r="D1389" t="s">
        <v>7</v>
      </c>
      <c r="AG1389" t="str">
        <f>T("3395")</f>
        <v>3395</v>
      </c>
      <c r="AH1389" t="str">
        <f>T("7")</f>
        <v>7</v>
      </c>
      <c r="AK1389" t="str">
        <f>T("980")</f>
        <v>980</v>
      </c>
    </row>
    <row r="1390" spans="1:37" x14ac:dyDescent="0.3">
      <c r="A1390" t="s">
        <v>4346</v>
      </c>
      <c r="B1390" t="s">
        <v>4347</v>
      </c>
      <c r="C1390" t="s">
        <v>4348</v>
      </c>
      <c r="D1390" t="s">
        <v>7</v>
      </c>
      <c r="AG1390" t="str">
        <f>T("4606")</f>
        <v>4606</v>
      </c>
      <c r="AH1390" t="str">
        <f>T("24")</f>
        <v>24</v>
      </c>
    </row>
    <row r="1391" spans="1:37" x14ac:dyDescent="0.3">
      <c r="A1391" t="s">
        <v>4349</v>
      </c>
      <c r="B1391" t="s">
        <v>4350</v>
      </c>
      <c r="C1391" t="s">
        <v>4351</v>
      </c>
      <c r="D1391" t="s">
        <v>199</v>
      </c>
    </row>
    <row r="1392" spans="1:37" x14ac:dyDescent="0.3">
      <c r="A1392" t="s">
        <v>4352</v>
      </c>
      <c r="B1392" t="s">
        <v>4353</v>
      </c>
      <c r="C1392" t="s">
        <v>4354</v>
      </c>
      <c r="D1392" t="s">
        <v>74</v>
      </c>
    </row>
    <row r="1393" spans="1:37" x14ac:dyDescent="0.3">
      <c r="A1393" t="s">
        <v>4355</v>
      </c>
      <c r="B1393" t="s">
        <v>4356</v>
      </c>
      <c r="C1393" t="s">
        <v>4357</v>
      </c>
      <c r="D1393" t="s">
        <v>74</v>
      </c>
    </row>
    <row r="1394" spans="1:37" x14ac:dyDescent="0.3">
      <c r="A1394" t="s">
        <v>4358</v>
      </c>
      <c r="B1394" t="s">
        <v>4359</v>
      </c>
      <c r="C1394" t="s">
        <v>4360</v>
      </c>
      <c r="D1394" t="s">
        <v>7</v>
      </c>
      <c r="AG1394" t="str">
        <f>T("3158")</f>
        <v>3158</v>
      </c>
      <c r="AH1394" t="str">
        <f>T("4")</f>
        <v>4</v>
      </c>
      <c r="AK1394" t="str">
        <f>T("1073")</f>
        <v>1073</v>
      </c>
    </row>
    <row r="1395" spans="1:37" x14ac:dyDescent="0.3">
      <c r="A1395" t="s">
        <v>4361</v>
      </c>
      <c r="B1395" t="s">
        <v>4362</v>
      </c>
      <c r="C1395" t="s">
        <v>4363</v>
      </c>
      <c r="D1395" t="s">
        <v>7</v>
      </c>
      <c r="AG1395" t="str">
        <f>T("3840")</f>
        <v>3840</v>
      </c>
      <c r="AH1395" t="str">
        <f>T("18")</f>
        <v>18</v>
      </c>
      <c r="AK1395" t="str">
        <f>T("1084")</f>
        <v>1084</v>
      </c>
    </row>
    <row r="1396" spans="1:37" x14ac:dyDescent="0.3">
      <c r="A1396" t="s">
        <v>4364</v>
      </c>
      <c r="B1396" t="s">
        <v>4365</v>
      </c>
      <c r="C1396" t="s">
        <v>4366</v>
      </c>
      <c r="D1396" t="s">
        <v>199</v>
      </c>
      <c r="K1396" t="str">
        <f>T("172.655")</f>
        <v>172.655</v>
      </c>
      <c r="L1396" t="str">
        <f>T("172.660")</f>
        <v>172.660</v>
      </c>
    </row>
    <row r="1397" spans="1:37" x14ac:dyDescent="0.3">
      <c r="A1397" t="s">
        <v>4367</v>
      </c>
      <c r="B1397" t="s">
        <v>4368</v>
      </c>
      <c r="C1397" t="s">
        <v>4369</v>
      </c>
      <c r="D1397" t="s">
        <v>865</v>
      </c>
      <c r="K1397" t="str">
        <f>T("172.660")</f>
        <v>172.660</v>
      </c>
    </row>
    <row r="1398" spans="1:37" x14ac:dyDescent="0.3">
      <c r="A1398" t="s">
        <v>4370</v>
      </c>
      <c r="B1398" t="s">
        <v>4371</v>
      </c>
      <c r="C1398" t="s">
        <v>4372</v>
      </c>
      <c r="D1398" t="s">
        <v>865</v>
      </c>
      <c r="K1398" t="str">
        <f>T("172.660")</f>
        <v>172.660</v>
      </c>
      <c r="L1398" t="str">
        <f>T("176.170")</f>
        <v>176.170</v>
      </c>
    </row>
    <row r="1399" spans="1:37" x14ac:dyDescent="0.3">
      <c r="A1399" t="s">
        <v>4373</v>
      </c>
      <c r="B1399" t="s">
        <v>4374</v>
      </c>
      <c r="C1399" t="s">
        <v>4375</v>
      </c>
      <c r="D1399" t="s">
        <v>865</v>
      </c>
      <c r="K1399" t="str">
        <f>T("172.660")</f>
        <v>172.660</v>
      </c>
    </row>
    <row r="1400" spans="1:37" x14ac:dyDescent="0.3">
      <c r="A1400" t="s">
        <v>4376</v>
      </c>
      <c r="B1400" t="s">
        <v>4377</v>
      </c>
      <c r="C1400" t="s">
        <v>4378</v>
      </c>
      <c r="D1400" t="s">
        <v>865</v>
      </c>
      <c r="K1400" t="str">
        <f>T("172.660")</f>
        <v>172.660</v>
      </c>
    </row>
    <row r="1401" spans="1:37" x14ac:dyDescent="0.3">
      <c r="A1401" t="s">
        <v>4379</v>
      </c>
      <c r="B1401" t="s">
        <v>4380</v>
      </c>
      <c r="C1401" t="s">
        <v>4381</v>
      </c>
      <c r="D1401" t="s">
        <v>865</v>
      </c>
      <c r="K1401" t="str">
        <f>T("172.660")</f>
        <v>172.660</v>
      </c>
    </row>
    <row r="1402" spans="1:37" x14ac:dyDescent="0.3">
      <c r="A1402" t="s">
        <v>4382</v>
      </c>
      <c r="B1402" t="s">
        <v>4383</v>
      </c>
      <c r="C1402" t="s">
        <v>4384</v>
      </c>
      <c r="D1402" t="s">
        <v>7</v>
      </c>
      <c r="K1402" t="str">
        <f>T("175.105")</f>
        <v>175.105</v>
      </c>
      <c r="AG1402" t="str">
        <f>T("2489")</f>
        <v>2489</v>
      </c>
      <c r="AH1402" t="str">
        <f>T("3")</f>
        <v>3</v>
      </c>
      <c r="AK1402" t="str">
        <f>T("450")</f>
        <v>450</v>
      </c>
    </row>
    <row r="1403" spans="1:37" x14ac:dyDescent="0.3">
      <c r="A1403" t="s">
        <v>4385</v>
      </c>
      <c r="B1403" t="s">
        <v>4386</v>
      </c>
      <c r="C1403" t="s">
        <v>4387</v>
      </c>
      <c r="D1403" t="s">
        <v>7</v>
      </c>
      <c r="AG1403" t="str">
        <f>T("4537")</f>
        <v>4537</v>
      </c>
      <c r="AH1403" t="str">
        <f>T("24")</f>
        <v>24</v>
      </c>
      <c r="AK1403" t="str">
        <f>T("2100")</f>
        <v>2100</v>
      </c>
    </row>
    <row r="1404" spans="1:37" x14ac:dyDescent="0.3">
      <c r="A1404" t="s">
        <v>4388</v>
      </c>
      <c r="B1404" t="s">
        <v>4389</v>
      </c>
      <c r="C1404" t="s">
        <v>4390</v>
      </c>
      <c r="D1404" t="s">
        <v>15</v>
      </c>
      <c r="AG1404" t="str">
        <f>T("2490")</f>
        <v>2490</v>
      </c>
      <c r="AH1404" t="str">
        <f>T("3")</f>
        <v>3</v>
      </c>
      <c r="AI1404" t="str">
        <f>T("25")</f>
        <v>25</v>
      </c>
      <c r="AK1404" t="str">
        <f>T("739")</f>
        <v>739</v>
      </c>
    </row>
    <row r="1405" spans="1:37" x14ac:dyDescent="0.3">
      <c r="A1405" t="s">
        <v>4391</v>
      </c>
      <c r="B1405" t="s">
        <v>4392</v>
      </c>
      <c r="C1405" t="s">
        <v>4393</v>
      </c>
      <c r="D1405" t="s">
        <v>15</v>
      </c>
      <c r="K1405" t="str">
        <f>T("175.105")</f>
        <v>175.105</v>
      </c>
      <c r="AG1405" t="str">
        <f>T("2491")</f>
        <v>2491</v>
      </c>
      <c r="AH1405" t="str">
        <f>T("3")</f>
        <v>3</v>
      </c>
      <c r="AI1405" t="str">
        <f>T("25")</f>
        <v>25</v>
      </c>
      <c r="AK1405" t="str">
        <f>T("451")</f>
        <v>451</v>
      </c>
    </row>
    <row r="1406" spans="1:37" x14ac:dyDescent="0.3">
      <c r="A1406" t="s">
        <v>4394</v>
      </c>
      <c r="B1406" t="s">
        <v>4395</v>
      </c>
      <c r="C1406" t="s">
        <v>4396</v>
      </c>
      <c r="D1406" t="s">
        <v>7</v>
      </c>
    </row>
    <row r="1407" spans="1:37" x14ac:dyDescent="0.3">
      <c r="A1407" t="s">
        <v>4397</v>
      </c>
      <c r="B1407" t="s">
        <v>4398</v>
      </c>
      <c r="C1407" t="s">
        <v>4399</v>
      </c>
      <c r="D1407" t="s">
        <v>7</v>
      </c>
      <c r="AG1407" t="str">
        <f>T("4539")</f>
        <v>4539</v>
      </c>
      <c r="AH1407" t="str">
        <f>T("24")</f>
        <v>24</v>
      </c>
      <c r="AK1407" t="str">
        <f>T("2102")</f>
        <v>2102</v>
      </c>
    </row>
    <row r="1408" spans="1:37" x14ac:dyDescent="0.3">
      <c r="A1408" t="s">
        <v>4400</v>
      </c>
      <c r="B1408" t="s">
        <v>4401</v>
      </c>
      <c r="C1408" t="s">
        <v>4402</v>
      </c>
      <c r="D1408" t="s">
        <v>7</v>
      </c>
      <c r="AG1408" t="str">
        <f>T("4542")</f>
        <v>4542</v>
      </c>
      <c r="AH1408" t="str">
        <f>T("24")</f>
        <v>24</v>
      </c>
      <c r="AK1408" t="str">
        <f>T("2101")</f>
        <v>2101</v>
      </c>
    </row>
    <row r="1409" spans="1:37" x14ac:dyDescent="0.3">
      <c r="A1409" t="s">
        <v>4403</v>
      </c>
      <c r="B1409" t="s">
        <v>4404</v>
      </c>
      <c r="C1409" t="s">
        <v>4405</v>
      </c>
      <c r="D1409" t="s">
        <v>7</v>
      </c>
      <c r="AG1409" t="str">
        <f>T("2492")</f>
        <v>2492</v>
      </c>
      <c r="AH1409" t="str">
        <f>T("3")</f>
        <v>3</v>
      </c>
      <c r="AI1409" t="str">
        <f>T("25")</f>
        <v>25</v>
      </c>
      <c r="AK1409" t="str">
        <f>T("1501")</f>
        <v>1501</v>
      </c>
    </row>
    <row r="1410" spans="1:37" x14ac:dyDescent="0.3">
      <c r="A1410" t="s">
        <v>4406</v>
      </c>
      <c r="B1410" t="s">
        <v>4407</v>
      </c>
      <c r="C1410" t="s">
        <v>4408</v>
      </c>
      <c r="D1410" t="s">
        <v>7</v>
      </c>
      <c r="AG1410" t="str">
        <f>T("3161")</f>
        <v>3161</v>
      </c>
      <c r="AH1410" t="str">
        <f>T("4")</f>
        <v>4</v>
      </c>
      <c r="AI1410" t="str">
        <f>T("25")</f>
        <v>25</v>
      </c>
      <c r="AK1410" t="str">
        <f>T("1077")</f>
        <v>1077</v>
      </c>
    </row>
    <row r="1411" spans="1:37" x14ac:dyDescent="0.3">
      <c r="A1411" t="s">
        <v>4409</v>
      </c>
      <c r="B1411" t="s">
        <v>4410</v>
      </c>
      <c r="C1411" t="s">
        <v>4411</v>
      </c>
      <c r="D1411" t="s">
        <v>7</v>
      </c>
      <c r="AG1411" t="str">
        <f>T("2493")</f>
        <v>2493</v>
      </c>
      <c r="AH1411" t="str">
        <f>T("3")</f>
        <v>3</v>
      </c>
      <c r="AI1411" t="str">
        <f>T("25")</f>
        <v>25</v>
      </c>
      <c r="AK1411" t="str">
        <f>T("1072")</f>
        <v>1072</v>
      </c>
    </row>
    <row r="1412" spans="1:37" x14ac:dyDescent="0.3">
      <c r="A1412" t="s">
        <v>4412</v>
      </c>
      <c r="B1412" t="s">
        <v>4413</v>
      </c>
      <c r="C1412" t="s">
        <v>4414</v>
      </c>
      <c r="D1412" t="s">
        <v>7</v>
      </c>
      <c r="AG1412" t="str">
        <f>T("3283")</f>
        <v>3283</v>
      </c>
      <c r="AH1412" t="str">
        <f>T("5")</f>
        <v>5</v>
      </c>
      <c r="AK1412" t="str">
        <f>T("743")</f>
        <v>743</v>
      </c>
    </row>
    <row r="1413" spans="1:37" x14ac:dyDescent="0.3">
      <c r="A1413" t="s">
        <v>4415</v>
      </c>
      <c r="B1413" t="s">
        <v>4416</v>
      </c>
      <c r="C1413" t="s">
        <v>4417</v>
      </c>
      <c r="D1413" t="s">
        <v>7</v>
      </c>
      <c r="AG1413" t="str">
        <f>T("3159")</f>
        <v>3159</v>
      </c>
      <c r="AH1413" t="str">
        <f>T("4")</f>
        <v>4</v>
      </c>
      <c r="AI1413" t="str">
        <f>T("25")</f>
        <v>25</v>
      </c>
      <c r="AK1413" t="str">
        <f>T("1520")</f>
        <v>1520</v>
      </c>
    </row>
    <row r="1414" spans="1:37" x14ac:dyDescent="0.3">
      <c r="A1414" t="s">
        <v>4418</v>
      </c>
      <c r="B1414" t="s">
        <v>4419</v>
      </c>
      <c r="C1414" t="s">
        <v>4420</v>
      </c>
      <c r="D1414" t="s">
        <v>7</v>
      </c>
      <c r="AG1414" t="str">
        <f>T("4119")</f>
        <v>4119</v>
      </c>
      <c r="AH1414" t="str">
        <f>T("22")</f>
        <v>22</v>
      </c>
      <c r="AK1414" t="str">
        <f>T("1524")</f>
        <v>1524</v>
      </c>
    </row>
    <row r="1415" spans="1:37" x14ac:dyDescent="0.3">
      <c r="A1415" t="s">
        <v>4421</v>
      </c>
      <c r="B1415" t="s">
        <v>4422</v>
      </c>
      <c r="C1415" t="s">
        <v>4423</v>
      </c>
      <c r="D1415" t="s">
        <v>7</v>
      </c>
      <c r="AG1415" t="str">
        <f>T("3160")</f>
        <v>3160</v>
      </c>
      <c r="AH1415" t="str">
        <f>T("4")</f>
        <v>4</v>
      </c>
      <c r="AK1415" t="str">
        <f>T("1076")</f>
        <v>1076</v>
      </c>
    </row>
    <row r="1416" spans="1:37" x14ac:dyDescent="0.3">
      <c r="A1416" t="s">
        <v>4424</v>
      </c>
      <c r="B1416" t="s">
        <v>4425</v>
      </c>
      <c r="C1416" t="s">
        <v>4426</v>
      </c>
      <c r="D1416" t="s">
        <v>7</v>
      </c>
      <c r="AG1416" t="str">
        <f>T("3396")</f>
        <v>3396</v>
      </c>
      <c r="AH1416" t="str">
        <f>T("7")</f>
        <v>7</v>
      </c>
      <c r="AK1416" t="str">
        <f>T("742")</f>
        <v>742</v>
      </c>
    </row>
    <row r="1417" spans="1:37" x14ac:dyDescent="0.3">
      <c r="A1417" t="s">
        <v>4427</v>
      </c>
      <c r="B1417" t="s">
        <v>4428</v>
      </c>
      <c r="C1417" t="s">
        <v>4429</v>
      </c>
      <c r="D1417" t="s">
        <v>7</v>
      </c>
      <c r="AG1417" t="str">
        <f>T("3397")</f>
        <v>3397</v>
      </c>
      <c r="AH1417" t="str">
        <f>T("7")</f>
        <v>7</v>
      </c>
      <c r="AI1417" t="str">
        <f>T("25")</f>
        <v>25</v>
      </c>
      <c r="AK1417" t="str">
        <f>T("741")</f>
        <v>741</v>
      </c>
    </row>
    <row r="1418" spans="1:37" x14ac:dyDescent="0.3">
      <c r="A1418" t="s">
        <v>4430</v>
      </c>
      <c r="B1418" t="s">
        <v>4431</v>
      </c>
      <c r="C1418" t="s">
        <v>4432</v>
      </c>
      <c r="D1418" t="s">
        <v>15</v>
      </c>
      <c r="AG1418" t="str">
        <f>T("3346")</f>
        <v>3346</v>
      </c>
      <c r="AH1418" t="str">
        <f>T("6")</f>
        <v>6</v>
      </c>
      <c r="AK1418" t="str">
        <f>T("740")</f>
        <v>740</v>
      </c>
    </row>
    <row r="1419" spans="1:37" x14ac:dyDescent="0.3">
      <c r="A1419" t="s">
        <v>4433</v>
      </c>
      <c r="B1419" t="s">
        <v>4434</v>
      </c>
      <c r="C1419" t="s">
        <v>4435</v>
      </c>
      <c r="D1419" t="s">
        <v>7</v>
      </c>
      <c r="AG1419" t="str">
        <f>T("3979")</f>
        <v>3979</v>
      </c>
      <c r="AH1419" t="str">
        <f>T("20")</f>
        <v>20</v>
      </c>
      <c r="AK1419" t="str">
        <f>T("1079")</f>
        <v>1079</v>
      </c>
    </row>
    <row r="1420" spans="1:37" x14ac:dyDescent="0.3">
      <c r="A1420" t="s">
        <v>4436</v>
      </c>
      <c r="B1420" t="s">
        <v>4437</v>
      </c>
      <c r="C1420" t="s">
        <v>4438</v>
      </c>
      <c r="D1420" t="s">
        <v>7</v>
      </c>
      <c r="AG1420" t="str">
        <f>T("3284")</f>
        <v>3284</v>
      </c>
      <c r="AH1420" t="str">
        <f>T("5")</f>
        <v>5</v>
      </c>
      <c r="AK1420" t="str">
        <f>T("1310")</f>
        <v>1310</v>
      </c>
    </row>
    <row r="1421" spans="1:37" x14ac:dyDescent="0.3">
      <c r="A1421" t="s">
        <v>4439</v>
      </c>
      <c r="B1421" t="s">
        <v>4440</v>
      </c>
      <c r="C1421" t="s">
        <v>4441</v>
      </c>
      <c r="D1421" t="s">
        <v>7</v>
      </c>
      <c r="AG1421" t="str">
        <f>T("3162")</f>
        <v>3162</v>
      </c>
      <c r="AH1421" t="str">
        <f>T("4")</f>
        <v>4</v>
      </c>
      <c r="AI1421" t="str">
        <f>T("25")</f>
        <v>25</v>
      </c>
      <c r="AK1421" t="str">
        <f>T("1074")</f>
        <v>1074</v>
      </c>
    </row>
    <row r="1422" spans="1:37" x14ac:dyDescent="0.3">
      <c r="A1422" t="s">
        <v>4442</v>
      </c>
      <c r="B1422" t="s">
        <v>4443</v>
      </c>
      <c r="C1422" t="s">
        <v>4444</v>
      </c>
      <c r="D1422" t="s">
        <v>7</v>
      </c>
      <c r="AG1422" t="str">
        <f>T("4676")</f>
        <v>4676</v>
      </c>
      <c r="AH1422" t="str">
        <f>T("25")</f>
        <v>25</v>
      </c>
      <c r="AK1422" t="str">
        <f>T("2096")</f>
        <v>2096</v>
      </c>
    </row>
    <row r="1423" spans="1:37" x14ac:dyDescent="0.3">
      <c r="A1423" t="s">
        <v>4445</v>
      </c>
      <c r="B1423" t="s">
        <v>4446</v>
      </c>
      <c r="C1423" t="s">
        <v>4447</v>
      </c>
      <c r="D1423" t="s">
        <v>7</v>
      </c>
      <c r="AG1423" t="str">
        <f>T("3347")</f>
        <v>3347</v>
      </c>
      <c r="AH1423" t="str">
        <f>T("6")</f>
        <v>6</v>
      </c>
      <c r="AI1423" t="str">
        <f>T("25")</f>
        <v>25</v>
      </c>
      <c r="AK1423" t="str">
        <f>T("1075")</f>
        <v>1075</v>
      </c>
    </row>
    <row r="1424" spans="1:37" x14ac:dyDescent="0.3">
      <c r="A1424" t="s">
        <v>4448</v>
      </c>
      <c r="B1424" t="s">
        <v>4449</v>
      </c>
      <c r="C1424" t="s">
        <v>4450</v>
      </c>
      <c r="D1424" t="s">
        <v>15</v>
      </c>
      <c r="AG1424" t="str">
        <f>T("3481")</f>
        <v>3481</v>
      </c>
      <c r="AH1424" t="str">
        <f>T("10")</f>
        <v>10</v>
      </c>
      <c r="AK1424" t="str">
        <f>T("1071")</f>
        <v>1071</v>
      </c>
    </row>
    <row r="1425" spans="1:37" x14ac:dyDescent="0.3">
      <c r="A1425" t="s">
        <v>4451</v>
      </c>
      <c r="B1425" t="s">
        <v>4452</v>
      </c>
      <c r="C1425" t="s">
        <v>4453</v>
      </c>
      <c r="D1425" t="s">
        <v>7</v>
      </c>
      <c r="AG1425" t="str">
        <f>T("2494")</f>
        <v>2494</v>
      </c>
      <c r="AH1425" t="str">
        <f>T("3")</f>
        <v>3</v>
      </c>
      <c r="AK1425" t="str">
        <f>T("1497")</f>
        <v>1497</v>
      </c>
    </row>
    <row r="1426" spans="1:37" x14ac:dyDescent="0.3">
      <c r="A1426" t="s">
        <v>4454</v>
      </c>
      <c r="B1426" t="s">
        <v>4455</v>
      </c>
      <c r="C1426" t="s">
        <v>4456</v>
      </c>
    </row>
    <row r="1427" spans="1:37" x14ac:dyDescent="0.3">
      <c r="A1427" t="s">
        <v>4457</v>
      </c>
      <c r="B1427" t="s">
        <v>4458</v>
      </c>
      <c r="C1427" t="s">
        <v>4459</v>
      </c>
      <c r="D1427" t="s">
        <v>7</v>
      </c>
      <c r="AG1427" t="str">
        <f>T("4120")</f>
        <v>4120</v>
      </c>
      <c r="AH1427" t="str">
        <f>T("22")</f>
        <v>22</v>
      </c>
      <c r="AK1427" t="str">
        <f>T("1510")</f>
        <v>1510</v>
      </c>
    </row>
    <row r="1428" spans="1:37" x14ac:dyDescent="0.3">
      <c r="A1428" t="s">
        <v>4460</v>
      </c>
      <c r="B1428" t="s">
        <v>4461</v>
      </c>
      <c r="C1428" t="s">
        <v>4462</v>
      </c>
      <c r="D1428" t="s">
        <v>7</v>
      </c>
      <c r="AG1428" t="str">
        <f>T("2495")</f>
        <v>2495</v>
      </c>
      <c r="AH1428" t="str">
        <f>T("3")</f>
        <v>3</v>
      </c>
      <c r="AK1428" t="str">
        <f>T("1511")</f>
        <v>1511</v>
      </c>
    </row>
    <row r="1429" spans="1:37" x14ac:dyDescent="0.3">
      <c r="A1429" t="s">
        <v>4463</v>
      </c>
      <c r="B1429" t="s">
        <v>4464</v>
      </c>
      <c r="C1429" t="s">
        <v>4465</v>
      </c>
      <c r="D1429" t="s">
        <v>7</v>
      </c>
      <c r="AG1429" t="str">
        <f>T("3163")</f>
        <v>3163</v>
      </c>
      <c r="AH1429" t="str">
        <f>T("4")</f>
        <v>4</v>
      </c>
      <c r="AI1429" t="str">
        <f>T("25")</f>
        <v>25</v>
      </c>
      <c r="AK1429" t="str">
        <f>T("1503")</f>
        <v>1503</v>
      </c>
    </row>
    <row r="1430" spans="1:37" x14ac:dyDescent="0.3">
      <c r="A1430" t="s">
        <v>4466</v>
      </c>
      <c r="B1430" t="s">
        <v>4467</v>
      </c>
      <c r="C1430" t="s">
        <v>4468</v>
      </c>
      <c r="D1430" t="s">
        <v>7</v>
      </c>
      <c r="K1430" t="str">
        <f>T("172.515")</f>
        <v>172.515</v>
      </c>
      <c r="AG1430" t="str">
        <f>T("2496")</f>
        <v>2496</v>
      </c>
      <c r="AH1430" t="str">
        <f>T("3")</f>
        <v>3</v>
      </c>
      <c r="AK1430" t="str">
        <f>T("1508")</f>
        <v>1508</v>
      </c>
    </row>
    <row r="1431" spans="1:37" x14ac:dyDescent="0.3">
      <c r="A1431" t="s">
        <v>4469</v>
      </c>
      <c r="B1431" t="s">
        <v>4470</v>
      </c>
      <c r="C1431" t="s">
        <v>4471</v>
      </c>
      <c r="D1431" t="s">
        <v>7</v>
      </c>
      <c r="K1431" t="str">
        <f>T("172.515")</f>
        <v>172.515</v>
      </c>
      <c r="AG1431" t="str">
        <f>T("2497")</f>
        <v>2497</v>
      </c>
      <c r="AH1431" t="str">
        <f>T("3")</f>
        <v>3</v>
      </c>
    </row>
    <row r="1432" spans="1:37" x14ac:dyDescent="0.3">
      <c r="A1432" t="s">
        <v>4472</v>
      </c>
      <c r="B1432" t="s">
        <v>4473</v>
      </c>
      <c r="C1432" t="s">
        <v>4474</v>
      </c>
      <c r="D1432" t="s">
        <v>74</v>
      </c>
      <c r="K1432" t="str">
        <f>T("173.145")</f>
        <v>173.145</v>
      </c>
    </row>
    <row r="1433" spans="1:37" x14ac:dyDescent="0.3">
      <c r="A1433" t="s">
        <v>4475</v>
      </c>
      <c r="B1433" t="s">
        <v>4476</v>
      </c>
      <c r="C1433" t="s">
        <v>4477</v>
      </c>
      <c r="D1433" t="s">
        <v>7</v>
      </c>
      <c r="K1433" t="str">
        <f>T("172.510")</f>
        <v>172.510</v>
      </c>
    </row>
    <row r="1434" spans="1:37" x14ac:dyDescent="0.3">
      <c r="A1434" t="s">
        <v>4478</v>
      </c>
      <c r="B1434" t="s">
        <v>4479</v>
      </c>
      <c r="C1434" t="s">
        <v>4480</v>
      </c>
      <c r="D1434" t="s">
        <v>15</v>
      </c>
      <c r="K1434" t="str">
        <f>T("182.10")</f>
        <v>182.10</v>
      </c>
      <c r="AG1434" t="str">
        <f>T("2498")</f>
        <v>2498</v>
      </c>
      <c r="AH1434" t="str">
        <f>T("3")</f>
        <v>3</v>
      </c>
    </row>
    <row r="1435" spans="1:37" x14ac:dyDescent="0.3">
      <c r="A1435" t="s">
        <v>4481</v>
      </c>
      <c r="B1435" t="s">
        <v>4482</v>
      </c>
      <c r="C1435" t="s">
        <v>4483</v>
      </c>
      <c r="D1435" t="s">
        <v>7</v>
      </c>
      <c r="K1435" t="str">
        <f>T("182.20")</f>
        <v>182.20</v>
      </c>
      <c r="AG1435" t="str">
        <f>T("2499")</f>
        <v>2499</v>
      </c>
      <c r="AH1435" t="str">
        <f>T("3")</f>
        <v>3</v>
      </c>
    </row>
    <row r="1436" spans="1:37" x14ac:dyDescent="0.3">
      <c r="A1436" t="s">
        <v>4484</v>
      </c>
      <c r="B1436" t="s">
        <v>4485</v>
      </c>
      <c r="C1436" t="s">
        <v>4486</v>
      </c>
      <c r="D1436" t="s">
        <v>7</v>
      </c>
      <c r="K1436" t="str">
        <f>T("182.20")</f>
        <v>182.20</v>
      </c>
      <c r="AG1436" t="str">
        <f>T("2500")</f>
        <v>2500</v>
      </c>
      <c r="AH1436" t="str">
        <f>T("3")</f>
        <v>3</v>
      </c>
    </row>
    <row r="1437" spans="1:37" x14ac:dyDescent="0.3">
      <c r="A1437" t="s">
        <v>4487</v>
      </c>
      <c r="B1437" t="s">
        <v>4488</v>
      </c>
      <c r="C1437" t="s">
        <v>4489</v>
      </c>
      <c r="D1437" t="s">
        <v>15</v>
      </c>
      <c r="K1437" t="str">
        <f>T("172.510")</f>
        <v>172.510</v>
      </c>
      <c r="AG1437" t="str">
        <f>T("2501")</f>
        <v>2501</v>
      </c>
      <c r="AH1437" t="str">
        <f>T("3")</f>
        <v>3</v>
      </c>
    </row>
    <row r="1438" spans="1:37" x14ac:dyDescent="0.3">
      <c r="A1438" t="s">
        <v>4490</v>
      </c>
      <c r="B1438" t="s">
        <v>4491</v>
      </c>
      <c r="C1438" t="s">
        <v>4492</v>
      </c>
      <c r="D1438" t="s">
        <v>15</v>
      </c>
      <c r="K1438" t="str">
        <f>T("172.510")</f>
        <v>172.510</v>
      </c>
      <c r="AG1438" t="str">
        <f>T("2502")</f>
        <v>2502</v>
      </c>
      <c r="AH1438" t="str">
        <f>T("3")</f>
        <v>3</v>
      </c>
    </row>
    <row r="1439" spans="1:37" x14ac:dyDescent="0.3">
      <c r="A1439" t="s">
        <v>4493</v>
      </c>
      <c r="B1439" t="s">
        <v>4494</v>
      </c>
      <c r="C1439" t="s">
        <v>4495</v>
      </c>
      <c r="D1439" t="s">
        <v>15</v>
      </c>
      <c r="K1439" t="str">
        <f>T("172.510")</f>
        <v>172.510</v>
      </c>
    </row>
    <row r="1440" spans="1:37" x14ac:dyDescent="0.3">
      <c r="A1440" t="s">
        <v>4496</v>
      </c>
      <c r="B1440" t="s">
        <v>4497</v>
      </c>
      <c r="C1440" t="s">
        <v>4498</v>
      </c>
      <c r="D1440" t="s">
        <v>7</v>
      </c>
      <c r="AG1440" t="str">
        <f>T("4265")</f>
        <v>4265</v>
      </c>
      <c r="AH1440" t="str">
        <f>T("23")</f>
        <v>23</v>
      </c>
    </row>
    <row r="1441" spans="1:37" x14ac:dyDescent="0.3">
      <c r="A1441" t="s">
        <v>4499</v>
      </c>
      <c r="B1441" t="s">
        <v>4500</v>
      </c>
      <c r="C1441" t="s">
        <v>4501</v>
      </c>
      <c r="D1441" t="s">
        <v>7</v>
      </c>
      <c r="K1441" t="str">
        <f>T("172.260")</f>
        <v>172.260</v>
      </c>
      <c r="L1441" t="str">
        <f>T("184.1317")</f>
        <v>184.1317</v>
      </c>
      <c r="AF1441" t="s">
        <v>4502</v>
      </c>
    </row>
    <row r="1442" spans="1:37" x14ac:dyDescent="0.3">
      <c r="A1442" t="s">
        <v>4503</v>
      </c>
      <c r="B1442" t="s">
        <v>4504</v>
      </c>
      <c r="C1442" t="s">
        <v>4505</v>
      </c>
      <c r="D1442" t="s">
        <v>7</v>
      </c>
      <c r="K1442" t="str">
        <f>T("184.1317")</f>
        <v>184.1317</v>
      </c>
    </row>
    <row r="1443" spans="1:37" x14ac:dyDescent="0.3">
      <c r="A1443" t="s">
        <v>4506</v>
      </c>
      <c r="B1443" t="s">
        <v>4507</v>
      </c>
      <c r="C1443" t="s">
        <v>4508</v>
      </c>
      <c r="D1443" t="s">
        <v>7</v>
      </c>
      <c r="K1443" t="str">
        <f>T("184.1317")</f>
        <v>184.1317</v>
      </c>
      <c r="AG1443" t="str">
        <f>T("2503")</f>
        <v>2503</v>
      </c>
      <c r="AH1443" t="str">
        <f>T("3")</f>
        <v>3</v>
      </c>
    </row>
    <row r="1444" spans="1:37" x14ac:dyDescent="0.3">
      <c r="A1444" t="s">
        <v>4509</v>
      </c>
      <c r="B1444" t="s">
        <v>4510</v>
      </c>
      <c r="C1444" t="s">
        <v>4511</v>
      </c>
      <c r="D1444" t="s">
        <v>4512</v>
      </c>
      <c r="K1444" t="str">
        <f>T("172.230")</f>
        <v>172.230</v>
      </c>
      <c r="L1444" t="str">
        <f>T("172.255")</f>
        <v>172.255</v>
      </c>
      <c r="M1444" t="str">
        <f>T("172.280")</f>
        <v>172.280</v>
      </c>
      <c r="N1444" t="str">
        <f>T("182.70")</f>
        <v>182.70</v>
      </c>
      <c r="AF1444" t="s">
        <v>4513</v>
      </c>
    </row>
    <row r="1445" spans="1:37" x14ac:dyDescent="0.3">
      <c r="A1445" t="s">
        <v>4514</v>
      </c>
      <c r="B1445" t="s">
        <v>4515</v>
      </c>
      <c r="C1445" t="s">
        <v>4516</v>
      </c>
      <c r="D1445" t="s">
        <v>802</v>
      </c>
      <c r="K1445" t="str">
        <f>T("172.665")</f>
        <v>172.665</v>
      </c>
    </row>
    <row r="1446" spans="1:37" x14ac:dyDescent="0.3">
      <c r="A1446" t="s">
        <v>4517</v>
      </c>
      <c r="B1446" t="s">
        <v>4518</v>
      </c>
      <c r="C1446" t="s">
        <v>4519</v>
      </c>
      <c r="D1446" t="s">
        <v>7</v>
      </c>
      <c r="K1446" t="str">
        <f>T("172.510")</f>
        <v>172.510</v>
      </c>
      <c r="AG1446" t="str">
        <f>T("2504")</f>
        <v>2504</v>
      </c>
      <c r="AH1446" t="str">
        <f>T("3")</f>
        <v>3</v>
      </c>
    </row>
    <row r="1447" spans="1:37" x14ac:dyDescent="0.3">
      <c r="A1447" t="s">
        <v>4520</v>
      </c>
      <c r="B1447" t="s">
        <v>4521</v>
      </c>
      <c r="C1447" t="s">
        <v>4522</v>
      </c>
      <c r="D1447" t="s">
        <v>7</v>
      </c>
      <c r="K1447" t="str">
        <f>T("172.510")</f>
        <v>172.510</v>
      </c>
      <c r="AG1447" t="str">
        <f>T("2505")</f>
        <v>2505</v>
      </c>
      <c r="AH1447" t="str">
        <f>T("3")</f>
        <v>3</v>
      </c>
    </row>
    <row r="1448" spans="1:37" x14ac:dyDescent="0.3">
      <c r="A1448" t="s">
        <v>4523</v>
      </c>
      <c r="B1448" t="s">
        <v>4524</v>
      </c>
      <c r="C1448" t="s">
        <v>4525</v>
      </c>
      <c r="D1448" t="s">
        <v>7</v>
      </c>
      <c r="K1448" t="str">
        <f>T("172.510")</f>
        <v>172.510</v>
      </c>
      <c r="AG1448" t="str">
        <f>T("2506")</f>
        <v>2506</v>
      </c>
      <c r="AH1448" t="str">
        <f>T("3")</f>
        <v>3</v>
      </c>
    </row>
    <row r="1449" spans="1:37" x14ac:dyDescent="0.3">
      <c r="A1449" t="s">
        <v>4526</v>
      </c>
      <c r="B1449" t="s">
        <v>4527</v>
      </c>
      <c r="C1449" t="s">
        <v>4528</v>
      </c>
      <c r="D1449" t="s">
        <v>7</v>
      </c>
      <c r="K1449" t="str">
        <f>T("172.510")</f>
        <v>172.510</v>
      </c>
    </row>
    <row r="1450" spans="1:37" x14ac:dyDescent="0.3">
      <c r="A1450" t="s">
        <v>4529</v>
      </c>
      <c r="B1450" t="s">
        <v>4530</v>
      </c>
      <c r="C1450" t="s">
        <v>4531</v>
      </c>
      <c r="D1450" t="s">
        <v>7</v>
      </c>
      <c r="AG1450" t="str">
        <f>T("4121")</f>
        <v>4121</v>
      </c>
      <c r="AH1450" t="str">
        <f>T("22")</f>
        <v>22</v>
      </c>
      <c r="AK1450" t="str">
        <f>T("1825")</f>
        <v>1825</v>
      </c>
    </row>
    <row r="1451" spans="1:37" x14ac:dyDescent="0.3">
      <c r="A1451" t="s">
        <v>4532</v>
      </c>
      <c r="B1451" t="s">
        <v>4533</v>
      </c>
      <c r="C1451" t="s">
        <v>4534</v>
      </c>
      <c r="D1451" t="s">
        <v>7</v>
      </c>
      <c r="K1451" t="str">
        <f>T("182.60")</f>
        <v>182.60</v>
      </c>
      <c r="AG1451" t="str">
        <f>T("2507")</f>
        <v>2507</v>
      </c>
      <c r="AH1451" t="str">
        <f>T("3")</f>
        <v>3</v>
      </c>
      <c r="AK1451" t="str">
        <f>T("1223")</f>
        <v>1223</v>
      </c>
    </row>
    <row r="1452" spans="1:37" x14ac:dyDescent="0.3">
      <c r="A1452" t="s">
        <v>4535</v>
      </c>
      <c r="B1452" t="s">
        <v>4536</v>
      </c>
      <c r="C1452" t="s">
        <v>4537</v>
      </c>
      <c r="D1452" t="s">
        <v>7</v>
      </c>
      <c r="K1452" t="str">
        <f>T("182.10")</f>
        <v>182.10</v>
      </c>
    </row>
    <row r="1453" spans="1:37" x14ac:dyDescent="0.3">
      <c r="A1453" t="s">
        <v>4538</v>
      </c>
      <c r="B1453" t="s">
        <v>4539</v>
      </c>
      <c r="C1453" t="s">
        <v>4540</v>
      </c>
      <c r="D1453" t="s">
        <v>7</v>
      </c>
      <c r="K1453" t="str">
        <f>T("182.20")</f>
        <v>182.20</v>
      </c>
    </row>
    <row r="1454" spans="1:37" x14ac:dyDescent="0.3">
      <c r="A1454" t="s">
        <v>4541</v>
      </c>
      <c r="B1454" t="s">
        <v>4542</v>
      </c>
      <c r="C1454" t="s">
        <v>4543</v>
      </c>
      <c r="D1454" t="s">
        <v>7</v>
      </c>
      <c r="K1454" t="str">
        <f>T("182.20")</f>
        <v>182.20</v>
      </c>
      <c r="AG1454" t="str">
        <f>T("2831")</f>
        <v>2831</v>
      </c>
      <c r="AH1454" t="str">
        <f>T("3")</f>
        <v>3</v>
      </c>
    </row>
    <row r="1455" spans="1:37" x14ac:dyDescent="0.3">
      <c r="A1455" t="s">
        <v>4544</v>
      </c>
      <c r="B1455" t="s">
        <v>4545</v>
      </c>
      <c r="C1455" t="s">
        <v>4546</v>
      </c>
      <c r="D1455" t="s">
        <v>7</v>
      </c>
      <c r="K1455" t="str">
        <f>T("182.20")</f>
        <v>182.20</v>
      </c>
    </row>
    <row r="1456" spans="1:37" x14ac:dyDescent="0.3">
      <c r="A1456" t="s">
        <v>4547</v>
      </c>
      <c r="B1456" t="s">
        <v>4548</v>
      </c>
      <c r="C1456" t="s">
        <v>4549</v>
      </c>
      <c r="D1456" t="s">
        <v>7</v>
      </c>
      <c r="K1456" t="str">
        <f>T("182.20")</f>
        <v>182.20</v>
      </c>
    </row>
    <row r="1457" spans="1:37" x14ac:dyDescent="0.3">
      <c r="A1457" t="s">
        <v>4550</v>
      </c>
      <c r="B1457" t="s">
        <v>4551</v>
      </c>
      <c r="C1457" t="s">
        <v>4552</v>
      </c>
      <c r="D1457" t="s">
        <v>7</v>
      </c>
      <c r="K1457" t="str">
        <f>T("182.20")</f>
        <v>182.20</v>
      </c>
      <c r="AG1457" t="str">
        <f>T("2508")</f>
        <v>2508</v>
      </c>
      <c r="AH1457" t="str">
        <f>T("3")</f>
        <v>3</v>
      </c>
    </row>
    <row r="1458" spans="1:37" x14ac:dyDescent="0.3">
      <c r="A1458" t="s">
        <v>4553</v>
      </c>
      <c r="B1458" t="s">
        <v>4554</v>
      </c>
      <c r="C1458" t="s">
        <v>4555</v>
      </c>
      <c r="D1458" t="s">
        <v>7</v>
      </c>
      <c r="K1458" t="str">
        <f>T("182.60")</f>
        <v>182.60</v>
      </c>
      <c r="AG1458" t="str">
        <f>T("2509")</f>
        <v>2509</v>
      </c>
      <c r="AH1458" t="str">
        <f>T("3")</f>
        <v>3</v>
      </c>
      <c r="AK1458" t="str">
        <f>T("58")</f>
        <v>58</v>
      </c>
    </row>
    <row r="1459" spans="1:37" x14ac:dyDescent="0.3">
      <c r="A1459" t="s">
        <v>4556</v>
      </c>
      <c r="B1459" t="s">
        <v>4557</v>
      </c>
      <c r="C1459" t="s">
        <v>4558</v>
      </c>
      <c r="D1459" t="s">
        <v>7</v>
      </c>
      <c r="K1459" t="str">
        <f t="shared" ref="K1459:K1466" si="14">T("172.515")</f>
        <v>172.515</v>
      </c>
      <c r="AG1459" t="str">
        <f>T("2510")</f>
        <v>2510</v>
      </c>
      <c r="AH1459" t="str">
        <f>T("3")</f>
        <v>3</v>
      </c>
      <c r="AK1459" t="str">
        <f>T("599")</f>
        <v>599</v>
      </c>
    </row>
    <row r="1460" spans="1:37" x14ac:dyDescent="0.3">
      <c r="A1460" t="s">
        <v>4559</v>
      </c>
      <c r="B1460" t="s">
        <v>4560</v>
      </c>
      <c r="C1460" t="s">
        <v>4561</v>
      </c>
      <c r="D1460" t="s">
        <v>7</v>
      </c>
      <c r="K1460" t="str">
        <f t="shared" si="14"/>
        <v>172.515</v>
      </c>
      <c r="AG1460" t="str">
        <f>T("3542")</f>
        <v>3542</v>
      </c>
      <c r="AH1460" t="str">
        <f>T("11")</f>
        <v>11</v>
      </c>
      <c r="AK1460" t="str">
        <f>T("1122")</f>
        <v>1122</v>
      </c>
    </row>
    <row r="1461" spans="1:37" x14ac:dyDescent="0.3">
      <c r="A1461" t="s">
        <v>4562</v>
      </c>
      <c r="B1461" t="s">
        <v>4563</v>
      </c>
      <c r="C1461" t="s">
        <v>4564</v>
      </c>
      <c r="D1461" t="s">
        <v>7</v>
      </c>
      <c r="K1461" t="str">
        <f t="shared" si="14"/>
        <v>172.515</v>
      </c>
      <c r="AG1461" t="str">
        <f>T("2511")</f>
        <v>2511</v>
      </c>
      <c r="AH1461" t="str">
        <f t="shared" ref="AH1461:AH1466" si="15">T("3")</f>
        <v>3</v>
      </c>
      <c r="AK1461" t="str">
        <f>T("860")</f>
        <v>860</v>
      </c>
    </row>
    <row r="1462" spans="1:37" x14ac:dyDescent="0.3">
      <c r="A1462" t="s">
        <v>4565</v>
      </c>
      <c r="B1462" t="s">
        <v>4566</v>
      </c>
      <c r="C1462" t="s">
        <v>4567</v>
      </c>
      <c r="D1462" t="s">
        <v>7</v>
      </c>
      <c r="K1462" t="str">
        <f t="shared" si="14"/>
        <v>172.515</v>
      </c>
      <c r="AG1462" t="str">
        <f>T("2512")</f>
        <v>2512</v>
      </c>
      <c r="AH1462" t="str">
        <f t="shared" si="15"/>
        <v>3</v>
      </c>
      <c r="AK1462" t="str">
        <f>T("66")</f>
        <v>66</v>
      </c>
    </row>
    <row r="1463" spans="1:37" x14ac:dyDescent="0.3">
      <c r="A1463" t="s">
        <v>4568</v>
      </c>
      <c r="B1463" t="s">
        <v>4569</v>
      </c>
      <c r="C1463" t="s">
        <v>4570</v>
      </c>
      <c r="D1463" t="s">
        <v>7</v>
      </c>
      <c r="K1463" t="str">
        <f t="shared" si="14"/>
        <v>172.515</v>
      </c>
      <c r="AG1463" t="str">
        <f>T("2514")</f>
        <v>2514</v>
      </c>
      <c r="AH1463" t="str">
        <f t="shared" si="15"/>
        <v>3</v>
      </c>
      <c r="AK1463" t="str">
        <f>T("54")</f>
        <v>54</v>
      </c>
    </row>
    <row r="1464" spans="1:37" x14ac:dyDescent="0.3">
      <c r="A1464" t="s">
        <v>4571</v>
      </c>
      <c r="B1464" t="s">
        <v>4572</v>
      </c>
      <c r="C1464" t="s">
        <v>4573</v>
      </c>
      <c r="D1464" t="s">
        <v>7</v>
      </c>
      <c r="K1464" t="str">
        <f t="shared" si="14"/>
        <v>172.515</v>
      </c>
      <c r="AG1464" t="str">
        <f>T("2515")</f>
        <v>2515</v>
      </c>
      <c r="AH1464" t="str">
        <f t="shared" si="15"/>
        <v>3</v>
      </c>
      <c r="AI1464" t="str">
        <f>T("25")</f>
        <v>25</v>
      </c>
      <c r="AK1464" t="str">
        <f>T("70")</f>
        <v>70</v>
      </c>
    </row>
    <row r="1465" spans="1:37" x14ac:dyDescent="0.3">
      <c r="A1465" t="s">
        <v>4574</v>
      </c>
      <c r="B1465" t="s">
        <v>4575</v>
      </c>
      <c r="C1465" t="s">
        <v>4576</v>
      </c>
      <c r="D1465" t="s">
        <v>7</v>
      </c>
      <c r="K1465" t="str">
        <f t="shared" si="14"/>
        <v>172.515</v>
      </c>
      <c r="AG1465" t="str">
        <f>T("2513")</f>
        <v>2513</v>
      </c>
      <c r="AH1465" t="str">
        <f t="shared" si="15"/>
        <v>3</v>
      </c>
      <c r="AI1465" t="str">
        <f>T("25")</f>
        <v>25</v>
      </c>
      <c r="AK1465" t="str">
        <f>T("72")</f>
        <v>72</v>
      </c>
    </row>
    <row r="1466" spans="1:37" x14ac:dyDescent="0.3">
      <c r="A1466" t="s">
        <v>4577</v>
      </c>
      <c r="B1466" t="s">
        <v>4578</v>
      </c>
      <c r="C1466" t="s">
        <v>4579</v>
      </c>
      <c r="D1466" t="s">
        <v>7</v>
      </c>
      <c r="K1466" t="str">
        <f t="shared" si="14"/>
        <v>172.515</v>
      </c>
      <c r="AG1466" t="str">
        <f>T("2518")</f>
        <v>2518</v>
      </c>
      <c r="AH1466" t="str">
        <f t="shared" si="15"/>
        <v>3</v>
      </c>
      <c r="AK1466" t="str">
        <f>T("75")</f>
        <v>75</v>
      </c>
    </row>
    <row r="1467" spans="1:37" x14ac:dyDescent="0.3">
      <c r="A1467" t="s">
        <v>4580</v>
      </c>
      <c r="B1467" t="s">
        <v>4581</v>
      </c>
      <c r="C1467" t="s">
        <v>4582</v>
      </c>
      <c r="D1467" t="s">
        <v>7</v>
      </c>
      <c r="AG1467" t="str">
        <f>T("4122")</f>
        <v>4122</v>
      </c>
      <c r="AH1467" t="str">
        <f>T("22")</f>
        <v>22</v>
      </c>
      <c r="AK1467" t="str">
        <f>T("1820")</f>
        <v>1820</v>
      </c>
    </row>
    <row r="1468" spans="1:37" x14ac:dyDescent="0.3">
      <c r="A1468" t="s">
        <v>4583</v>
      </c>
      <c r="B1468" t="s">
        <v>4584</v>
      </c>
      <c r="C1468" t="s">
        <v>4585</v>
      </c>
      <c r="D1468" t="s">
        <v>7</v>
      </c>
      <c r="K1468" t="str">
        <f>T("172.515")</f>
        <v>172.515</v>
      </c>
      <c r="AG1468" t="str">
        <f>T("2516")</f>
        <v>2516</v>
      </c>
      <c r="AH1468" t="str">
        <f>T("3")</f>
        <v>3</v>
      </c>
      <c r="AK1468" t="str">
        <f>T("1020")</f>
        <v>1020</v>
      </c>
    </row>
    <row r="1469" spans="1:37" x14ac:dyDescent="0.3">
      <c r="A1469" t="s">
        <v>4586</v>
      </c>
      <c r="B1469" t="s">
        <v>4587</v>
      </c>
      <c r="C1469" t="s">
        <v>4588</v>
      </c>
      <c r="D1469" t="s">
        <v>7</v>
      </c>
      <c r="K1469" t="str">
        <f>T("172.515")</f>
        <v>172.515</v>
      </c>
      <c r="AG1469" t="str">
        <f>T("2517")</f>
        <v>2517</v>
      </c>
      <c r="AH1469" t="str">
        <f>T("3")</f>
        <v>3</v>
      </c>
      <c r="AK1469" t="str">
        <f>T("62")</f>
        <v>62</v>
      </c>
    </row>
    <row r="1470" spans="1:37" x14ac:dyDescent="0.3">
      <c r="A1470" t="s">
        <v>4589</v>
      </c>
      <c r="B1470" t="s">
        <v>4590</v>
      </c>
      <c r="C1470" t="s">
        <v>4591</v>
      </c>
      <c r="D1470" t="s">
        <v>7</v>
      </c>
      <c r="AG1470" t="str">
        <f>T("4044")</f>
        <v>4044</v>
      </c>
      <c r="AH1470" t="str">
        <f>T("21")</f>
        <v>21</v>
      </c>
      <c r="AK1470" t="str">
        <f>T("1822")</f>
        <v>1822</v>
      </c>
    </row>
    <row r="1471" spans="1:37" x14ac:dyDescent="0.3">
      <c r="A1471" t="s">
        <v>4592</v>
      </c>
      <c r="B1471" t="s">
        <v>4593</v>
      </c>
      <c r="C1471" t="s">
        <v>4594</v>
      </c>
      <c r="D1471" t="s">
        <v>7</v>
      </c>
      <c r="AG1471" t="str">
        <f>T("4123")</f>
        <v>4123</v>
      </c>
      <c r="AH1471" t="str">
        <f>T("22")</f>
        <v>22</v>
      </c>
      <c r="AK1471" t="str">
        <f>T("1821")</f>
        <v>1821</v>
      </c>
    </row>
    <row r="1472" spans="1:37" x14ac:dyDescent="0.3">
      <c r="A1472" t="s">
        <v>4595</v>
      </c>
      <c r="B1472" t="s">
        <v>4596</v>
      </c>
      <c r="C1472" t="s">
        <v>4597</v>
      </c>
      <c r="D1472" t="s">
        <v>7</v>
      </c>
      <c r="K1472" t="str">
        <f>T("172.510")</f>
        <v>172.510</v>
      </c>
    </row>
    <row r="1473" spans="1:37" x14ac:dyDescent="0.3">
      <c r="A1473" t="s">
        <v>4598</v>
      </c>
      <c r="B1473" t="s">
        <v>4599</v>
      </c>
      <c r="C1473" t="s">
        <v>4600</v>
      </c>
      <c r="D1473" t="s">
        <v>7</v>
      </c>
      <c r="K1473" t="str">
        <f>T("172.510")</f>
        <v>172.510</v>
      </c>
    </row>
    <row r="1474" spans="1:37" x14ac:dyDescent="0.3">
      <c r="A1474" t="s">
        <v>4601</v>
      </c>
      <c r="B1474" t="s">
        <v>4602</v>
      </c>
      <c r="C1474" t="s">
        <v>4603</v>
      </c>
      <c r="D1474" t="s">
        <v>7</v>
      </c>
      <c r="K1474" t="str">
        <f>T("172.510")</f>
        <v>172.510</v>
      </c>
    </row>
    <row r="1475" spans="1:37" x14ac:dyDescent="0.3">
      <c r="A1475" t="s">
        <v>4604</v>
      </c>
      <c r="B1475" t="s">
        <v>4605</v>
      </c>
      <c r="C1475" t="s">
        <v>4606</v>
      </c>
      <c r="D1475" t="s">
        <v>7</v>
      </c>
      <c r="K1475" t="str">
        <f>T("172.510")</f>
        <v>172.510</v>
      </c>
    </row>
    <row r="1476" spans="1:37" x14ac:dyDescent="0.3">
      <c r="A1476" t="s">
        <v>4607</v>
      </c>
      <c r="B1476" t="s">
        <v>4608</v>
      </c>
      <c r="C1476" t="s">
        <v>4609</v>
      </c>
      <c r="D1476" t="s">
        <v>4610</v>
      </c>
      <c r="K1476" t="str">
        <f>T("184.1333")</f>
        <v>184.1333</v>
      </c>
      <c r="AG1476" t="str">
        <f>T("2519")</f>
        <v>2519</v>
      </c>
      <c r="AH1476" t="str">
        <f>T("3")</f>
        <v>3</v>
      </c>
    </row>
    <row r="1477" spans="1:37" x14ac:dyDescent="0.3">
      <c r="A1477" t="s">
        <v>4611</v>
      </c>
      <c r="B1477" t="s">
        <v>4612</v>
      </c>
      <c r="C1477" t="s">
        <v>4613</v>
      </c>
      <c r="D1477" t="s">
        <v>4614</v>
      </c>
      <c r="K1477" t="str">
        <f>T("172.725")</f>
        <v>172.725</v>
      </c>
    </row>
    <row r="1478" spans="1:37" x14ac:dyDescent="0.3">
      <c r="A1478" t="s">
        <v>4615</v>
      </c>
      <c r="B1478" t="s">
        <v>4616</v>
      </c>
      <c r="C1478" t="s">
        <v>4617</v>
      </c>
      <c r="D1478" t="s">
        <v>7</v>
      </c>
      <c r="K1478" t="str">
        <f>T("182.10")</f>
        <v>182.10</v>
      </c>
      <c r="AF1478" t="str">
        <f>T("101.22")</f>
        <v>101.22</v>
      </c>
      <c r="AG1478" t="str">
        <f>T("2520")</f>
        <v>2520</v>
      </c>
      <c r="AH1478" t="str">
        <f>T("3")</f>
        <v>3</v>
      </c>
    </row>
    <row r="1479" spans="1:37" x14ac:dyDescent="0.3">
      <c r="A1479" t="s">
        <v>4618</v>
      </c>
      <c r="B1479" t="s">
        <v>4619</v>
      </c>
      <c r="C1479" t="s">
        <v>4620</v>
      </c>
      <c r="D1479" t="s">
        <v>7</v>
      </c>
      <c r="K1479" t="str">
        <f>T("182.20")</f>
        <v>182.20</v>
      </c>
      <c r="AG1479" t="str">
        <f>T("2521")</f>
        <v>2521</v>
      </c>
      <c r="AH1479" t="str">
        <f>T("3")</f>
        <v>3</v>
      </c>
    </row>
    <row r="1480" spans="1:37" x14ac:dyDescent="0.3">
      <c r="A1480" t="s">
        <v>4621</v>
      </c>
      <c r="B1480" t="s">
        <v>4622</v>
      </c>
      <c r="C1480" t="s">
        <v>4623</v>
      </c>
      <c r="D1480" t="s">
        <v>7</v>
      </c>
      <c r="K1480" t="str">
        <f>T("182.20")</f>
        <v>182.20</v>
      </c>
      <c r="AG1480" t="str">
        <f>T("2522")</f>
        <v>2522</v>
      </c>
      <c r="AH1480" t="str">
        <f>T("3")</f>
        <v>3</v>
      </c>
    </row>
    <row r="1481" spans="1:37" x14ac:dyDescent="0.3">
      <c r="A1481" t="s">
        <v>4624</v>
      </c>
      <c r="B1481" t="s">
        <v>4625</v>
      </c>
      <c r="C1481" t="s">
        <v>4626</v>
      </c>
      <c r="D1481" t="s">
        <v>7</v>
      </c>
      <c r="K1481" t="str">
        <f>T("182.20")</f>
        <v>182.20</v>
      </c>
      <c r="AG1481" t="str">
        <f>T("2523")</f>
        <v>2523</v>
      </c>
      <c r="AH1481" t="str">
        <f>T("3")</f>
        <v>3</v>
      </c>
    </row>
    <row r="1482" spans="1:37" x14ac:dyDescent="0.3">
      <c r="A1482" t="s">
        <v>4627</v>
      </c>
      <c r="B1482" t="s">
        <v>4628</v>
      </c>
      <c r="C1482" t="s">
        <v>4629</v>
      </c>
      <c r="D1482" t="s">
        <v>137</v>
      </c>
    </row>
    <row r="1483" spans="1:37" x14ac:dyDescent="0.3">
      <c r="A1483" t="s">
        <v>4630</v>
      </c>
      <c r="B1483" t="s">
        <v>4631</v>
      </c>
      <c r="C1483" t="s">
        <v>4632</v>
      </c>
      <c r="D1483" t="s">
        <v>4633</v>
      </c>
      <c r="K1483" t="str">
        <f>T("184.1318")</f>
        <v>184.1318</v>
      </c>
      <c r="AF1483" t="s">
        <v>4634</v>
      </c>
    </row>
    <row r="1484" spans="1:37" x14ac:dyDescent="0.3">
      <c r="A1484" t="s">
        <v>4635</v>
      </c>
      <c r="B1484" t="s">
        <v>4636</v>
      </c>
      <c r="C1484" t="s">
        <v>4637</v>
      </c>
      <c r="D1484" t="s">
        <v>7</v>
      </c>
      <c r="AG1484" t="str">
        <f>T("4254")</f>
        <v>4254</v>
      </c>
      <c r="AH1484" t="str">
        <f>T("23")</f>
        <v>23</v>
      </c>
      <c r="AI1484" t="str">
        <f>T("24")</f>
        <v>24</v>
      </c>
      <c r="AK1484" t="str">
        <f>T("1772")</f>
        <v>1772</v>
      </c>
    </row>
    <row r="1485" spans="1:37" x14ac:dyDescent="0.3">
      <c r="A1485" t="s">
        <v>4638</v>
      </c>
      <c r="B1485" t="s">
        <v>4639</v>
      </c>
      <c r="C1485" t="s">
        <v>4640</v>
      </c>
      <c r="D1485" t="s">
        <v>7</v>
      </c>
      <c r="AG1485" t="str">
        <f>T("4255")</f>
        <v>4255</v>
      </c>
      <c r="AH1485" t="str">
        <f>T("23")</f>
        <v>23</v>
      </c>
      <c r="AK1485" t="str">
        <f>T("1773")</f>
        <v>1773</v>
      </c>
    </row>
    <row r="1486" spans="1:37" x14ac:dyDescent="0.3">
      <c r="A1486" t="s">
        <v>4641</v>
      </c>
      <c r="B1486" t="s">
        <v>4642</v>
      </c>
      <c r="C1486" t="s">
        <v>4643</v>
      </c>
      <c r="D1486" t="s">
        <v>74</v>
      </c>
      <c r="K1486" t="str">
        <f>T("184.1372")</f>
        <v>184.1372</v>
      </c>
    </row>
    <row r="1487" spans="1:37" x14ac:dyDescent="0.3">
      <c r="A1487" t="s">
        <v>4644</v>
      </c>
      <c r="B1487" t="s">
        <v>4645</v>
      </c>
      <c r="C1487" t="s">
        <v>4646</v>
      </c>
      <c r="D1487" t="s">
        <v>74</v>
      </c>
    </row>
    <row r="1488" spans="1:37" x14ac:dyDescent="0.3">
      <c r="A1488" t="s">
        <v>4647</v>
      </c>
      <c r="B1488" t="s">
        <v>4648</v>
      </c>
      <c r="C1488" t="s">
        <v>4649</v>
      </c>
      <c r="D1488" t="s">
        <v>74</v>
      </c>
      <c r="K1488" t="str">
        <f>T("184.1372")</f>
        <v>184.1372</v>
      </c>
    </row>
    <row r="1489" spans="1:37" x14ac:dyDescent="0.3">
      <c r="A1489" t="s">
        <v>4650</v>
      </c>
      <c r="B1489" t="s">
        <v>4651</v>
      </c>
      <c r="C1489" t="s">
        <v>4652</v>
      </c>
      <c r="D1489" t="s">
        <v>74</v>
      </c>
      <c r="K1489" t="str">
        <f>T("184.1372")</f>
        <v>184.1372</v>
      </c>
    </row>
    <row r="1490" spans="1:37" x14ac:dyDescent="0.3">
      <c r="A1490" t="s">
        <v>4653</v>
      </c>
      <c r="B1490" t="s">
        <v>4654</v>
      </c>
      <c r="C1490" t="s">
        <v>4655</v>
      </c>
      <c r="D1490" t="s">
        <v>74</v>
      </c>
      <c r="K1490" t="str">
        <f>T("184.1372")</f>
        <v>184.1372</v>
      </c>
    </row>
    <row r="1491" spans="1:37" x14ac:dyDescent="0.3">
      <c r="A1491" t="s">
        <v>4656</v>
      </c>
      <c r="B1491" t="s">
        <v>4657</v>
      </c>
      <c r="C1491" t="s">
        <v>4658</v>
      </c>
      <c r="D1491" t="s">
        <v>74</v>
      </c>
      <c r="AF1491" t="s">
        <v>4659</v>
      </c>
    </row>
    <row r="1492" spans="1:37" x14ac:dyDescent="0.3">
      <c r="A1492" t="s">
        <v>4660</v>
      </c>
      <c r="B1492" t="s">
        <v>4661</v>
      </c>
      <c r="C1492" t="s">
        <v>4662</v>
      </c>
      <c r="D1492" t="s">
        <v>74</v>
      </c>
    </row>
    <row r="1493" spans="1:37" x14ac:dyDescent="0.3">
      <c r="A1493" t="s">
        <v>4663</v>
      </c>
      <c r="B1493" t="s">
        <v>4664</v>
      </c>
      <c r="C1493" t="s">
        <v>4665</v>
      </c>
      <c r="D1493" t="s">
        <v>74</v>
      </c>
    </row>
    <row r="1494" spans="1:37" x14ac:dyDescent="0.3">
      <c r="A1494" t="s">
        <v>4666</v>
      </c>
      <c r="B1494" t="s">
        <v>4667</v>
      </c>
      <c r="C1494" t="s">
        <v>4668</v>
      </c>
      <c r="D1494" t="s">
        <v>7</v>
      </c>
      <c r="K1494" t="str">
        <f>T("172.515")</f>
        <v>172.515</v>
      </c>
      <c r="AG1494" t="str">
        <f>T("2524")</f>
        <v>2524</v>
      </c>
      <c r="AH1494" t="str">
        <f>T("3")</f>
        <v>3</v>
      </c>
    </row>
    <row r="1495" spans="1:37" x14ac:dyDescent="0.3">
      <c r="A1495" t="s">
        <v>4669</v>
      </c>
      <c r="B1495" t="s">
        <v>4670</v>
      </c>
      <c r="C1495" t="s">
        <v>4671</v>
      </c>
      <c r="D1495" t="s">
        <v>74</v>
      </c>
    </row>
    <row r="1496" spans="1:37" x14ac:dyDescent="0.3">
      <c r="A1496" t="s">
        <v>4672</v>
      </c>
      <c r="B1496" t="s">
        <v>4673</v>
      </c>
      <c r="C1496" t="s">
        <v>4674</v>
      </c>
      <c r="D1496" t="s">
        <v>74</v>
      </c>
    </row>
    <row r="1497" spans="1:37" x14ac:dyDescent="0.3">
      <c r="A1497" t="s">
        <v>4675</v>
      </c>
      <c r="B1497" t="s">
        <v>4676</v>
      </c>
      <c r="C1497" t="s">
        <v>4677</v>
      </c>
      <c r="D1497" t="s">
        <v>74</v>
      </c>
    </row>
    <row r="1498" spans="1:37" x14ac:dyDescent="0.3">
      <c r="A1498" t="s">
        <v>4678</v>
      </c>
      <c r="B1498" t="s">
        <v>4679</v>
      </c>
      <c r="C1498" t="s">
        <v>4680</v>
      </c>
      <c r="D1498" t="s">
        <v>4681</v>
      </c>
      <c r="K1498" t="str">
        <f>T("172.320")</f>
        <v>172.320</v>
      </c>
      <c r="L1498" t="str">
        <f>T("182.1045")</f>
        <v>182.1045</v>
      </c>
      <c r="AG1498" t="str">
        <f>T("3285")</f>
        <v>3285</v>
      </c>
      <c r="AH1498" t="str">
        <f>T("5")</f>
        <v>5</v>
      </c>
      <c r="AI1498" t="str">
        <f>T("25")</f>
        <v>25</v>
      </c>
      <c r="AK1498" t="str">
        <f>T("1420")</f>
        <v>1420</v>
      </c>
    </row>
    <row r="1499" spans="1:37" x14ac:dyDescent="0.3">
      <c r="A1499" t="s">
        <v>4682</v>
      </c>
      <c r="B1499" t="s">
        <v>4683</v>
      </c>
      <c r="C1499" t="s">
        <v>4684</v>
      </c>
      <c r="D1499" t="s">
        <v>3328</v>
      </c>
      <c r="K1499" t="str">
        <f>T("172.320")</f>
        <v>172.320</v>
      </c>
      <c r="L1499" t="str">
        <f>T("182.1047")</f>
        <v>182.1047</v>
      </c>
    </row>
    <row r="1500" spans="1:37" x14ac:dyDescent="0.3">
      <c r="A1500" t="s">
        <v>4685</v>
      </c>
      <c r="B1500" t="s">
        <v>4686</v>
      </c>
      <c r="C1500" t="s">
        <v>4687</v>
      </c>
      <c r="D1500" t="s">
        <v>213</v>
      </c>
      <c r="K1500" t="str">
        <f>T("172.320")</f>
        <v>172.320</v>
      </c>
      <c r="AG1500" t="str">
        <f>T("3684")</f>
        <v>3684</v>
      </c>
      <c r="AH1500" t="str">
        <f>T("13")</f>
        <v>13</v>
      </c>
      <c r="AK1500" t="str">
        <f>T("1430")</f>
        <v>1430</v>
      </c>
    </row>
    <row r="1501" spans="1:37" x14ac:dyDescent="0.3">
      <c r="A1501" t="s">
        <v>4688</v>
      </c>
      <c r="B1501" t="s">
        <v>4689</v>
      </c>
      <c r="C1501" t="s">
        <v>4690</v>
      </c>
      <c r="D1501" t="s">
        <v>7</v>
      </c>
      <c r="AG1501" t="str">
        <f>T("4709")</f>
        <v>4709</v>
      </c>
      <c r="AH1501" t="str">
        <f>T("25")</f>
        <v>25</v>
      </c>
      <c r="AI1501" t="str">
        <f>T("27")</f>
        <v>27</v>
      </c>
      <c r="AK1501" t="str">
        <f>T("2123")</f>
        <v>2123</v>
      </c>
    </row>
    <row r="1502" spans="1:37" x14ac:dyDescent="0.3">
      <c r="A1502" t="s">
        <v>4691</v>
      </c>
      <c r="B1502" t="s">
        <v>4692</v>
      </c>
      <c r="C1502" t="s">
        <v>4693</v>
      </c>
      <c r="D1502" t="s">
        <v>4694</v>
      </c>
      <c r="K1502" t="str">
        <f>T("172.230")</f>
        <v>172.230</v>
      </c>
      <c r="L1502" t="str">
        <f>T("173.320")</f>
        <v>173.320</v>
      </c>
      <c r="M1502" t="str">
        <f>T("173.357")</f>
        <v>173.357</v>
      </c>
      <c r="N1502" t="str">
        <f>T("175.105")</f>
        <v>175.105</v>
      </c>
      <c r="O1502" t="str">
        <f>T("176.170")</f>
        <v>176.170</v>
      </c>
      <c r="P1502" t="str">
        <f>T("176.180")</f>
        <v>176.180</v>
      </c>
      <c r="Q1502" t="str">
        <f>T("176.300")</f>
        <v>176.300</v>
      </c>
    </row>
    <row r="1503" spans="1:37" x14ac:dyDescent="0.3">
      <c r="A1503" t="s">
        <v>4695</v>
      </c>
      <c r="B1503" t="s">
        <v>4696</v>
      </c>
      <c r="C1503" t="s">
        <v>4697</v>
      </c>
      <c r="D1503" t="s">
        <v>137</v>
      </c>
      <c r="AF1503" t="s">
        <v>4698</v>
      </c>
    </row>
    <row r="1504" spans="1:37" x14ac:dyDescent="0.3">
      <c r="A1504" t="s">
        <v>4699</v>
      </c>
      <c r="B1504" t="s">
        <v>4700</v>
      </c>
      <c r="C1504" t="s">
        <v>4701</v>
      </c>
      <c r="D1504" t="s">
        <v>4702</v>
      </c>
      <c r="K1504" t="str">
        <f>T("172.811")</f>
        <v>172.811</v>
      </c>
      <c r="L1504" t="str">
        <f>T("175.300")</f>
        <v>175.300</v>
      </c>
      <c r="M1504" t="str">
        <f>T("175.320")</f>
        <v>175.320</v>
      </c>
      <c r="N1504" t="str">
        <f>T("176.210")</f>
        <v>176.210</v>
      </c>
      <c r="O1504" t="str">
        <f>T("177.1390")</f>
        <v>177.1390</v>
      </c>
      <c r="P1504" t="str">
        <f>T("177.2420")</f>
        <v>177.2420</v>
      </c>
      <c r="Q1504" t="str">
        <f>T("177.2800")</f>
        <v>177.2800</v>
      </c>
      <c r="R1504" t="str">
        <f>T("178.3500")</f>
        <v>178.3500</v>
      </c>
      <c r="S1504" t="str">
        <f>T("182.1320")</f>
        <v>182.1320</v>
      </c>
      <c r="T1504" t="str">
        <f>T("182.90")</f>
        <v>182.90</v>
      </c>
      <c r="AF1504" t="str">
        <f>T("169.175")</f>
        <v>169.175</v>
      </c>
      <c r="AG1504" t="str">
        <f>T("2525")</f>
        <v>2525</v>
      </c>
      <c r="AH1504" t="str">
        <f>T("3")</f>
        <v>3</v>
      </c>
    </row>
    <row r="1505" spans="1:37" x14ac:dyDescent="0.3">
      <c r="A1505" t="s">
        <v>4703</v>
      </c>
      <c r="B1505" t="s">
        <v>4704</v>
      </c>
      <c r="C1505" t="s">
        <v>4705</v>
      </c>
      <c r="D1505" t="s">
        <v>4702</v>
      </c>
      <c r="K1505" t="str">
        <f>T("172.866")</f>
        <v>172.866</v>
      </c>
      <c r="L1505" t="str">
        <f>T("178.3500")</f>
        <v>178.3500</v>
      </c>
    </row>
    <row r="1506" spans="1:37" x14ac:dyDescent="0.3">
      <c r="A1506" t="s">
        <v>4706</v>
      </c>
      <c r="B1506" t="s">
        <v>4707</v>
      </c>
      <c r="C1506" t="s">
        <v>4708</v>
      </c>
      <c r="D1506" t="s">
        <v>88</v>
      </c>
      <c r="K1506" t="str">
        <f>T("184.1903")</f>
        <v>184.1903</v>
      </c>
      <c r="AG1506" t="str">
        <f>T("2223")</f>
        <v>2223</v>
      </c>
      <c r="AH1506" t="str">
        <f>T("3")</f>
        <v>3</v>
      </c>
      <c r="AI1506" t="str">
        <f>T("25")</f>
        <v>25</v>
      </c>
      <c r="AK1506" t="str">
        <f>T("922")</f>
        <v>922</v>
      </c>
    </row>
    <row r="1507" spans="1:37" x14ac:dyDescent="0.3">
      <c r="A1507" t="s">
        <v>4709</v>
      </c>
      <c r="B1507" t="s">
        <v>4710</v>
      </c>
      <c r="C1507" t="s">
        <v>4711</v>
      </c>
      <c r="D1507" t="s">
        <v>4712</v>
      </c>
      <c r="K1507" t="str">
        <f>T("184.1328")</f>
        <v>184.1328</v>
      </c>
    </row>
    <row r="1508" spans="1:37" x14ac:dyDescent="0.3">
      <c r="A1508" t="s">
        <v>4713</v>
      </c>
      <c r="B1508" t="s">
        <v>4714</v>
      </c>
      <c r="C1508" t="s">
        <v>4715</v>
      </c>
      <c r="D1508" t="s">
        <v>7</v>
      </c>
      <c r="AG1508" t="str">
        <f>T("3685")</f>
        <v>3685</v>
      </c>
      <c r="AH1508" t="str">
        <f>T("13")</f>
        <v>13</v>
      </c>
      <c r="AK1508" t="str">
        <f>T("923")</f>
        <v>923</v>
      </c>
    </row>
    <row r="1509" spans="1:37" x14ac:dyDescent="0.3">
      <c r="A1509" t="s">
        <v>4716</v>
      </c>
      <c r="B1509" t="s">
        <v>4717</v>
      </c>
      <c r="C1509" t="s">
        <v>4718</v>
      </c>
      <c r="D1509" t="s">
        <v>7</v>
      </c>
      <c r="AG1509" t="str">
        <f>T("3686")</f>
        <v>3686</v>
      </c>
      <c r="AH1509" t="str">
        <f>T("13")</f>
        <v>13</v>
      </c>
      <c r="AK1509" t="str">
        <f>T("924")</f>
        <v>924</v>
      </c>
    </row>
    <row r="1510" spans="1:37" x14ac:dyDescent="0.3">
      <c r="A1510" t="s">
        <v>4719</v>
      </c>
      <c r="B1510" t="s">
        <v>4720</v>
      </c>
      <c r="C1510" t="s">
        <v>4721</v>
      </c>
      <c r="D1510" t="s">
        <v>2687</v>
      </c>
      <c r="K1510" t="str">
        <f>T("172.852")</f>
        <v>172.852</v>
      </c>
      <c r="AG1510" t="str">
        <f>T("4124")</f>
        <v>4124</v>
      </c>
      <c r="AH1510" t="str">
        <f>T("22")</f>
        <v>22</v>
      </c>
    </row>
    <row r="1511" spans="1:37" x14ac:dyDescent="0.3">
      <c r="A1511" t="s">
        <v>4722</v>
      </c>
      <c r="B1511" t="s">
        <v>4723</v>
      </c>
      <c r="C1511" t="s">
        <v>4724</v>
      </c>
      <c r="D1511" t="s">
        <v>4725</v>
      </c>
      <c r="K1511" t="str">
        <f>T("172.852")</f>
        <v>172.852</v>
      </c>
    </row>
    <row r="1512" spans="1:37" x14ac:dyDescent="0.3">
      <c r="A1512" t="s">
        <v>4726</v>
      </c>
      <c r="B1512" t="s">
        <v>4727</v>
      </c>
      <c r="C1512" t="s">
        <v>4728</v>
      </c>
      <c r="D1512" t="s">
        <v>4725</v>
      </c>
      <c r="K1512" t="str">
        <f>T("172.852")</f>
        <v>172.852</v>
      </c>
    </row>
    <row r="1513" spans="1:37" x14ac:dyDescent="0.3">
      <c r="A1513" t="s">
        <v>4729</v>
      </c>
      <c r="B1513" t="s">
        <v>4730</v>
      </c>
      <c r="C1513" t="s">
        <v>4731</v>
      </c>
      <c r="D1513" t="s">
        <v>4732</v>
      </c>
      <c r="K1513" t="str">
        <f>T("175.300")</f>
        <v>175.300</v>
      </c>
      <c r="L1513" t="str">
        <f>T("175.320")</f>
        <v>175.320</v>
      </c>
      <c r="M1513" t="str">
        <f>T("181.27")</f>
        <v>181.27</v>
      </c>
      <c r="N1513" t="str">
        <f>T("184.1323")</f>
        <v>184.1323</v>
      </c>
      <c r="AG1513" t="str">
        <f>T("2526")</f>
        <v>2526</v>
      </c>
      <c r="AH1513" t="str">
        <f>T("3")</f>
        <v>3</v>
      </c>
      <c r="AK1513" t="str">
        <f>T("919")</f>
        <v>919</v>
      </c>
    </row>
    <row r="1514" spans="1:37" x14ac:dyDescent="0.3">
      <c r="A1514" t="s">
        <v>4733</v>
      </c>
      <c r="B1514" t="s">
        <v>4734</v>
      </c>
      <c r="C1514" t="s">
        <v>4735</v>
      </c>
      <c r="D1514" t="s">
        <v>4736</v>
      </c>
      <c r="K1514" t="str">
        <f>T("175.210")</f>
        <v>175.210</v>
      </c>
      <c r="L1514" t="str">
        <f>T("175.300")</f>
        <v>175.300</v>
      </c>
      <c r="M1514" t="str">
        <f>T("176.170")</f>
        <v>176.170</v>
      </c>
      <c r="N1514" t="str">
        <f>T("176.200")</f>
        <v>176.200</v>
      </c>
      <c r="O1514" t="str">
        <f>T("177.1200")</f>
        <v>177.1200</v>
      </c>
      <c r="P1514" t="str">
        <f>T("184.1324")</f>
        <v>184.1324</v>
      </c>
      <c r="AF1514" t="s">
        <v>4737</v>
      </c>
      <c r="AG1514" t="str">
        <f>T("2527")</f>
        <v>2527</v>
      </c>
      <c r="AH1514" t="str">
        <f>T("3")</f>
        <v>3</v>
      </c>
      <c r="AK1514" t="str">
        <f>T("918")</f>
        <v>918</v>
      </c>
    </row>
    <row r="1515" spans="1:37" x14ac:dyDescent="0.3">
      <c r="A1515" t="s">
        <v>4738</v>
      </c>
      <c r="B1515" t="s">
        <v>4739</v>
      </c>
      <c r="C1515" t="s">
        <v>4740</v>
      </c>
      <c r="D1515" t="s">
        <v>4712</v>
      </c>
      <c r="K1515" t="str">
        <f>T("184.1329")</f>
        <v>184.1329</v>
      </c>
    </row>
    <row r="1516" spans="1:37" x14ac:dyDescent="0.3">
      <c r="A1516" t="s">
        <v>4741</v>
      </c>
      <c r="B1516" t="s">
        <v>4742</v>
      </c>
      <c r="C1516" t="s">
        <v>4743</v>
      </c>
      <c r="D1516" t="s">
        <v>7</v>
      </c>
      <c r="K1516" t="str">
        <f>T("175.105")</f>
        <v>175.105</v>
      </c>
      <c r="L1516" t="str">
        <f>T("176.180")</f>
        <v>176.180</v>
      </c>
      <c r="AG1516" t="str">
        <f>T("3398")</f>
        <v>3398</v>
      </c>
      <c r="AH1516" t="str">
        <f>T("7")</f>
        <v>7</v>
      </c>
      <c r="AK1516" t="str">
        <f>T("861")</f>
        <v>861</v>
      </c>
    </row>
    <row r="1517" spans="1:37" x14ac:dyDescent="0.3">
      <c r="A1517" t="s">
        <v>4744</v>
      </c>
      <c r="B1517" t="s">
        <v>4745</v>
      </c>
      <c r="C1517" t="s">
        <v>4746</v>
      </c>
      <c r="D1517" t="s">
        <v>88</v>
      </c>
      <c r="AG1517" t="str">
        <f>T("3286")</f>
        <v>3286</v>
      </c>
      <c r="AH1517" t="str">
        <f>T("5")</f>
        <v>5</v>
      </c>
      <c r="AI1517" t="str">
        <f>T("25")</f>
        <v>25</v>
      </c>
      <c r="AK1517" t="str">
        <f>T("921")</f>
        <v>921</v>
      </c>
    </row>
    <row r="1518" spans="1:37" x14ac:dyDescent="0.3">
      <c r="A1518" t="s">
        <v>4747</v>
      </c>
      <c r="B1518" t="s">
        <v>4748</v>
      </c>
      <c r="C1518" t="s">
        <v>4749</v>
      </c>
      <c r="D1518" t="s">
        <v>4750</v>
      </c>
      <c r="K1518" t="str">
        <f>T("172.811")</f>
        <v>172.811</v>
      </c>
    </row>
    <row r="1519" spans="1:37" x14ac:dyDescent="0.3">
      <c r="A1519" t="s">
        <v>4751</v>
      </c>
      <c r="B1519" t="s">
        <v>4752</v>
      </c>
      <c r="C1519" t="s">
        <v>4753</v>
      </c>
      <c r="D1519" t="s">
        <v>213</v>
      </c>
      <c r="K1519" t="str">
        <f>T("172.320")</f>
        <v>172.320</v>
      </c>
      <c r="L1519" t="str">
        <f>T("172.812")</f>
        <v>172.812</v>
      </c>
      <c r="AG1519" t="str">
        <f>T("3287")</f>
        <v>3287</v>
      </c>
      <c r="AH1519" t="str">
        <f>T("5")</f>
        <v>5</v>
      </c>
      <c r="AI1519" t="str">
        <f>T("27")</f>
        <v>27</v>
      </c>
      <c r="AK1519" t="str">
        <f>T("1421")</f>
        <v>1421</v>
      </c>
    </row>
    <row r="1520" spans="1:37" x14ac:dyDescent="0.3">
      <c r="A1520" t="s">
        <v>4754</v>
      </c>
      <c r="B1520" t="s">
        <v>4755</v>
      </c>
      <c r="C1520" t="s">
        <v>4756</v>
      </c>
      <c r="D1520" t="s">
        <v>1949</v>
      </c>
    </row>
    <row r="1521" spans="1:37" x14ac:dyDescent="0.3">
      <c r="A1521" t="s">
        <v>4757</v>
      </c>
      <c r="B1521" t="s">
        <v>4758</v>
      </c>
      <c r="C1521" t="s">
        <v>4759</v>
      </c>
      <c r="D1521" t="s">
        <v>7</v>
      </c>
      <c r="K1521" t="str">
        <f>T("184.1408")</f>
        <v>184.1408</v>
      </c>
      <c r="AG1521" t="str">
        <f>T("2528")</f>
        <v>2528</v>
      </c>
      <c r="AH1521" t="str">
        <f>T("3")</f>
        <v>3</v>
      </c>
    </row>
    <row r="1522" spans="1:37" x14ac:dyDescent="0.3">
      <c r="A1522" t="s">
        <v>4760</v>
      </c>
      <c r="B1522" t="s">
        <v>4761</v>
      </c>
      <c r="C1522" t="s">
        <v>4762</v>
      </c>
      <c r="D1522" t="s">
        <v>7</v>
      </c>
      <c r="K1522" t="str">
        <f>T("182.10")</f>
        <v>182.10</v>
      </c>
      <c r="AG1522" t="str">
        <f>T("2529")</f>
        <v>2529</v>
      </c>
      <c r="AH1522" t="str">
        <f>T("3")</f>
        <v>3</v>
      </c>
    </row>
    <row r="1523" spans="1:37" x14ac:dyDescent="0.3">
      <c r="A1523" t="s">
        <v>4763</v>
      </c>
      <c r="B1523" t="s">
        <v>4764</v>
      </c>
      <c r="C1523" t="s">
        <v>4765</v>
      </c>
      <c r="D1523" t="s">
        <v>606</v>
      </c>
      <c r="E1523" t="str">
        <f>T("73.169")</f>
        <v>73.169</v>
      </c>
    </row>
    <row r="1524" spans="1:37" x14ac:dyDescent="0.3">
      <c r="A1524" t="s">
        <v>4766</v>
      </c>
      <c r="B1524" t="s">
        <v>4767</v>
      </c>
      <c r="C1524" t="s">
        <v>4768</v>
      </c>
      <c r="D1524" t="s">
        <v>7</v>
      </c>
    </row>
    <row r="1525" spans="1:37" x14ac:dyDescent="0.3">
      <c r="A1525" t="s">
        <v>4769</v>
      </c>
      <c r="B1525" t="s">
        <v>4770</v>
      </c>
      <c r="C1525" t="s">
        <v>4771</v>
      </c>
      <c r="D1525" t="s">
        <v>7</v>
      </c>
      <c r="K1525" t="str">
        <f t="shared" ref="K1525:K1530" si="16">T("182.20")</f>
        <v>182.20</v>
      </c>
      <c r="AF1525" t="str">
        <f>T("146.132")</f>
        <v>146.132</v>
      </c>
    </row>
    <row r="1526" spans="1:37" x14ac:dyDescent="0.3">
      <c r="A1526" t="s">
        <v>4772</v>
      </c>
      <c r="B1526" t="s">
        <v>4773</v>
      </c>
      <c r="C1526" t="s">
        <v>4774</v>
      </c>
      <c r="K1526" t="str">
        <f t="shared" si="16"/>
        <v>182.20</v>
      </c>
    </row>
    <row r="1527" spans="1:37" x14ac:dyDescent="0.3">
      <c r="A1527" t="s">
        <v>4775</v>
      </c>
      <c r="B1527" t="s">
        <v>4776</v>
      </c>
      <c r="C1527" t="s">
        <v>4777</v>
      </c>
      <c r="K1527" t="str">
        <f t="shared" si="16"/>
        <v>182.20</v>
      </c>
    </row>
    <row r="1528" spans="1:37" x14ac:dyDescent="0.3">
      <c r="A1528" t="s">
        <v>4778</v>
      </c>
      <c r="B1528" t="s">
        <v>4779</v>
      </c>
      <c r="C1528" t="s">
        <v>4780</v>
      </c>
      <c r="D1528" t="s">
        <v>7</v>
      </c>
      <c r="K1528" t="str">
        <f t="shared" si="16"/>
        <v>182.20</v>
      </c>
      <c r="AF1528" t="str">
        <f>T("146.132")</f>
        <v>146.132</v>
      </c>
      <c r="AG1528" t="str">
        <f>T("2530")</f>
        <v>2530</v>
      </c>
      <c r="AH1528" t="str">
        <f>T("3")</f>
        <v>3</v>
      </c>
    </row>
    <row r="1529" spans="1:37" x14ac:dyDescent="0.3">
      <c r="A1529" t="s">
        <v>4781</v>
      </c>
      <c r="B1529" t="s">
        <v>4782</v>
      </c>
      <c r="C1529" t="s">
        <v>4783</v>
      </c>
      <c r="D1529" t="s">
        <v>7</v>
      </c>
      <c r="K1529" t="str">
        <f t="shared" si="16"/>
        <v>182.20</v>
      </c>
    </row>
    <row r="1530" spans="1:37" x14ac:dyDescent="0.3">
      <c r="A1530" t="s">
        <v>4784</v>
      </c>
      <c r="B1530" t="s">
        <v>4785</v>
      </c>
      <c r="C1530" t="s">
        <v>4786</v>
      </c>
      <c r="K1530" t="str">
        <f t="shared" si="16"/>
        <v>182.20</v>
      </c>
    </row>
    <row r="1531" spans="1:37" x14ac:dyDescent="0.3">
      <c r="A1531" t="s">
        <v>4787</v>
      </c>
      <c r="B1531" t="s">
        <v>4788</v>
      </c>
      <c r="C1531" t="s">
        <v>4789</v>
      </c>
      <c r="D1531" t="s">
        <v>7</v>
      </c>
      <c r="AG1531" t="str">
        <f>T("4045")</f>
        <v>4045</v>
      </c>
      <c r="AH1531" t="str">
        <f>T("21")</f>
        <v>21</v>
      </c>
    </row>
    <row r="1532" spans="1:37" x14ac:dyDescent="0.3">
      <c r="A1532" t="s">
        <v>4790</v>
      </c>
      <c r="B1532" t="s">
        <v>4791</v>
      </c>
      <c r="C1532" t="s">
        <v>4792</v>
      </c>
      <c r="D1532" t="s">
        <v>1537</v>
      </c>
      <c r="E1532" t="str">
        <f>T("73.170")</f>
        <v>73.170</v>
      </c>
    </row>
    <row r="1533" spans="1:37" x14ac:dyDescent="0.3">
      <c r="A1533" t="s">
        <v>4793</v>
      </c>
      <c r="B1533" t="s">
        <v>4794</v>
      </c>
      <c r="C1533" t="s">
        <v>4795</v>
      </c>
      <c r="K1533" t="str">
        <f>T("184.1409")</f>
        <v>184.1409</v>
      </c>
    </row>
    <row r="1534" spans="1:37" x14ac:dyDescent="0.3">
      <c r="A1534" t="s">
        <v>4796</v>
      </c>
      <c r="B1534" t="s">
        <v>4797</v>
      </c>
      <c r="C1534" t="s">
        <v>4798</v>
      </c>
      <c r="D1534" t="s">
        <v>4799</v>
      </c>
      <c r="K1534" t="str">
        <f>T("172.510")</f>
        <v>172.510</v>
      </c>
      <c r="L1534" t="str">
        <f>T("175.300")</f>
        <v>175.300</v>
      </c>
      <c r="M1534" t="str">
        <f>T("177.1010")</f>
        <v>177.1010</v>
      </c>
      <c r="N1534" t="str">
        <f>T("181.24")</f>
        <v>181.24</v>
      </c>
    </row>
    <row r="1535" spans="1:37" x14ac:dyDescent="0.3">
      <c r="A1535" t="s">
        <v>4800</v>
      </c>
      <c r="B1535" t="s">
        <v>4801</v>
      </c>
      <c r="C1535" t="s">
        <v>4802</v>
      </c>
      <c r="D1535" t="s">
        <v>7</v>
      </c>
      <c r="K1535" t="str">
        <f>T("172.510")</f>
        <v>172.510</v>
      </c>
      <c r="AG1535" t="str">
        <f>T("2531")</f>
        <v>2531</v>
      </c>
      <c r="AH1535" t="str">
        <f>T("3")</f>
        <v>3</v>
      </c>
    </row>
    <row r="1536" spans="1:37" x14ac:dyDescent="0.3">
      <c r="A1536" t="s">
        <v>4803</v>
      </c>
      <c r="B1536" t="s">
        <v>4804</v>
      </c>
      <c r="C1536" t="s">
        <v>4805</v>
      </c>
      <c r="D1536" t="s">
        <v>7</v>
      </c>
      <c r="K1536" t="str">
        <f>T("172.515")</f>
        <v>172.515</v>
      </c>
      <c r="AG1536" t="str">
        <f>T("2532")</f>
        <v>2532</v>
      </c>
      <c r="AH1536" t="str">
        <f>T("3")</f>
        <v>3</v>
      </c>
      <c r="AK1536" t="str">
        <f>T("713")</f>
        <v>713</v>
      </c>
    </row>
    <row r="1537" spans="1:37" x14ac:dyDescent="0.3">
      <c r="A1537" t="s">
        <v>4806</v>
      </c>
      <c r="B1537" t="s">
        <v>4807</v>
      </c>
      <c r="C1537" t="s">
        <v>4808</v>
      </c>
      <c r="D1537" t="s">
        <v>7</v>
      </c>
      <c r="AG1537" t="str">
        <f>T("4607")</f>
        <v>4607</v>
      </c>
      <c r="AH1537" t="str">
        <f>T("24")</f>
        <v>24</v>
      </c>
      <c r="AK1537" t="str">
        <f>T("2015")</f>
        <v>2015</v>
      </c>
    </row>
    <row r="1538" spans="1:37" x14ac:dyDescent="0.3">
      <c r="A1538" t="s">
        <v>4809</v>
      </c>
      <c r="B1538" t="s">
        <v>4810</v>
      </c>
      <c r="C1538" t="s">
        <v>4811</v>
      </c>
      <c r="D1538" t="s">
        <v>7</v>
      </c>
      <c r="AG1538" t="str">
        <f>T("4609")</f>
        <v>4609</v>
      </c>
      <c r="AH1538" t="str">
        <f>T("24")</f>
        <v>24</v>
      </c>
      <c r="AK1538" t="str">
        <f>T("2017")</f>
        <v>2017</v>
      </c>
    </row>
    <row r="1539" spans="1:37" x14ac:dyDescent="0.3">
      <c r="A1539" t="s">
        <v>4812</v>
      </c>
      <c r="B1539" t="s">
        <v>4813</v>
      </c>
      <c r="C1539" t="s">
        <v>4814</v>
      </c>
      <c r="D1539" t="s">
        <v>7</v>
      </c>
      <c r="K1539" t="str">
        <f>T("172.510")</f>
        <v>172.510</v>
      </c>
      <c r="AG1539" t="str">
        <f>T("2533")</f>
        <v>2533</v>
      </c>
      <c r="AH1539" t="str">
        <f>T("3")</f>
        <v>3</v>
      </c>
    </row>
    <row r="1540" spans="1:37" x14ac:dyDescent="0.3">
      <c r="A1540" t="s">
        <v>4815</v>
      </c>
      <c r="B1540" t="s">
        <v>4816</v>
      </c>
      <c r="C1540" t="s">
        <v>4817</v>
      </c>
      <c r="D1540" t="s">
        <v>7</v>
      </c>
      <c r="K1540" t="str">
        <f>T("172.510")</f>
        <v>172.510</v>
      </c>
      <c r="AG1540" t="str">
        <f>T("2534")</f>
        <v>2534</v>
      </c>
      <c r="AH1540" t="str">
        <f>T("3")</f>
        <v>3</v>
      </c>
    </row>
    <row r="1541" spans="1:37" x14ac:dyDescent="0.3">
      <c r="A1541" t="s">
        <v>4818</v>
      </c>
      <c r="B1541" t="s">
        <v>4819</v>
      </c>
      <c r="C1541" t="s">
        <v>4820</v>
      </c>
      <c r="D1541" t="s">
        <v>15</v>
      </c>
      <c r="K1541" t="str">
        <f>T("172.515")</f>
        <v>172.515</v>
      </c>
      <c r="AG1541" t="str">
        <f>T("3687")</f>
        <v>3687</v>
      </c>
      <c r="AH1541" t="str">
        <f>T("13")</f>
        <v>13</v>
      </c>
      <c r="AK1541" t="str">
        <f>T("718")</f>
        <v>718</v>
      </c>
    </row>
    <row r="1542" spans="1:37" x14ac:dyDescent="0.3">
      <c r="A1542" t="s">
        <v>4821</v>
      </c>
      <c r="B1542" t="s">
        <v>4822</v>
      </c>
      <c r="C1542" t="s">
        <v>4823</v>
      </c>
      <c r="D1542" t="s">
        <v>7</v>
      </c>
      <c r="AG1542" t="str">
        <f>T("4608")</f>
        <v>4608</v>
      </c>
      <c r="AH1542" t="str">
        <f>T("24")</f>
        <v>24</v>
      </c>
      <c r="AK1542" t="str">
        <f>T("2016")</f>
        <v>2016</v>
      </c>
    </row>
    <row r="1543" spans="1:37" x14ac:dyDescent="0.3">
      <c r="A1543" t="s">
        <v>4824</v>
      </c>
      <c r="B1543" t="s">
        <v>4825</v>
      </c>
      <c r="C1543" t="s">
        <v>4826</v>
      </c>
      <c r="D1543" t="s">
        <v>7</v>
      </c>
      <c r="K1543" t="str">
        <f>T("172.515")</f>
        <v>172.515</v>
      </c>
      <c r="AG1543" t="str">
        <f>T("2535")</f>
        <v>2535</v>
      </c>
      <c r="AH1543" t="str">
        <f>T("3")</f>
        <v>3</v>
      </c>
      <c r="AK1543" t="str">
        <f>T("719")</f>
        <v>719</v>
      </c>
    </row>
    <row r="1544" spans="1:37" x14ac:dyDescent="0.3">
      <c r="A1544" t="s">
        <v>4827</v>
      </c>
      <c r="B1544" t="s">
        <v>4828</v>
      </c>
      <c r="C1544" t="s">
        <v>4829</v>
      </c>
      <c r="D1544" t="s">
        <v>7</v>
      </c>
      <c r="K1544" t="str">
        <f>T("172.515")</f>
        <v>172.515</v>
      </c>
    </row>
    <row r="1545" spans="1:37" x14ac:dyDescent="0.3">
      <c r="A1545" t="s">
        <v>4830</v>
      </c>
      <c r="B1545" t="s">
        <v>4831</v>
      </c>
      <c r="C1545" t="s">
        <v>4832</v>
      </c>
      <c r="D1545" t="s">
        <v>7</v>
      </c>
      <c r="K1545" t="str">
        <f>T("172.515")</f>
        <v>172.515</v>
      </c>
    </row>
    <row r="1546" spans="1:37" x14ac:dyDescent="0.3">
      <c r="A1546" t="s">
        <v>4833</v>
      </c>
      <c r="B1546" t="s">
        <v>4834</v>
      </c>
      <c r="C1546" t="s">
        <v>4835</v>
      </c>
      <c r="D1546" t="s">
        <v>15</v>
      </c>
      <c r="K1546" t="str">
        <f>T("172.510")</f>
        <v>172.510</v>
      </c>
      <c r="AG1546" t="str">
        <f>T("2536")</f>
        <v>2536</v>
      </c>
      <c r="AH1546" t="str">
        <f>T("3")</f>
        <v>3</v>
      </c>
    </row>
    <row r="1547" spans="1:37" x14ac:dyDescent="0.3">
      <c r="A1547" t="s">
        <v>4836</v>
      </c>
      <c r="B1547" t="s">
        <v>4837</v>
      </c>
      <c r="C1547" t="s">
        <v>4838</v>
      </c>
      <c r="D1547" t="s">
        <v>7</v>
      </c>
      <c r="K1547" t="str">
        <f>T("172.510")</f>
        <v>172.510</v>
      </c>
    </row>
    <row r="1548" spans="1:37" x14ac:dyDescent="0.3">
      <c r="A1548" t="s">
        <v>4839</v>
      </c>
      <c r="B1548" t="s">
        <v>4840</v>
      </c>
      <c r="C1548" t="s">
        <v>4841</v>
      </c>
      <c r="D1548" t="s">
        <v>7</v>
      </c>
    </row>
    <row r="1549" spans="1:37" x14ac:dyDescent="0.3">
      <c r="A1549" t="s">
        <v>4842</v>
      </c>
      <c r="B1549" t="s">
        <v>4843</v>
      </c>
      <c r="C1549" t="s">
        <v>4844</v>
      </c>
      <c r="K1549" t="str">
        <f>T("182.20")</f>
        <v>182.20</v>
      </c>
    </row>
    <row r="1550" spans="1:37" x14ac:dyDescent="0.3">
      <c r="A1550" t="s">
        <v>4845</v>
      </c>
      <c r="B1550" t="s">
        <v>4846</v>
      </c>
      <c r="C1550" t="s">
        <v>4847</v>
      </c>
      <c r="D1550" t="s">
        <v>1623</v>
      </c>
      <c r="AG1550" t="str">
        <f>T("4227")</f>
        <v>4227</v>
      </c>
      <c r="AH1550" t="str">
        <f>T("22")</f>
        <v>22</v>
      </c>
    </row>
    <row r="1551" spans="1:37" x14ac:dyDescent="0.3">
      <c r="A1551" t="s">
        <v>4848</v>
      </c>
      <c r="B1551" t="s">
        <v>4849</v>
      </c>
      <c r="C1551" t="s">
        <v>4850</v>
      </c>
      <c r="D1551" t="s">
        <v>1175</v>
      </c>
      <c r="K1551" t="str">
        <f>T("172.615")</f>
        <v>172.615</v>
      </c>
    </row>
    <row r="1552" spans="1:37" x14ac:dyDescent="0.3">
      <c r="A1552" t="s">
        <v>4851</v>
      </c>
      <c r="B1552" t="s">
        <v>4852</v>
      </c>
      <c r="C1552" t="s">
        <v>4853</v>
      </c>
      <c r="D1552" t="s">
        <v>606</v>
      </c>
      <c r="E1552" t="str">
        <f>T("73.185")</f>
        <v>73.185</v>
      </c>
    </row>
    <row r="1553" spans="1:37" x14ac:dyDescent="0.3">
      <c r="A1553" t="s">
        <v>4854</v>
      </c>
      <c r="B1553" t="s">
        <v>4855</v>
      </c>
      <c r="C1553" t="s">
        <v>4856</v>
      </c>
      <c r="D1553" t="s">
        <v>7</v>
      </c>
      <c r="K1553" t="str">
        <f>T("172.510")</f>
        <v>172.510</v>
      </c>
      <c r="AG1553" t="str">
        <f>T("2538")</f>
        <v>2538</v>
      </c>
      <c r="AH1553" t="str">
        <f>T("3")</f>
        <v>3</v>
      </c>
    </row>
    <row r="1554" spans="1:37" x14ac:dyDescent="0.3">
      <c r="A1554" t="s">
        <v>4857</v>
      </c>
      <c r="B1554" t="s">
        <v>4858</v>
      </c>
      <c r="C1554" t="s">
        <v>4859</v>
      </c>
      <c r="D1554" t="s">
        <v>7</v>
      </c>
      <c r="AG1554" t="str">
        <f>T("4220")</f>
        <v>4220</v>
      </c>
      <c r="AH1554" t="str">
        <f>T("22")</f>
        <v>22</v>
      </c>
      <c r="AI1554" t="str">
        <f>T("26")</f>
        <v>26</v>
      </c>
    </row>
    <row r="1555" spans="1:37" x14ac:dyDescent="0.3">
      <c r="A1555" t="s">
        <v>4860</v>
      </c>
      <c r="B1555" t="s">
        <v>4861</v>
      </c>
      <c r="C1555" t="s">
        <v>4862</v>
      </c>
      <c r="D1555" t="s">
        <v>199</v>
      </c>
      <c r="K1555" t="str">
        <f>T("184.1355")</f>
        <v>184.1355</v>
      </c>
    </row>
    <row r="1556" spans="1:37" x14ac:dyDescent="0.3">
      <c r="A1556" t="s">
        <v>4863</v>
      </c>
      <c r="B1556" t="s">
        <v>4864</v>
      </c>
      <c r="C1556" t="s">
        <v>4865</v>
      </c>
      <c r="D1556" t="s">
        <v>7</v>
      </c>
      <c r="K1556" t="str">
        <f>T("172.510")</f>
        <v>172.510</v>
      </c>
    </row>
    <row r="1557" spans="1:37" x14ac:dyDescent="0.3">
      <c r="A1557" t="s">
        <v>4866</v>
      </c>
      <c r="B1557" t="s">
        <v>4867</v>
      </c>
      <c r="C1557" t="s">
        <v>4868</v>
      </c>
      <c r="D1557" t="s">
        <v>7</v>
      </c>
      <c r="K1557" t="str">
        <f>T("172.510")</f>
        <v>172.510</v>
      </c>
    </row>
    <row r="1558" spans="1:37" x14ac:dyDescent="0.3">
      <c r="A1558" t="s">
        <v>4869</v>
      </c>
      <c r="B1558" t="s">
        <v>4870</v>
      </c>
      <c r="C1558" t="s">
        <v>4871</v>
      </c>
      <c r="D1558" t="s">
        <v>7</v>
      </c>
      <c r="AG1558" t="str">
        <f>T("3164")</f>
        <v>3164</v>
      </c>
      <c r="AH1558" t="str">
        <f>T("4")</f>
        <v>4</v>
      </c>
      <c r="AK1558" t="str">
        <f>T("1179")</f>
        <v>1179</v>
      </c>
    </row>
    <row r="1559" spans="1:37" x14ac:dyDescent="0.3">
      <c r="A1559" t="s">
        <v>4872</v>
      </c>
      <c r="B1559" t="s">
        <v>4873</v>
      </c>
      <c r="C1559" t="s">
        <v>4874</v>
      </c>
      <c r="D1559" t="s">
        <v>7</v>
      </c>
      <c r="AG1559" t="str">
        <f>T("4127")</f>
        <v>4127</v>
      </c>
      <c r="AH1559" t="str">
        <f>T("22")</f>
        <v>22</v>
      </c>
      <c r="AK1559" t="str">
        <f>T("1784")</f>
        <v>1784</v>
      </c>
    </row>
    <row r="1560" spans="1:37" x14ac:dyDescent="0.3">
      <c r="A1560" t="s">
        <v>4875</v>
      </c>
      <c r="B1560" t="s">
        <v>4876</v>
      </c>
      <c r="C1560" t="s">
        <v>4877</v>
      </c>
      <c r="D1560" t="s">
        <v>7</v>
      </c>
      <c r="K1560" t="str">
        <f>T("172.515")</f>
        <v>172.515</v>
      </c>
      <c r="AG1560" t="str">
        <f>T("2539")</f>
        <v>2539</v>
      </c>
      <c r="AH1560" t="str">
        <f>T("3")</f>
        <v>3</v>
      </c>
      <c r="AI1560" t="str">
        <f>T("25")</f>
        <v>25</v>
      </c>
      <c r="AK1560" t="str">
        <f>T("225")</f>
        <v>225</v>
      </c>
    </row>
    <row r="1561" spans="1:37" x14ac:dyDescent="0.3">
      <c r="A1561" t="s">
        <v>4878</v>
      </c>
      <c r="B1561" t="s">
        <v>4879</v>
      </c>
      <c r="C1561" t="s">
        <v>4880</v>
      </c>
      <c r="D1561" t="s">
        <v>7</v>
      </c>
      <c r="K1561" t="str">
        <f>T("172.515")</f>
        <v>172.515</v>
      </c>
      <c r="AG1561" t="str">
        <f>T("2540")</f>
        <v>2540</v>
      </c>
      <c r="AH1561" t="str">
        <f>T("3")</f>
        <v>3</v>
      </c>
      <c r="AK1561" t="str">
        <f>T("95")</f>
        <v>95</v>
      </c>
    </row>
    <row r="1562" spans="1:37" x14ac:dyDescent="0.3">
      <c r="A1562" t="s">
        <v>4881</v>
      </c>
      <c r="B1562" t="s">
        <v>4882</v>
      </c>
      <c r="C1562" t="s">
        <v>4883</v>
      </c>
      <c r="D1562" t="s">
        <v>7</v>
      </c>
      <c r="K1562" t="str">
        <f>T("172.515")</f>
        <v>172.515</v>
      </c>
      <c r="AG1562" t="str">
        <f>T("2541")</f>
        <v>2541</v>
      </c>
      <c r="AH1562" t="str">
        <f>T("3")</f>
        <v>3</v>
      </c>
      <c r="AK1562" t="str">
        <f>T("947")</f>
        <v>947</v>
      </c>
    </row>
    <row r="1563" spans="1:37" x14ac:dyDescent="0.3">
      <c r="A1563" t="s">
        <v>4884</v>
      </c>
      <c r="B1563" t="s">
        <v>4885</v>
      </c>
      <c r="C1563" t="s">
        <v>4886</v>
      </c>
      <c r="D1563" t="s">
        <v>7</v>
      </c>
      <c r="K1563" t="str">
        <f>T("172.515")</f>
        <v>172.515</v>
      </c>
      <c r="AG1563" t="str">
        <f>T("2542")</f>
        <v>2542</v>
      </c>
      <c r="AH1563" t="str">
        <f>T("3")</f>
        <v>3</v>
      </c>
      <c r="AK1563" t="str">
        <f>T("912")</f>
        <v>912</v>
      </c>
    </row>
    <row r="1564" spans="1:37" x14ac:dyDescent="0.3">
      <c r="A1564" t="s">
        <v>4887</v>
      </c>
      <c r="B1564" t="s">
        <v>4888</v>
      </c>
      <c r="C1564" t="s">
        <v>4889</v>
      </c>
      <c r="D1564" t="s">
        <v>7</v>
      </c>
      <c r="AG1564" t="str">
        <f>T("4368")</f>
        <v>4368</v>
      </c>
      <c r="AH1564" t="str">
        <f>T("23")</f>
        <v>23</v>
      </c>
      <c r="AK1564" t="str">
        <f>T("1739")</f>
        <v>1739</v>
      </c>
    </row>
    <row r="1565" spans="1:37" x14ac:dyDescent="0.3">
      <c r="A1565" t="s">
        <v>4890</v>
      </c>
      <c r="B1565" t="s">
        <v>4891</v>
      </c>
      <c r="C1565" t="s">
        <v>4892</v>
      </c>
      <c r="D1565" t="s">
        <v>7</v>
      </c>
      <c r="K1565" t="str">
        <f>T("172.515")</f>
        <v>172.515</v>
      </c>
      <c r="AG1565" t="str">
        <f>T("2543")</f>
        <v>2543</v>
      </c>
      <c r="AH1565" t="str">
        <f>T("3")</f>
        <v>3</v>
      </c>
      <c r="AI1565" t="str">
        <f>T("25")</f>
        <v>25</v>
      </c>
      <c r="AK1565" t="str">
        <f>T("415")</f>
        <v>415</v>
      </c>
    </row>
    <row r="1566" spans="1:37" x14ac:dyDescent="0.3">
      <c r="A1566" t="s">
        <v>4893</v>
      </c>
      <c r="B1566" t="s">
        <v>4894</v>
      </c>
      <c r="C1566" t="s">
        <v>4895</v>
      </c>
      <c r="D1566" t="s">
        <v>7</v>
      </c>
      <c r="AG1566" t="str">
        <f>T("4259")</f>
        <v>4259</v>
      </c>
      <c r="AH1566" t="str">
        <f>T("23")</f>
        <v>23</v>
      </c>
      <c r="AK1566" t="str">
        <f>T("1663")</f>
        <v>1663</v>
      </c>
    </row>
    <row r="1567" spans="1:37" x14ac:dyDescent="0.3">
      <c r="A1567" t="s">
        <v>4896</v>
      </c>
      <c r="B1567" t="s">
        <v>4897</v>
      </c>
      <c r="C1567" t="s">
        <v>4898</v>
      </c>
      <c r="D1567" t="s">
        <v>7</v>
      </c>
      <c r="AG1567" t="str">
        <f>T("4128")</f>
        <v>4128</v>
      </c>
      <c r="AH1567" t="str">
        <f>T("22")</f>
        <v>22</v>
      </c>
      <c r="AK1567" t="str">
        <f>T("1664")</f>
        <v>1664</v>
      </c>
    </row>
    <row r="1568" spans="1:37" x14ac:dyDescent="0.3">
      <c r="A1568" t="s">
        <v>4899</v>
      </c>
      <c r="B1568" t="s">
        <v>4900</v>
      </c>
      <c r="C1568" t="s">
        <v>4901</v>
      </c>
      <c r="D1568" t="s">
        <v>7</v>
      </c>
      <c r="K1568" t="str">
        <f>T("173.315")</f>
        <v>173.315</v>
      </c>
      <c r="AG1568" t="str">
        <f>T("3348")</f>
        <v>3348</v>
      </c>
      <c r="AH1568" t="s">
        <v>1308</v>
      </c>
      <c r="AK1568" t="str">
        <f>T("96")</f>
        <v>96</v>
      </c>
    </row>
    <row r="1569" spans="1:37" x14ac:dyDescent="0.3">
      <c r="A1569" t="s">
        <v>4902</v>
      </c>
      <c r="B1569" t="s">
        <v>4903</v>
      </c>
      <c r="C1569" t="s">
        <v>4904</v>
      </c>
      <c r="D1569" t="s">
        <v>7</v>
      </c>
      <c r="AG1569" t="str">
        <f>T("3288")</f>
        <v>3288</v>
      </c>
      <c r="AH1569" t="str">
        <f>T("5")</f>
        <v>5</v>
      </c>
      <c r="AK1569" t="str">
        <f>T("284")</f>
        <v>284</v>
      </c>
    </row>
    <row r="1570" spans="1:37" x14ac:dyDescent="0.3">
      <c r="A1570" t="s">
        <v>4905</v>
      </c>
      <c r="B1570" t="s">
        <v>4906</v>
      </c>
      <c r="C1570" t="s">
        <v>4907</v>
      </c>
      <c r="D1570" t="s">
        <v>7</v>
      </c>
      <c r="K1570" t="str">
        <f>T("172.515")</f>
        <v>172.515</v>
      </c>
      <c r="AG1570" t="str">
        <f>T("3547")</f>
        <v>3547</v>
      </c>
      <c r="AH1570" t="str">
        <f>T("11")</f>
        <v>11</v>
      </c>
      <c r="AK1570" t="str">
        <f>T("286")</f>
        <v>286</v>
      </c>
    </row>
    <row r="1571" spans="1:37" x14ac:dyDescent="0.3">
      <c r="A1571" t="s">
        <v>4908</v>
      </c>
      <c r="B1571" t="s">
        <v>4909</v>
      </c>
      <c r="C1571" t="s">
        <v>4910</v>
      </c>
      <c r="D1571" t="s">
        <v>7</v>
      </c>
      <c r="K1571" t="str">
        <f>T("172.515")</f>
        <v>172.515</v>
      </c>
      <c r="AG1571" t="str">
        <f>T("2544")</f>
        <v>2544</v>
      </c>
      <c r="AH1571" t="str">
        <f>T("3")</f>
        <v>3</v>
      </c>
      <c r="AK1571" t="str">
        <f>T("283")</f>
        <v>283</v>
      </c>
    </row>
    <row r="1572" spans="1:37" x14ac:dyDescent="0.3">
      <c r="A1572" t="s">
        <v>4911</v>
      </c>
      <c r="B1572" t="s">
        <v>4912</v>
      </c>
      <c r="C1572" t="s">
        <v>4913</v>
      </c>
      <c r="D1572" t="s">
        <v>7</v>
      </c>
      <c r="K1572" t="str">
        <f>T("172.515")</f>
        <v>172.515</v>
      </c>
      <c r="AG1572" t="str">
        <f>T("2545")</f>
        <v>2545</v>
      </c>
      <c r="AH1572" t="str">
        <f>T("3")</f>
        <v>3</v>
      </c>
      <c r="AK1572" t="str">
        <f>T("285")</f>
        <v>285</v>
      </c>
    </row>
    <row r="1573" spans="1:37" x14ac:dyDescent="0.3">
      <c r="A1573" t="s">
        <v>4914</v>
      </c>
      <c r="B1573" t="s">
        <v>4915</v>
      </c>
      <c r="C1573" t="s">
        <v>4916</v>
      </c>
      <c r="D1573" t="s">
        <v>7</v>
      </c>
      <c r="K1573" t="str">
        <f>T("172.515")</f>
        <v>172.515</v>
      </c>
      <c r="AG1573" t="str">
        <f>T("2546")</f>
        <v>2546</v>
      </c>
      <c r="AH1573" t="str">
        <f>T("3")</f>
        <v>3</v>
      </c>
      <c r="AK1573" t="str">
        <f>T("287")</f>
        <v>287</v>
      </c>
    </row>
    <row r="1574" spans="1:37" x14ac:dyDescent="0.3">
      <c r="A1574" t="s">
        <v>4917</v>
      </c>
      <c r="B1574" t="s">
        <v>4918</v>
      </c>
      <c r="D1574" t="s">
        <v>7</v>
      </c>
      <c r="AG1574" t="str">
        <f>T("4232")</f>
        <v>4232</v>
      </c>
      <c r="AH1574" t="str">
        <f>T("22")</f>
        <v>22</v>
      </c>
      <c r="AI1574" t="str">
        <f>T("27")</f>
        <v>27</v>
      </c>
      <c r="AK1574" t="str">
        <f>T("1767")</f>
        <v>1767</v>
      </c>
    </row>
    <row r="1575" spans="1:37" x14ac:dyDescent="0.3">
      <c r="A1575" t="s">
        <v>4919</v>
      </c>
      <c r="B1575" t="s">
        <v>4920</v>
      </c>
      <c r="C1575" t="s">
        <v>4921</v>
      </c>
      <c r="D1575" t="s">
        <v>7</v>
      </c>
      <c r="AG1575" t="str">
        <f>T("3165")</f>
        <v>3165</v>
      </c>
      <c r="AH1575" t="str">
        <f>T("4")</f>
        <v>4</v>
      </c>
      <c r="AI1575" t="str">
        <f>T("25")</f>
        <v>25</v>
      </c>
      <c r="AK1575" t="str">
        <f>T("1360")</f>
        <v>1360</v>
      </c>
    </row>
    <row r="1576" spans="1:37" x14ac:dyDescent="0.3">
      <c r="A1576" t="s">
        <v>4922</v>
      </c>
      <c r="B1576" t="s">
        <v>4923</v>
      </c>
      <c r="C1576" t="s">
        <v>4924</v>
      </c>
      <c r="D1576" t="s">
        <v>7</v>
      </c>
      <c r="AG1576" t="str">
        <f>T("3349")</f>
        <v>3349</v>
      </c>
      <c r="AH1576" t="str">
        <f>T("6")</f>
        <v>6</v>
      </c>
      <c r="AK1576" t="str">
        <f>T("949")</f>
        <v>949</v>
      </c>
    </row>
    <row r="1577" spans="1:37" x14ac:dyDescent="0.3">
      <c r="A1577" t="s">
        <v>4925</v>
      </c>
      <c r="B1577" t="s">
        <v>4926</v>
      </c>
      <c r="C1577" t="s">
        <v>4927</v>
      </c>
      <c r="D1577" t="s">
        <v>7</v>
      </c>
      <c r="AG1577" t="str">
        <f>T("3920")</f>
        <v>3920</v>
      </c>
      <c r="AH1577" t="str">
        <f>T("19")</f>
        <v>19</v>
      </c>
      <c r="AK1577" t="str">
        <f>T("1373")</f>
        <v>1373</v>
      </c>
    </row>
    <row r="1578" spans="1:37" x14ac:dyDescent="0.3">
      <c r="A1578" t="s">
        <v>4928</v>
      </c>
      <c r="B1578" t="s">
        <v>4929</v>
      </c>
      <c r="C1578" t="s">
        <v>4930</v>
      </c>
      <c r="D1578" t="s">
        <v>7</v>
      </c>
      <c r="AG1578" t="str">
        <f>T("4129")</f>
        <v>4129</v>
      </c>
      <c r="AH1578" t="str">
        <f>T("22")</f>
        <v>22</v>
      </c>
      <c r="AK1578" t="str">
        <f>T("1842")</f>
        <v>1842</v>
      </c>
    </row>
    <row r="1579" spans="1:37" x14ac:dyDescent="0.3">
      <c r="A1579" t="s">
        <v>4931</v>
      </c>
      <c r="B1579" t="s">
        <v>4932</v>
      </c>
      <c r="C1579" t="s">
        <v>4933</v>
      </c>
      <c r="D1579" t="s">
        <v>7</v>
      </c>
      <c r="AG1579" t="str">
        <f>T("3841")</f>
        <v>3841</v>
      </c>
      <c r="AH1579" t="str">
        <f>T("18")</f>
        <v>18</v>
      </c>
      <c r="AK1579" t="str">
        <f>T("1280")</f>
        <v>1280</v>
      </c>
    </row>
    <row r="1580" spans="1:37" x14ac:dyDescent="0.3">
      <c r="A1580" t="s">
        <v>4934</v>
      </c>
      <c r="B1580" t="s">
        <v>4935</v>
      </c>
      <c r="C1580" t="s">
        <v>4936</v>
      </c>
      <c r="D1580" t="s">
        <v>7</v>
      </c>
      <c r="AG1580" t="str">
        <f>T("3399")</f>
        <v>3399</v>
      </c>
      <c r="AH1580" t="str">
        <f>T("7")</f>
        <v>7</v>
      </c>
      <c r="AK1580" t="str">
        <f>T("1126")</f>
        <v>1126</v>
      </c>
    </row>
    <row r="1581" spans="1:37" x14ac:dyDescent="0.3">
      <c r="A1581" t="s">
        <v>4937</v>
      </c>
      <c r="B1581" t="s">
        <v>4938</v>
      </c>
      <c r="C1581" t="s">
        <v>4939</v>
      </c>
      <c r="D1581" t="s">
        <v>7</v>
      </c>
      <c r="AG1581" t="str">
        <f>T("3400")</f>
        <v>3400</v>
      </c>
      <c r="AH1581" t="str">
        <f>T("7")</f>
        <v>7</v>
      </c>
      <c r="AK1581" t="str">
        <f>T("1127")</f>
        <v>1127</v>
      </c>
    </row>
    <row r="1582" spans="1:37" x14ac:dyDescent="0.3">
      <c r="A1582" t="s">
        <v>4940</v>
      </c>
      <c r="B1582" t="s">
        <v>4941</v>
      </c>
      <c r="C1582" t="s">
        <v>4942</v>
      </c>
      <c r="D1582" t="s">
        <v>7</v>
      </c>
      <c r="AG1582" t="str">
        <f>T("4125")</f>
        <v>4125</v>
      </c>
      <c r="AH1582" t="str">
        <f>T("22")</f>
        <v>22</v>
      </c>
      <c r="AK1582" t="str">
        <f>T("1798")</f>
        <v>1798</v>
      </c>
    </row>
    <row r="1583" spans="1:37" x14ac:dyDescent="0.3">
      <c r="A1583" t="s">
        <v>4943</v>
      </c>
      <c r="B1583" t="s">
        <v>4944</v>
      </c>
      <c r="C1583" t="s">
        <v>4945</v>
      </c>
      <c r="D1583" t="s">
        <v>7</v>
      </c>
      <c r="AG1583" t="str">
        <f>T("4126")</f>
        <v>4126</v>
      </c>
      <c r="AH1583" t="str">
        <f>T("22")</f>
        <v>22</v>
      </c>
      <c r="AK1583" t="str">
        <f>T("1799")</f>
        <v>1799</v>
      </c>
    </row>
    <row r="1584" spans="1:37" x14ac:dyDescent="0.3">
      <c r="A1584" t="s">
        <v>4946</v>
      </c>
      <c r="B1584" t="s">
        <v>4947</v>
      </c>
      <c r="C1584" t="s">
        <v>4948</v>
      </c>
      <c r="D1584" t="s">
        <v>7</v>
      </c>
      <c r="AG1584" t="str">
        <f>T("3494")</f>
        <v>3494</v>
      </c>
      <c r="AH1584" t="str">
        <f>T("10")</f>
        <v>10</v>
      </c>
      <c r="AK1584" t="str">
        <f>T("191")</f>
        <v>191</v>
      </c>
    </row>
    <row r="1585" spans="1:37" x14ac:dyDescent="0.3">
      <c r="A1585" t="s">
        <v>4949</v>
      </c>
      <c r="B1585" t="s">
        <v>4950</v>
      </c>
      <c r="C1585" t="s">
        <v>4951</v>
      </c>
      <c r="D1585" t="s">
        <v>7</v>
      </c>
      <c r="K1585" t="str">
        <f>T("172.515")</f>
        <v>172.515</v>
      </c>
      <c r="AG1585" t="str">
        <f>T("2547")</f>
        <v>2547</v>
      </c>
      <c r="AH1585" t="str">
        <f>T("3")</f>
        <v>3</v>
      </c>
      <c r="AK1585" t="str">
        <f>T("129")</f>
        <v>129</v>
      </c>
    </row>
    <row r="1586" spans="1:37" x14ac:dyDescent="0.3">
      <c r="A1586" t="s">
        <v>4952</v>
      </c>
      <c r="B1586" t="s">
        <v>4953</v>
      </c>
      <c r="C1586" t="s">
        <v>4954</v>
      </c>
      <c r="D1586" t="s">
        <v>7</v>
      </c>
      <c r="AG1586" t="str">
        <f>T("3980")</f>
        <v>3980</v>
      </c>
      <c r="AH1586" t="str">
        <f>T("20")</f>
        <v>20</v>
      </c>
      <c r="AK1586" t="str">
        <f>T("1143")</f>
        <v>1143</v>
      </c>
    </row>
    <row r="1587" spans="1:37" x14ac:dyDescent="0.3">
      <c r="A1587" t="s">
        <v>4955</v>
      </c>
      <c r="B1587" t="s">
        <v>4956</v>
      </c>
      <c r="C1587" t="s">
        <v>4957</v>
      </c>
      <c r="D1587" t="s">
        <v>7</v>
      </c>
      <c r="K1587" t="str">
        <f>T("172.515")</f>
        <v>172.515</v>
      </c>
      <c r="AG1587" t="str">
        <f>T("2548")</f>
        <v>2548</v>
      </c>
      <c r="AH1587" t="str">
        <f>T("3")</f>
        <v>3</v>
      </c>
      <c r="AK1587" t="str">
        <f>T("94")</f>
        <v>94</v>
      </c>
    </row>
    <row r="1588" spans="1:37" x14ac:dyDescent="0.3">
      <c r="A1588" t="s">
        <v>4958</v>
      </c>
      <c r="B1588" t="s">
        <v>4959</v>
      </c>
      <c r="C1588" t="s">
        <v>4960</v>
      </c>
      <c r="D1588" t="s">
        <v>7</v>
      </c>
      <c r="K1588" t="str">
        <f>T("172.515")</f>
        <v>172.515</v>
      </c>
      <c r="AG1588" t="str">
        <f>T("2549")</f>
        <v>2549</v>
      </c>
      <c r="AH1588" t="str">
        <f>T("3")</f>
        <v>3</v>
      </c>
      <c r="AK1588" t="str">
        <f>T("154")</f>
        <v>154</v>
      </c>
    </row>
    <row r="1589" spans="1:37" x14ac:dyDescent="0.3">
      <c r="A1589" t="s">
        <v>4961</v>
      </c>
      <c r="B1589" t="s">
        <v>4962</v>
      </c>
      <c r="C1589" t="s">
        <v>4963</v>
      </c>
      <c r="D1589" t="s">
        <v>7</v>
      </c>
      <c r="AG1589" t="str">
        <f>T("3981")</f>
        <v>3981</v>
      </c>
      <c r="AH1589" t="str">
        <f>T("20")</f>
        <v>20</v>
      </c>
      <c r="AK1589" t="str">
        <f>T("1144")</f>
        <v>1144</v>
      </c>
    </row>
    <row r="1590" spans="1:37" x14ac:dyDescent="0.3">
      <c r="A1590" t="s">
        <v>4964</v>
      </c>
      <c r="B1590" t="s">
        <v>4965</v>
      </c>
      <c r="C1590" t="s">
        <v>4966</v>
      </c>
      <c r="D1590" t="s">
        <v>7</v>
      </c>
      <c r="K1590" t="str">
        <f>T("172.515")</f>
        <v>172.515</v>
      </c>
      <c r="AG1590" t="str">
        <f>T("2551")</f>
        <v>2551</v>
      </c>
      <c r="AH1590" t="str">
        <f>T("3")</f>
        <v>3</v>
      </c>
      <c r="AK1590" t="str">
        <f>T("666")</f>
        <v>666</v>
      </c>
    </row>
    <row r="1591" spans="1:37" x14ac:dyDescent="0.3">
      <c r="A1591" t="s">
        <v>4967</v>
      </c>
      <c r="B1591" t="s">
        <v>4968</v>
      </c>
      <c r="C1591" t="s">
        <v>4969</v>
      </c>
      <c r="D1591" t="s">
        <v>7</v>
      </c>
      <c r="AG1591" t="str">
        <f>T("4130")</f>
        <v>4130</v>
      </c>
      <c r="AH1591" t="str">
        <f>T("22")</f>
        <v>22</v>
      </c>
      <c r="AK1591" t="str">
        <f>T("1907")</f>
        <v>1907</v>
      </c>
    </row>
    <row r="1592" spans="1:37" x14ac:dyDescent="0.3">
      <c r="A1592" t="s">
        <v>4970</v>
      </c>
      <c r="B1592" t="s">
        <v>4971</v>
      </c>
      <c r="C1592" t="s">
        <v>4972</v>
      </c>
      <c r="D1592" t="s">
        <v>7</v>
      </c>
      <c r="AG1592" t="str">
        <f>T("3350")</f>
        <v>3350</v>
      </c>
      <c r="AH1592" t="s">
        <v>1308</v>
      </c>
      <c r="AK1592" t="str">
        <f>T("244")</f>
        <v>244</v>
      </c>
    </row>
    <row r="1593" spans="1:37" x14ac:dyDescent="0.3">
      <c r="A1593" t="s">
        <v>4973</v>
      </c>
      <c r="B1593" t="s">
        <v>4974</v>
      </c>
      <c r="C1593" t="s">
        <v>4975</v>
      </c>
      <c r="D1593" t="s">
        <v>7</v>
      </c>
      <c r="K1593" t="str">
        <f>T("172.515")</f>
        <v>172.515</v>
      </c>
      <c r="AG1593" t="str">
        <f>T("2552")</f>
        <v>2552</v>
      </c>
      <c r="AH1593" t="str">
        <f>T("3")</f>
        <v>3</v>
      </c>
      <c r="AK1593" t="str">
        <f>T("121")</f>
        <v>121</v>
      </c>
    </row>
    <row r="1594" spans="1:37" x14ac:dyDescent="0.3">
      <c r="A1594" t="s">
        <v>4976</v>
      </c>
      <c r="B1594" t="s">
        <v>4977</v>
      </c>
      <c r="C1594" t="s">
        <v>4978</v>
      </c>
      <c r="D1594" t="s">
        <v>7</v>
      </c>
      <c r="AG1594" t="str">
        <f>T("3401")</f>
        <v>3401</v>
      </c>
      <c r="AH1594" t="str">
        <f>T("7")</f>
        <v>7</v>
      </c>
      <c r="AK1594" t="str">
        <f>T("1492")</f>
        <v>1492</v>
      </c>
    </row>
    <row r="1595" spans="1:37" x14ac:dyDescent="0.3">
      <c r="A1595" t="s">
        <v>4979</v>
      </c>
      <c r="B1595" t="s">
        <v>4980</v>
      </c>
      <c r="C1595" t="s">
        <v>4981</v>
      </c>
      <c r="D1595" t="s">
        <v>7</v>
      </c>
      <c r="AG1595" t="str">
        <f>T("4341")</f>
        <v>4341</v>
      </c>
      <c r="AH1595" t="str">
        <f>T("23")</f>
        <v>23</v>
      </c>
      <c r="AK1595" t="str">
        <f>T("1875")</f>
        <v>1875</v>
      </c>
    </row>
    <row r="1596" spans="1:37" x14ac:dyDescent="0.3">
      <c r="A1596" t="s">
        <v>4982</v>
      </c>
      <c r="B1596" t="s">
        <v>4983</v>
      </c>
      <c r="C1596" t="s">
        <v>4984</v>
      </c>
      <c r="D1596" t="s">
        <v>7</v>
      </c>
      <c r="K1596" t="str">
        <f>T("172.515")</f>
        <v>172.515</v>
      </c>
      <c r="AG1596" t="str">
        <f>T("2550")</f>
        <v>2550</v>
      </c>
      <c r="AH1596" t="str">
        <f>T("3")</f>
        <v>3</v>
      </c>
      <c r="AK1596" t="str">
        <f>T("190")</f>
        <v>190</v>
      </c>
    </row>
    <row r="1597" spans="1:37" x14ac:dyDescent="0.3">
      <c r="A1597" t="s">
        <v>4985</v>
      </c>
      <c r="B1597" t="s">
        <v>4986</v>
      </c>
      <c r="C1597" t="s">
        <v>4987</v>
      </c>
      <c r="D1597" t="s">
        <v>7</v>
      </c>
      <c r="K1597" t="str">
        <f>T("172.515")</f>
        <v>172.515</v>
      </c>
      <c r="AG1597" t="str">
        <f>T("2553")</f>
        <v>2553</v>
      </c>
      <c r="AH1597" t="str">
        <f>T("3")</f>
        <v>3</v>
      </c>
      <c r="AK1597" t="str">
        <f>T("176")</f>
        <v>176</v>
      </c>
    </row>
    <row r="1598" spans="1:37" x14ac:dyDescent="0.3">
      <c r="A1598" t="s">
        <v>4988</v>
      </c>
      <c r="B1598" t="s">
        <v>4989</v>
      </c>
      <c r="C1598" t="s">
        <v>4990</v>
      </c>
      <c r="D1598" t="s">
        <v>773</v>
      </c>
      <c r="K1598" t="str">
        <f>T("172.145")</f>
        <v>172.145</v>
      </c>
    </row>
    <row r="1599" spans="1:37" x14ac:dyDescent="0.3">
      <c r="A1599" t="s">
        <v>4991</v>
      </c>
      <c r="B1599" t="s">
        <v>4992</v>
      </c>
      <c r="C1599" t="s">
        <v>4993</v>
      </c>
      <c r="D1599" t="s">
        <v>3104</v>
      </c>
    </row>
    <row r="1600" spans="1:37" x14ac:dyDescent="0.3">
      <c r="A1600" t="s">
        <v>4994</v>
      </c>
      <c r="B1600" t="s">
        <v>4995</v>
      </c>
      <c r="C1600" t="s">
        <v>4996</v>
      </c>
      <c r="D1600" t="s">
        <v>7</v>
      </c>
      <c r="AG1600" t="str">
        <f>T("4673")</f>
        <v>4673</v>
      </c>
      <c r="AH1600" t="str">
        <f>T("25")</f>
        <v>25</v>
      </c>
    </row>
    <row r="1601" spans="1:37" x14ac:dyDescent="0.3">
      <c r="A1601" t="s">
        <v>4997</v>
      </c>
      <c r="B1601" t="s">
        <v>4998</v>
      </c>
      <c r="C1601" t="s">
        <v>4999</v>
      </c>
      <c r="D1601" t="s">
        <v>7</v>
      </c>
      <c r="K1601" t="str">
        <f>T("172.515")</f>
        <v>172.515</v>
      </c>
      <c r="AG1601" t="str">
        <f>T("2555")</f>
        <v>2555</v>
      </c>
      <c r="AH1601" t="str">
        <f>T("3")</f>
        <v>3</v>
      </c>
      <c r="AK1601" t="str">
        <f>T("240")</f>
        <v>240</v>
      </c>
    </row>
    <row r="1602" spans="1:37" x14ac:dyDescent="0.3">
      <c r="A1602" t="s">
        <v>5000</v>
      </c>
      <c r="B1602" t="s">
        <v>5001</v>
      </c>
      <c r="C1602" t="s">
        <v>5002</v>
      </c>
      <c r="D1602" t="s">
        <v>7</v>
      </c>
      <c r="AG1602" t="str">
        <f>T("4483")</f>
        <v>4483</v>
      </c>
      <c r="AH1602" t="str">
        <f>T("24")</f>
        <v>24</v>
      </c>
      <c r="AK1602" t="str">
        <f>T("1950")</f>
        <v>1950</v>
      </c>
    </row>
    <row r="1603" spans="1:37" x14ac:dyDescent="0.3">
      <c r="A1603" t="s">
        <v>5003</v>
      </c>
      <c r="B1603" t="s">
        <v>5004</v>
      </c>
      <c r="C1603" t="s">
        <v>5005</v>
      </c>
      <c r="D1603" t="s">
        <v>7</v>
      </c>
      <c r="AG1603" t="str">
        <f>T("3429")</f>
        <v>3429</v>
      </c>
      <c r="AH1603" t="str">
        <f>T("8")</f>
        <v>8</v>
      </c>
      <c r="AK1603" t="str">
        <f>T("1175")</f>
        <v>1175</v>
      </c>
    </row>
    <row r="1604" spans="1:37" x14ac:dyDescent="0.3">
      <c r="A1604" t="s">
        <v>5006</v>
      </c>
      <c r="B1604" t="s">
        <v>5007</v>
      </c>
      <c r="C1604" t="s">
        <v>5008</v>
      </c>
      <c r="D1604" t="s">
        <v>7</v>
      </c>
      <c r="AG1604" t="str">
        <f>T("3922")</f>
        <v>3922</v>
      </c>
      <c r="AH1604" t="str">
        <f>T("19")</f>
        <v>19</v>
      </c>
      <c r="AI1604" t="str">
        <f>T("20")</f>
        <v>20</v>
      </c>
      <c r="AK1604" t="str">
        <f>T("1174")</f>
        <v>1174</v>
      </c>
    </row>
    <row r="1605" spans="1:37" x14ac:dyDescent="0.3">
      <c r="A1605" t="s">
        <v>5009</v>
      </c>
      <c r="B1605" t="s">
        <v>5010</v>
      </c>
      <c r="C1605" t="s">
        <v>5011</v>
      </c>
      <c r="D1605" t="s">
        <v>7</v>
      </c>
      <c r="AG1605" t="str">
        <f>T("4132")</f>
        <v>4132</v>
      </c>
      <c r="AH1605" t="str">
        <f>T("22")</f>
        <v>22</v>
      </c>
      <c r="AK1605" t="str">
        <f>T("1780")</f>
        <v>1780</v>
      </c>
    </row>
    <row r="1606" spans="1:37" x14ac:dyDescent="0.3">
      <c r="A1606" t="s">
        <v>5012</v>
      </c>
      <c r="B1606" t="s">
        <v>5013</v>
      </c>
      <c r="C1606" t="s">
        <v>5014</v>
      </c>
      <c r="D1606" t="s">
        <v>7</v>
      </c>
      <c r="AG1606" t="str">
        <f>T("4133")</f>
        <v>4133</v>
      </c>
      <c r="AH1606" t="str">
        <f>T("22")</f>
        <v>22</v>
      </c>
      <c r="AK1606" t="str">
        <f>T("1783")</f>
        <v>1783</v>
      </c>
    </row>
    <row r="1607" spans="1:37" x14ac:dyDescent="0.3">
      <c r="A1607" t="s">
        <v>5015</v>
      </c>
      <c r="B1607" t="s">
        <v>5016</v>
      </c>
      <c r="C1607" t="s">
        <v>5017</v>
      </c>
      <c r="D1607" t="s">
        <v>7</v>
      </c>
      <c r="AG1607" t="str">
        <f>T("4134")</f>
        <v>4134</v>
      </c>
      <c r="AH1607" t="str">
        <f>T("22")</f>
        <v>22</v>
      </c>
      <c r="AK1607" t="str">
        <f>T("1782")</f>
        <v>1782</v>
      </c>
    </row>
    <row r="1608" spans="1:37" x14ac:dyDescent="0.3">
      <c r="A1608" t="s">
        <v>5018</v>
      </c>
      <c r="B1608" t="s">
        <v>5019</v>
      </c>
      <c r="C1608" t="s">
        <v>5020</v>
      </c>
      <c r="D1608" t="s">
        <v>7</v>
      </c>
      <c r="AG1608" t="str">
        <f>T("4131")</f>
        <v>4131</v>
      </c>
      <c r="AH1608" t="str">
        <f>T("22")</f>
        <v>22</v>
      </c>
      <c r="AK1608" t="str">
        <f>T("1781")</f>
        <v>1781</v>
      </c>
    </row>
    <row r="1609" spans="1:37" x14ac:dyDescent="0.3">
      <c r="A1609" t="s">
        <v>5021</v>
      </c>
      <c r="B1609" t="s">
        <v>5022</v>
      </c>
      <c r="C1609" t="s">
        <v>5023</v>
      </c>
      <c r="D1609" t="s">
        <v>7</v>
      </c>
      <c r="AG1609" t="str">
        <f>T("3167")</f>
        <v>3167</v>
      </c>
      <c r="AH1609" t="str">
        <f>T("4")</f>
        <v>4</v>
      </c>
      <c r="AK1609" t="str">
        <f>T("224")</f>
        <v>224</v>
      </c>
    </row>
    <row r="1610" spans="1:37" x14ac:dyDescent="0.3">
      <c r="A1610" t="s">
        <v>5024</v>
      </c>
      <c r="B1610" t="s">
        <v>5025</v>
      </c>
      <c r="C1610" t="s">
        <v>5026</v>
      </c>
      <c r="D1610" t="s">
        <v>7</v>
      </c>
      <c r="K1610" t="str">
        <f>T("172.515")</f>
        <v>172.515</v>
      </c>
      <c r="AG1610" t="str">
        <f>T("2556")</f>
        <v>2556</v>
      </c>
      <c r="AH1610" t="str">
        <f>T("3")</f>
        <v>3</v>
      </c>
      <c r="AI1610" t="str">
        <f>T("25")</f>
        <v>25</v>
      </c>
      <c r="AK1610" t="str">
        <f>T("223")</f>
        <v>223</v>
      </c>
    </row>
    <row r="1611" spans="1:37" ht="100.8" x14ac:dyDescent="0.3">
      <c r="A1611" t="s">
        <v>5027</v>
      </c>
      <c r="B1611" t="s">
        <v>5028</v>
      </c>
      <c r="C1611" s="1" t="s">
        <v>5029</v>
      </c>
      <c r="D1611" t="s">
        <v>7</v>
      </c>
      <c r="K1611" t="str">
        <f>T("172.515")</f>
        <v>172.515</v>
      </c>
      <c r="AG1611" t="str">
        <f>T("2557")</f>
        <v>2557</v>
      </c>
      <c r="AH1611" t="str">
        <f>T("3")</f>
        <v>3</v>
      </c>
      <c r="AI1611" t="str">
        <f>T("25")</f>
        <v>25</v>
      </c>
      <c r="AK1611" t="str">
        <f>T("92")</f>
        <v>92</v>
      </c>
    </row>
    <row r="1612" spans="1:37" x14ac:dyDescent="0.3">
      <c r="A1612" t="s">
        <v>5030</v>
      </c>
      <c r="B1612" t="s">
        <v>5031</v>
      </c>
      <c r="C1612" t="s">
        <v>5032</v>
      </c>
      <c r="D1612" t="s">
        <v>7</v>
      </c>
      <c r="AG1612" t="str">
        <f>T("4384")</f>
        <v>4384</v>
      </c>
      <c r="AH1612" t="str">
        <f>T("23")</f>
        <v>23</v>
      </c>
      <c r="AK1612" t="str">
        <f>T("1737")</f>
        <v>1737</v>
      </c>
    </row>
    <row r="1613" spans="1:37" x14ac:dyDescent="0.3">
      <c r="A1613" t="s">
        <v>5033</v>
      </c>
      <c r="B1613" t="s">
        <v>5034</v>
      </c>
      <c r="C1613" t="s">
        <v>5035</v>
      </c>
      <c r="D1613" t="s">
        <v>7</v>
      </c>
      <c r="AG1613" t="str">
        <f>T("4370")</f>
        <v>4370</v>
      </c>
      <c r="AH1613" t="str">
        <f>T("23")</f>
        <v>23</v>
      </c>
      <c r="AK1613" t="str">
        <f>T("1738")</f>
        <v>1738</v>
      </c>
    </row>
    <row r="1614" spans="1:37" x14ac:dyDescent="0.3">
      <c r="A1614" t="s">
        <v>5036</v>
      </c>
      <c r="B1614" t="s">
        <v>5037</v>
      </c>
      <c r="C1614" t="s">
        <v>5038</v>
      </c>
      <c r="D1614" t="s">
        <v>7</v>
      </c>
      <c r="AG1614" t="str">
        <f>T("4369")</f>
        <v>4369</v>
      </c>
      <c r="AH1614" t="str">
        <f>T("23")</f>
        <v>23</v>
      </c>
      <c r="AK1614" t="str">
        <f>T("1735")</f>
        <v>1735</v>
      </c>
    </row>
    <row r="1615" spans="1:37" x14ac:dyDescent="0.3">
      <c r="A1615" t="s">
        <v>5039</v>
      </c>
      <c r="B1615" t="s">
        <v>5040</v>
      </c>
      <c r="C1615" t="s">
        <v>5041</v>
      </c>
      <c r="D1615" t="s">
        <v>7</v>
      </c>
      <c r="AG1615" t="str">
        <f>T("4377")</f>
        <v>4377</v>
      </c>
      <c r="AH1615" t="str">
        <f>T("23")</f>
        <v>23</v>
      </c>
      <c r="AK1615" t="str">
        <f>T("1736")</f>
        <v>1736</v>
      </c>
    </row>
    <row r="1616" spans="1:37" x14ac:dyDescent="0.3">
      <c r="A1616" t="s">
        <v>5042</v>
      </c>
      <c r="B1616" t="s">
        <v>5043</v>
      </c>
      <c r="C1616" t="s">
        <v>5044</v>
      </c>
      <c r="D1616" t="s">
        <v>846</v>
      </c>
      <c r="E1616" t="str">
        <f>T("73.295")</f>
        <v>73.295</v>
      </c>
      <c r="F1616" t="str">
        <f>T("73.30")</f>
        <v>73.30</v>
      </c>
      <c r="G1616" t="str">
        <f>T("73.300")</f>
        <v>73.300</v>
      </c>
      <c r="H1616" t="str">
        <f>T("73.315")</f>
        <v>73.315</v>
      </c>
      <c r="I1616" t="str">
        <f>T("73.345")</f>
        <v>73.345</v>
      </c>
      <c r="J1616" t="str">
        <f>T("73.615")</f>
        <v>73.615</v>
      </c>
      <c r="K1616" t="str">
        <f>T("172.340")</f>
        <v>172.340</v>
      </c>
      <c r="L1616" t="str">
        <f>T("172.560")</f>
        <v>172.560</v>
      </c>
      <c r="M1616" t="str">
        <f>T("173.270")</f>
        <v>173.270</v>
      </c>
      <c r="N1616" t="str">
        <f>T("175.105")</f>
        <v>175.105</v>
      </c>
      <c r="O1616" t="str">
        <f>T("175.320")</f>
        <v>175.320</v>
      </c>
      <c r="P1616" t="str">
        <f>T("176.200")</f>
        <v>176.200</v>
      </c>
      <c r="Q1616" t="str">
        <f>T("177.1200")</f>
        <v>177.1200</v>
      </c>
    </row>
    <row r="1617" spans="1:37" x14ac:dyDescent="0.3">
      <c r="A1617" t="s">
        <v>5045</v>
      </c>
      <c r="B1617" t="s">
        <v>5046</v>
      </c>
      <c r="C1617" t="s">
        <v>5047</v>
      </c>
      <c r="D1617" t="s">
        <v>7</v>
      </c>
      <c r="K1617" t="str">
        <f>T("172.515")</f>
        <v>172.515</v>
      </c>
      <c r="AG1617" t="str">
        <f>T("2558")</f>
        <v>2558</v>
      </c>
      <c r="AH1617" t="str">
        <f>T("3")</f>
        <v>3</v>
      </c>
      <c r="AI1617" t="str">
        <f>T("25")</f>
        <v>25</v>
      </c>
      <c r="AK1617" t="str">
        <f>T("412")</f>
        <v>412</v>
      </c>
    </row>
    <row r="1618" spans="1:37" x14ac:dyDescent="0.3">
      <c r="A1618" t="s">
        <v>5048</v>
      </c>
      <c r="B1618" t="s">
        <v>5049</v>
      </c>
      <c r="C1618" t="s">
        <v>5050</v>
      </c>
      <c r="D1618" t="s">
        <v>7</v>
      </c>
      <c r="AG1618" t="str">
        <f>T("3168")</f>
        <v>3168</v>
      </c>
      <c r="AH1618" t="str">
        <f>T("4")</f>
        <v>4</v>
      </c>
      <c r="AK1618" t="str">
        <f>T("413")</f>
        <v>413</v>
      </c>
    </row>
    <row r="1619" spans="1:37" x14ac:dyDescent="0.3">
      <c r="A1619" t="s">
        <v>5051</v>
      </c>
      <c r="B1619" t="s">
        <v>5052</v>
      </c>
      <c r="C1619" t="s">
        <v>5053</v>
      </c>
      <c r="D1619" t="s">
        <v>2285</v>
      </c>
      <c r="AG1619" t="str">
        <f>T("3495")</f>
        <v>3495</v>
      </c>
      <c r="AH1619" t="str">
        <f>T("10")</f>
        <v>10</v>
      </c>
      <c r="AK1619" t="str">
        <f>T("540")</f>
        <v>540</v>
      </c>
    </row>
    <row r="1620" spans="1:37" x14ac:dyDescent="0.3">
      <c r="A1620" t="s">
        <v>5054</v>
      </c>
      <c r="B1620" t="s">
        <v>5055</v>
      </c>
      <c r="C1620" t="s">
        <v>5056</v>
      </c>
      <c r="D1620" t="s">
        <v>7</v>
      </c>
      <c r="AG1620" t="str">
        <f>T("3842")</f>
        <v>3842</v>
      </c>
      <c r="AH1620" t="str">
        <f>T("18")</f>
        <v>18</v>
      </c>
      <c r="AK1620" t="str">
        <f>T("518")</f>
        <v>518</v>
      </c>
    </row>
    <row r="1621" spans="1:37" x14ac:dyDescent="0.3">
      <c r="A1621" t="s">
        <v>5057</v>
      </c>
      <c r="B1621" t="s">
        <v>5058</v>
      </c>
      <c r="C1621" t="s">
        <v>5059</v>
      </c>
      <c r="D1621" t="s">
        <v>7</v>
      </c>
      <c r="K1621" t="str">
        <f>T("172.515")</f>
        <v>172.515</v>
      </c>
      <c r="L1621" t="str">
        <f>T("173.315")</f>
        <v>173.315</v>
      </c>
      <c r="AG1621" t="str">
        <f>T("2559")</f>
        <v>2559</v>
      </c>
      <c r="AH1621" t="str">
        <f>T("3")</f>
        <v>3</v>
      </c>
      <c r="AI1621" t="str">
        <f>T("25")</f>
        <v>25</v>
      </c>
      <c r="AK1621" t="str">
        <f>T("93")</f>
        <v>93</v>
      </c>
    </row>
    <row r="1622" spans="1:37" x14ac:dyDescent="0.3">
      <c r="A1622" t="s">
        <v>5060</v>
      </c>
      <c r="B1622" t="s">
        <v>5061</v>
      </c>
      <c r="C1622" t="s">
        <v>5062</v>
      </c>
      <c r="D1622" t="s">
        <v>7</v>
      </c>
      <c r="AG1622" t="str">
        <f>T("3351")</f>
        <v>3351</v>
      </c>
      <c r="AH1622" t="str">
        <f>T("6")</f>
        <v>6</v>
      </c>
      <c r="AK1622" t="str">
        <f>T("282")</f>
        <v>282</v>
      </c>
    </row>
    <row r="1623" spans="1:37" x14ac:dyDescent="0.3">
      <c r="A1623" t="s">
        <v>5063</v>
      </c>
      <c r="B1623" t="s">
        <v>5064</v>
      </c>
      <c r="C1623" t="s">
        <v>5065</v>
      </c>
      <c r="D1623" t="s">
        <v>7</v>
      </c>
      <c r="AG1623" t="str">
        <f>T("3290")</f>
        <v>3290</v>
      </c>
      <c r="AH1623" t="str">
        <f>T("5")</f>
        <v>5</v>
      </c>
      <c r="AK1623" t="str">
        <f>T("281")</f>
        <v>281</v>
      </c>
    </row>
    <row r="1624" spans="1:37" x14ac:dyDescent="0.3">
      <c r="A1624" t="s">
        <v>5066</v>
      </c>
      <c r="B1624" t="s">
        <v>5067</v>
      </c>
      <c r="C1624" t="s">
        <v>5068</v>
      </c>
      <c r="D1624" t="s">
        <v>7</v>
      </c>
      <c r="K1624" t="str">
        <f>T("172.515")</f>
        <v>172.515</v>
      </c>
      <c r="AG1624" t="str">
        <f>T("2560")</f>
        <v>2560</v>
      </c>
      <c r="AH1624" t="str">
        <f>T("3")</f>
        <v>3</v>
      </c>
      <c r="AI1624" t="str">
        <f>T("25")</f>
        <v>25</v>
      </c>
      <c r="AK1624" t="str">
        <f>T("1353")</f>
        <v>1353</v>
      </c>
    </row>
    <row r="1625" spans="1:37" x14ac:dyDescent="0.3">
      <c r="A1625" t="s">
        <v>5069</v>
      </c>
      <c r="B1625" t="s">
        <v>5070</v>
      </c>
      <c r="C1625" t="s">
        <v>5071</v>
      </c>
      <c r="D1625" t="s">
        <v>7</v>
      </c>
      <c r="AG1625" t="str">
        <f>T("3923")</f>
        <v>3923</v>
      </c>
      <c r="AH1625" t="str">
        <f>T("19")</f>
        <v>19</v>
      </c>
      <c r="AK1625" t="str">
        <f>T("1271")</f>
        <v>1271</v>
      </c>
    </row>
    <row r="1626" spans="1:37" x14ac:dyDescent="0.3">
      <c r="A1626" t="s">
        <v>5072</v>
      </c>
      <c r="B1626" t="s">
        <v>5073</v>
      </c>
      <c r="C1626" t="s">
        <v>5074</v>
      </c>
      <c r="D1626" t="s">
        <v>7</v>
      </c>
      <c r="AG1626" t="str">
        <f>T("2561")</f>
        <v>2561</v>
      </c>
      <c r="AH1626" t="str">
        <f>T("3")</f>
        <v>3</v>
      </c>
      <c r="AI1626" t="str">
        <f>T("25")</f>
        <v>25</v>
      </c>
      <c r="AK1626" t="str">
        <f>T("316")</f>
        <v>316</v>
      </c>
    </row>
    <row r="1627" spans="1:37" x14ac:dyDescent="0.3">
      <c r="A1627" t="s">
        <v>5075</v>
      </c>
      <c r="B1627" t="s">
        <v>5076</v>
      </c>
      <c r="C1627" t="s">
        <v>5077</v>
      </c>
      <c r="D1627" t="s">
        <v>7</v>
      </c>
    </row>
    <row r="1628" spans="1:37" x14ac:dyDescent="0.3">
      <c r="A1628" t="s">
        <v>5078</v>
      </c>
      <c r="B1628" t="s">
        <v>5079</v>
      </c>
      <c r="C1628" t="s">
        <v>5080</v>
      </c>
      <c r="D1628" t="s">
        <v>7</v>
      </c>
      <c r="AG1628" t="str">
        <f>T("3496")</f>
        <v>3496</v>
      </c>
      <c r="AH1628" t="str">
        <f>T("10")</f>
        <v>10</v>
      </c>
      <c r="AK1628" t="str">
        <f>T("319")</f>
        <v>319</v>
      </c>
    </row>
    <row r="1629" spans="1:37" x14ac:dyDescent="0.3">
      <c r="A1629" t="s">
        <v>5081</v>
      </c>
      <c r="B1629" t="s">
        <v>5082</v>
      </c>
      <c r="C1629" t="s">
        <v>5083</v>
      </c>
      <c r="D1629" t="s">
        <v>7</v>
      </c>
      <c r="AG1629" t="str">
        <f>T("4046")</f>
        <v>4046</v>
      </c>
      <c r="AH1629" t="str">
        <f>T("21")</f>
        <v>21</v>
      </c>
      <c r="AK1629" t="str">
        <f>T("1622")</f>
        <v>1622</v>
      </c>
    </row>
    <row r="1630" spans="1:37" x14ac:dyDescent="0.3">
      <c r="A1630" t="s">
        <v>5084</v>
      </c>
      <c r="B1630" t="s">
        <v>5085</v>
      </c>
      <c r="C1630" t="s">
        <v>5086</v>
      </c>
      <c r="D1630" t="s">
        <v>7</v>
      </c>
      <c r="AG1630" t="str">
        <f>T("4047")</f>
        <v>4047</v>
      </c>
      <c r="AH1630" t="str">
        <f>T("21")</f>
        <v>21</v>
      </c>
      <c r="AK1630" t="str">
        <f>T("1383")</f>
        <v>1383</v>
      </c>
    </row>
    <row r="1631" spans="1:37" x14ac:dyDescent="0.3">
      <c r="A1631" t="s">
        <v>5087</v>
      </c>
      <c r="B1631" t="s">
        <v>5088</v>
      </c>
      <c r="C1631" t="s">
        <v>5089</v>
      </c>
      <c r="D1631" t="s">
        <v>7</v>
      </c>
      <c r="AG1631" t="str">
        <f>T("4273")</f>
        <v>4273</v>
      </c>
      <c r="AH1631" t="str">
        <f>T("23")</f>
        <v>23</v>
      </c>
      <c r="AK1631" t="str">
        <f>T("1800")</f>
        <v>1800</v>
      </c>
    </row>
    <row r="1632" spans="1:37" x14ac:dyDescent="0.3">
      <c r="A1632" t="s">
        <v>5090</v>
      </c>
      <c r="B1632" t="s">
        <v>5091</v>
      </c>
      <c r="C1632" t="s">
        <v>5092</v>
      </c>
      <c r="D1632" t="s">
        <v>7</v>
      </c>
      <c r="AG1632" t="str">
        <f>T("3352")</f>
        <v>3352</v>
      </c>
      <c r="AH1632" t="str">
        <f>T("6")</f>
        <v>6</v>
      </c>
      <c r="AK1632" t="str">
        <f>T("1125")</f>
        <v>1125</v>
      </c>
    </row>
    <row r="1633" spans="1:37" x14ac:dyDescent="0.3">
      <c r="A1633" t="s">
        <v>5093</v>
      </c>
      <c r="B1633" t="s">
        <v>5094</v>
      </c>
      <c r="C1633" t="s">
        <v>5095</v>
      </c>
      <c r="D1633" t="s">
        <v>7</v>
      </c>
      <c r="AG1633" t="str">
        <f>T("3928")</f>
        <v>3928</v>
      </c>
      <c r="AH1633" t="str">
        <f>T("19")</f>
        <v>19</v>
      </c>
      <c r="AK1633" t="str">
        <f>T("1279")</f>
        <v>1279</v>
      </c>
    </row>
    <row r="1634" spans="1:37" x14ac:dyDescent="0.3">
      <c r="A1634" t="s">
        <v>5096</v>
      </c>
      <c r="B1634" t="s">
        <v>5097</v>
      </c>
      <c r="C1634" t="s">
        <v>5098</v>
      </c>
      <c r="D1634" t="s">
        <v>7</v>
      </c>
      <c r="AG1634" t="str">
        <f>T("3169")</f>
        <v>3169</v>
      </c>
      <c r="AH1634" t="str">
        <f>T("4")</f>
        <v>4</v>
      </c>
      <c r="AI1634" t="str">
        <f>T("25")</f>
        <v>25</v>
      </c>
      <c r="AK1634" t="str">
        <f>T("1361")</f>
        <v>1361</v>
      </c>
    </row>
    <row r="1635" spans="1:37" x14ac:dyDescent="0.3">
      <c r="A1635" t="s">
        <v>5099</v>
      </c>
      <c r="B1635" t="s">
        <v>5100</v>
      </c>
      <c r="C1635" t="s">
        <v>5101</v>
      </c>
      <c r="D1635" t="s">
        <v>7</v>
      </c>
      <c r="AG1635" t="str">
        <f>T("3170")</f>
        <v>3170</v>
      </c>
      <c r="AH1635" t="str">
        <f>T("4")</f>
        <v>4</v>
      </c>
      <c r="AI1635" t="str">
        <f>T("25")</f>
        <v>25</v>
      </c>
      <c r="AK1635" t="str">
        <f>T("317")</f>
        <v>317</v>
      </c>
    </row>
    <row r="1636" spans="1:37" x14ac:dyDescent="0.3">
      <c r="A1636" t="s">
        <v>5102</v>
      </c>
      <c r="B1636" t="s">
        <v>5103</v>
      </c>
      <c r="C1636" t="s">
        <v>5104</v>
      </c>
      <c r="D1636" t="s">
        <v>7</v>
      </c>
      <c r="AG1636" t="str">
        <f>T("3608")</f>
        <v>3608</v>
      </c>
      <c r="AH1636" t="str">
        <f>T("12")</f>
        <v>12</v>
      </c>
      <c r="AK1636" t="str">
        <f>T("1151")</f>
        <v>1151</v>
      </c>
    </row>
    <row r="1637" spans="1:37" x14ac:dyDescent="0.3">
      <c r="A1637" t="s">
        <v>5105</v>
      </c>
      <c r="B1637" t="s">
        <v>5106</v>
      </c>
      <c r="C1637" t="s">
        <v>5107</v>
      </c>
      <c r="D1637" t="s">
        <v>7</v>
      </c>
      <c r="K1637" t="str">
        <f>T("172.515")</f>
        <v>172.515</v>
      </c>
      <c r="AG1637" t="str">
        <f>T("2562")</f>
        <v>2562</v>
      </c>
      <c r="AH1637" t="str">
        <f>T("3")</f>
        <v>3</v>
      </c>
      <c r="AK1637" t="str">
        <f>T("1354")</f>
        <v>1354</v>
      </c>
    </row>
    <row r="1638" spans="1:37" x14ac:dyDescent="0.3">
      <c r="A1638" t="s">
        <v>5108</v>
      </c>
      <c r="B1638" t="s">
        <v>5109</v>
      </c>
      <c r="C1638" t="s">
        <v>5110</v>
      </c>
      <c r="D1638" t="s">
        <v>7</v>
      </c>
      <c r="AG1638" t="str">
        <f>T("3924")</f>
        <v>3924</v>
      </c>
      <c r="AH1638" t="str">
        <f>T("19")</f>
        <v>19</v>
      </c>
      <c r="AK1638" t="str">
        <f>T("1374")</f>
        <v>1374</v>
      </c>
    </row>
    <row r="1639" spans="1:37" x14ac:dyDescent="0.3">
      <c r="A1639" t="s">
        <v>5111</v>
      </c>
      <c r="B1639" t="s">
        <v>5112</v>
      </c>
      <c r="C1639" t="s">
        <v>5113</v>
      </c>
      <c r="D1639" t="s">
        <v>15</v>
      </c>
      <c r="AG1639" t="str">
        <f>T("3430")</f>
        <v>3430</v>
      </c>
      <c r="AH1639" t="str">
        <f>T("8")</f>
        <v>8</v>
      </c>
      <c r="AK1639" t="str">
        <f>T("318")</f>
        <v>318</v>
      </c>
    </row>
    <row r="1640" spans="1:37" x14ac:dyDescent="0.3">
      <c r="A1640" t="s">
        <v>5114</v>
      </c>
      <c r="B1640" t="s">
        <v>5115</v>
      </c>
      <c r="C1640" t="s">
        <v>5116</v>
      </c>
      <c r="D1640" t="s">
        <v>7</v>
      </c>
      <c r="AG1640" t="str">
        <f>T("4351")</f>
        <v>4351</v>
      </c>
      <c r="AH1640" t="str">
        <f>T("23")</f>
        <v>23</v>
      </c>
      <c r="AK1640" t="str">
        <f>T("1623")</f>
        <v>1623</v>
      </c>
    </row>
    <row r="1641" spans="1:37" x14ac:dyDescent="0.3">
      <c r="A1641" t="s">
        <v>5117</v>
      </c>
      <c r="B1641" t="s">
        <v>5118</v>
      </c>
      <c r="C1641" t="s">
        <v>5119</v>
      </c>
      <c r="D1641" t="s">
        <v>7</v>
      </c>
      <c r="AG1641" t="str">
        <f>T("3925")</f>
        <v>3925</v>
      </c>
      <c r="AH1641" t="str">
        <f>T("19")</f>
        <v>19</v>
      </c>
      <c r="AK1641" t="str">
        <f>T("1538")</f>
        <v>1538</v>
      </c>
    </row>
    <row r="1642" spans="1:37" x14ac:dyDescent="0.3">
      <c r="A1642" t="s">
        <v>5120</v>
      </c>
      <c r="B1642" t="s">
        <v>5121</v>
      </c>
      <c r="C1642" t="s">
        <v>5122</v>
      </c>
      <c r="D1642" t="s">
        <v>7</v>
      </c>
      <c r="AG1642" t="str">
        <f>T("3688")</f>
        <v>3688</v>
      </c>
      <c r="AH1642" t="str">
        <f>T("13")</f>
        <v>13</v>
      </c>
      <c r="AK1642" t="str">
        <f>T("858")</f>
        <v>858</v>
      </c>
    </row>
    <row r="1643" spans="1:37" x14ac:dyDescent="0.3">
      <c r="A1643" t="s">
        <v>5123</v>
      </c>
      <c r="B1643" t="s">
        <v>5124</v>
      </c>
      <c r="C1643" t="s">
        <v>5125</v>
      </c>
      <c r="D1643" t="s">
        <v>7</v>
      </c>
      <c r="AG1643" t="str">
        <f>T("3926")</f>
        <v>3926</v>
      </c>
      <c r="AH1643" t="str">
        <f>T("19")</f>
        <v>19</v>
      </c>
      <c r="AI1643" t="str">
        <f>T("20")</f>
        <v>20</v>
      </c>
      <c r="AK1643" t="str">
        <f>T("1375")</f>
        <v>1375</v>
      </c>
    </row>
    <row r="1644" spans="1:37" x14ac:dyDescent="0.3">
      <c r="A1644" t="s">
        <v>5126</v>
      </c>
      <c r="B1644" t="s">
        <v>5127</v>
      </c>
      <c r="C1644" t="s">
        <v>5128</v>
      </c>
      <c r="D1644" t="s">
        <v>7</v>
      </c>
      <c r="AG1644" t="str">
        <f>T("3982")</f>
        <v>3982</v>
      </c>
      <c r="AH1644" t="str">
        <f>T("20")</f>
        <v>20</v>
      </c>
      <c r="AK1644" t="str">
        <f>T("1276")</f>
        <v>1276</v>
      </c>
    </row>
    <row r="1645" spans="1:37" x14ac:dyDescent="0.3">
      <c r="A1645" t="s">
        <v>5129</v>
      </c>
      <c r="B1645" t="s">
        <v>5130</v>
      </c>
      <c r="C1645" t="s">
        <v>5131</v>
      </c>
      <c r="D1645" t="s">
        <v>7</v>
      </c>
      <c r="AG1645" t="str">
        <f>T("3927")</f>
        <v>3927</v>
      </c>
      <c r="AH1645" t="str">
        <f>T("19")</f>
        <v>19</v>
      </c>
      <c r="AK1645" t="str">
        <f>T("1376")</f>
        <v>1376</v>
      </c>
    </row>
    <row r="1646" spans="1:37" x14ac:dyDescent="0.3">
      <c r="A1646" t="s">
        <v>5132</v>
      </c>
      <c r="B1646" t="s">
        <v>5133</v>
      </c>
      <c r="C1646" t="s">
        <v>5134</v>
      </c>
      <c r="D1646" t="s">
        <v>7</v>
      </c>
      <c r="AG1646" t="str">
        <f>T("3983")</f>
        <v>3983</v>
      </c>
      <c r="AH1646" t="str">
        <f>T("20")</f>
        <v>20</v>
      </c>
      <c r="AK1646" t="str">
        <f>T("1381")</f>
        <v>1381</v>
      </c>
    </row>
    <row r="1647" spans="1:37" x14ac:dyDescent="0.3">
      <c r="A1647" t="s">
        <v>5135</v>
      </c>
      <c r="B1647" t="s">
        <v>5136</v>
      </c>
      <c r="C1647" t="s">
        <v>5137</v>
      </c>
      <c r="D1647" t="s">
        <v>7</v>
      </c>
      <c r="AG1647" t="str">
        <f>T("3929")</f>
        <v>3929</v>
      </c>
      <c r="AH1647" t="str">
        <f>T("19")</f>
        <v>19</v>
      </c>
      <c r="AI1647" t="str">
        <f>T("20")</f>
        <v>20</v>
      </c>
      <c r="AK1647" t="str">
        <f>T("1275")</f>
        <v>1275</v>
      </c>
    </row>
    <row r="1648" spans="1:37" x14ac:dyDescent="0.3">
      <c r="A1648" t="s">
        <v>5138</v>
      </c>
      <c r="B1648" t="s">
        <v>5139</v>
      </c>
      <c r="C1648" t="s">
        <v>5140</v>
      </c>
      <c r="D1648" t="s">
        <v>7</v>
      </c>
      <c r="AG1648" t="str">
        <f>T("4421")</f>
        <v>4421</v>
      </c>
      <c r="AH1648" t="str">
        <f>T("23")</f>
        <v>23</v>
      </c>
      <c r="AK1648" t="str">
        <f>T("1894")</f>
        <v>1894</v>
      </c>
    </row>
    <row r="1649" spans="1:37" x14ac:dyDescent="0.3">
      <c r="A1649" t="s">
        <v>5141</v>
      </c>
      <c r="B1649" t="s">
        <v>5142</v>
      </c>
      <c r="C1649" t="s">
        <v>5143</v>
      </c>
      <c r="D1649" t="s">
        <v>7</v>
      </c>
      <c r="AG1649" t="str">
        <f>T("3930")</f>
        <v>3930</v>
      </c>
      <c r="AH1649" t="str">
        <f>T("19")</f>
        <v>19</v>
      </c>
      <c r="AK1649" t="str">
        <f>T("1377")</f>
        <v>1377</v>
      </c>
    </row>
    <row r="1650" spans="1:37" x14ac:dyDescent="0.3">
      <c r="A1650" t="s">
        <v>5144</v>
      </c>
      <c r="B1650" t="s">
        <v>5145</v>
      </c>
      <c r="C1650" t="s">
        <v>5146</v>
      </c>
      <c r="D1650" t="s">
        <v>7</v>
      </c>
      <c r="K1650" t="str">
        <f>T("172.515")</f>
        <v>172.515</v>
      </c>
      <c r="AG1650" t="str">
        <f>T("3498")</f>
        <v>3498</v>
      </c>
      <c r="AH1650" t="str">
        <f>T("10")</f>
        <v>10</v>
      </c>
      <c r="AI1650" t="str">
        <f>T("25")</f>
        <v>25</v>
      </c>
      <c r="AK1650" t="str">
        <f>T("202")</f>
        <v>202</v>
      </c>
    </row>
    <row r="1651" spans="1:37" x14ac:dyDescent="0.3">
      <c r="A1651" t="s">
        <v>5147</v>
      </c>
      <c r="B1651" t="s">
        <v>5148</v>
      </c>
      <c r="C1651" t="s">
        <v>5149</v>
      </c>
      <c r="D1651" t="s">
        <v>7</v>
      </c>
      <c r="AG1651" t="str">
        <f>T("3690")</f>
        <v>3690</v>
      </c>
      <c r="AH1651" t="str">
        <f>T("13")</f>
        <v>13</v>
      </c>
      <c r="AI1651" t="str">
        <f>T("25")</f>
        <v>25</v>
      </c>
      <c r="AK1651" t="str">
        <f>T("934")</f>
        <v>934</v>
      </c>
    </row>
    <row r="1652" spans="1:37" x14ac:dyDescent="0.3">
      <c r="A1652" t="s">
        <v>5150</v>
      </c>
      <c r="B1652" t="s">
        <v>5151</v>
      </c>
      <c r="C1652" t="s">
        <v>5152</v>
      </c>
      <c r="D1652" t="s">
        <v>7</v>
      </c>
      <c r="K1652" t="str">
        <f>T("172.515")</f>
        <v>172.515</v>
      </c>
      <c r="AG1652" t="str">
        <f>T("3497")</f>
        <v>3497</v>
      </c>
      <c r="AH1652" t="str">
        <f>T("10")</f>
        <v>10</v>
      </c>
      <c r="AK1652" t="str">
        <f>T("211")</f>
        <v>211</v>
      </c>
    </row>
    <row r="1653" spans="1:37" x14ac:dyDescent="0.3">
      <c r="A1653" t="s">
        <v>5153</v>
      </c>
      <c r="B1653" t="s">
        <v>5154</v>
      </c>
      <c r="C1653" t="s">
        <v>5155</v>
      </c>
      <c r="D1653" t="s">
        <v>7</v>
      </c>
      <c r="AG1653" t="str">
        <f>T("4135")</f>
        <v>4135</v>
      </c>
      <c r="AH1653" t="str">
        <f>T("22")</f>
        <v>22</v>
      </c>
      <c r="AK1653" t="str">
        <f>T("1796")</f>
        <v>1796</v>
      </c>
    </row>
    <row r="1654" spans="1:37" x14ac:dyDescent="0.3">
      <c r="A1654" t="s">
        <v>5156</v>
      </c>
      <c r="B1654" t="s">
        <v>5157</v>
      </c>
      <c r="C1654" t="s">
        <v>5158</v>
      </c>
      <c r="D1654" t="s">
        <v>7</v>
      </c>
      <c r="K1654" t="str">
        <f>T("172.515")</f>
        <v>172.515</v>
      </c>
      <c r="AG1654" t="str">
        <f>T("3633")</f>
        <v>3633</v>
      </c>
      <c r="AH1654" t="str">
        <f>T("12")</f>
        <v>12</v>
      </c>
      <c r="AK1654" t="str">
        <f>T("1016")</f>
        <v>1016</v>
      </c>
    </row>
    <row r="1655" spans="1:37" x14ac:dyDescent="0.3">
      <c r="A1655" t="s">
        <v>5159</v>
      </c>
      <c r="B1655" t="s">
        <v>5160</v>
      </c>
      <c r="C1655" t="s">
        <v>5161</v>
      </c>
      <c r="D1655" t="s">
        <v>7</v>
      </c>
      <c r="AG1655" t="str">
        <f>T("3778")</f>
        <v>3778</v>
      </c>
      <c r="AH1655" t="str">
        <f>T("16")</f>
        <v>16</v>
      </c>
      <c r="AK1655" t="str">
        <f>T("1382")</f>
        <v>1382</v>
      </c>
    </row>
    <row r="1656" spans="1:37" x14ac:dyDescent="0.3">
      <c r="A1656" t="s">
        <v>5162</v>
      </c>
      <c r="B1656" t="s">
        <v>5163</v>
      </c>
      <c r="C1656" t="s">
        <v>5164</v>
      </c>
      <c r="D1656" t="s">
        <v>7</v>
      </c>
      <c r="AG1656" t="str">
        <f>T("3932")</f>
        <v>3932</v>
      </c>
      <c r="AH1656" t="str">
        <f>T("19")</f>
        <v>19</v>
      </c>
      <c r="AK1656" t="str">
        <f>T("1378")</f>
        <v>1378</v>
      </c>
    </row>
    <row r="1657" spans="1:37" x14ac:dyDescent="0.3">
      <c r="A1657" t="s">
        <v>5165</v>
      </c>
      <c r="B1657" t="s">
        <v>5166</v>
      </c>
      <c r="C1657" t="s">
        <v>5167</v>
      </c>
      <c r="D1657" t="s">
        <v>7</v>
      </c>
      <c r="AG1657" t="str">
        <f>T("3933")</f>
        <v>3933</v>
      </c>
      <c r="AH1657" t="str">
        <f>T("19")</f>
        <v>19</v>
      </c>
      <c r="AK1657" t="str">
        <f>T("1274")</f>
        <v>1274</v>
      </c>
    </row>
    <row r="1658" spans="1:37" x14ac:dyDescent="0.3">
      <c r="A1658" t="s">
        <v>5168</v>
      </c>
      <c r="B1658" t="s">
        <v>5169</v>
      </c>
      <c r="C1658" t="s">
        <v>5170</v>
      </c>
      <c r="D1658" t="s">
        <v>7</v>
      </c>
      <c r="AG1658" t="str">
        <f>T("3934")</f>
        <v>3934</v>
      </c>
      <c r="AH1658" t="str">
        <f>T("19")</f>
        <v>19</v>
      </c>
      <c r="AK1658" t="str">
        <f>T("1846")</f>
        <v>1846</v>
      </c>
    </row>
    <row r="1659" spans="1:37" x14ac:dyDescent="0.3">
      <c r="A1659" t="s">
        <v>5171</v>
      </c>
      <c r="B1659" t="s">
        <v>5172</v>
      </c>
      <c r="C1659" t="s">
        <v>5173</v>
      </c>
      <c r="D1659" t="s">
        <v>7</v>
      </c>
      <c r="AG1659" t="str">
        <f>T("3935")</f>
        <v>3935</v>
      </c>
      <c r="AH1659" t="str">
        <f>T("19")</f>
        <v>19</v>
      </c>
      <c r="AK1659" t="str">
        <f>T("1379")</f>
        <v>1379</v>
      </c>
    </row>
    <row r="1660" spans="1:37" x14ac:dyDescent="0.3">
      <c r="A1660" t="s">
        <v>5174</v>
      </c>
      <c r="B1660" t="s">
        <v>5175</v>
      </c>
      <c r="C1660" t="s">
        <v>5176</v>
      </c>
      <c r="D1660" t="s">
        <v>7</v>
      </c>
      <c r="AG1660" t="str">
        <f>T("3936")</f>
        <v>3936</v>
      </c>
      <c r="AH1660" t="str">
        <f>T("19")</f>
        <v>19</v>
      </c>
      <c r="AI1660" t="str">
        <f>T("20")</f>
        <v>20</v>
      </c>
      <c r="AK1660" t="str">
        <f>T("1278")</f>
        <v>1278</v>
      </c>
    </row>
    <row r="1661" spans="1:37" x14ac:dyDescent="0.3">
      <c r="A1661" t="s">
        <v>5177</v>
      </c>
      <c r="B1661" t="s">
        <v>5178</v>
      </c>
      <c r="C1661" t="s">
        <v>5179</v>
      </c>
      <c r="D1661" t="s">
        <v>7</v>
      </c>
      <c r="K1661" t="str">
        <f>T("172.515")</f>
        <v>172.515</v>
      </c>
      <c r="AG1661" t="str">
        <f>T("2565")</f>
        <v>2565</v>
      </c>
      <c r="AH1661" t="str">
        <f>T("3")</f>
        <v>3</v>
      </c>
      <c r="AI1661" t="str">
        <f>T("25")</f>
        <v>25</v>
      </c>
      <c r="AK1661" t="str">
        <f>T("128")</f>
        <v>128</v>
      </c>
    </row>
    <row r="1662" spans="1:37" x14ac:dyDescent="0.3">
      <c r="A1662" t="s">
        <v>5180</v>
      </c>
      <c r="B1662" t="s">
        <v>5181</v>
      </c>
      <c r="C1662" t="s">
        <v>5182</v>
      </c>
      <c r="D1662" t="s">
        <v>7</v>
      </c>
      <c r="K1662" t="str">
        <f>T("172.515")</f>
        <v>172.515</v>
      </c>
      <c r="AG1662" t="str">
        <f>T("2566")</f>
        <v>2566</v>
      </c>
      <c r="AH1662" t="str">
        <f>T("25")</f>
        <v>25</v>
      </c>
      <c r="AI1662" t="str">
        <f>T("25")</f>
        <v>25</v>
      </c>
      <c r="AK1662" t="str">
        <f>T("1440")</f>
        <v>1440</v>
      </c>
    </row>
    <row r="1663" spans="1:37" x14ac:dyDescent="0.3">
      <c r="A1663" t="s">
        <v>5183</v>
      </c>
      <c r="B1663" t="s">
        <v>5184</v>
      </c>
      <c r="C1663" t="s">
        <v>5185</v>
      </c>
      <c r="D1663" t="s">
        <v>7</v>
      </c>
      <c r="K1663" t="str">
        <f>T("172.515")</f>
        <v>172.515</v>
      </c>
      <c r="L1663" t="str">
        <f>T("172.864")</f>
        <v>172.864</v>
      </c>
      <c r="AG1663" t="str">
        <f>T("2567")</f>
        <v>2567</v>
      </c>
      <c r="AH1663" t="str">
        <f>T("3")</f>
        <v>3</v>
      </c>
      <c r="AK1663" t="str">
        <f>T("91")</f>
        <v>91</v>
      </c>
    </row>
    <row r="1664" spans="1:37" x14ac:dyDescent="0.3">
      <c r="A1664" t="s">
        <v>5186</v>
      </c>
      <c r="B1664" t="s">
        <v>5187</v>
      </c>
      <c r="C1664" t="s">
        <v>5188</v>
      </c>
      <c r="D1664" t="s">
        <v>7</v>
      </c>
      <c r="AG1664" t="str">
        <f>T("4243")</f>
        <v>4243</v>
      </c>
      <c r="AH1664" t="str">
        <f>T("22")</f>
        <v>22</v>
      </c>
      <c r="AK1664" t="str">
        <f>T("1588")</f>
        <v>1588</v>
      </c>
    </row>
    <row r="1665" spans="1:37" x14ac:dyDescent="0.3">
      <c r="A1665" t="s">
        <v>5189</v>
      </c>
      <c r="B1665" t="s">
        <v>5190</v>
      </c>
      <c r="C1665" t="s">
        <v>5191</v>
      </c>
      <c r="D1665" t="s">
        <v>7</v>
      </c>
      <c r="AG1665" t="str">
        <f>T("3691")</f>
        <v>3691</v>
      </c>
      <c r="AH1665" t="str">
        <f>T("13")</f>
        <v>13</v>
      </c>
      <c r="AK1665" t="str">
        <f>T("854")</f>
        <v>854</v>
      </c>
    </row>
    <row r="1666" spans="1:37" x14ac:dyDescent="0.3">
      <c r="A1666" t="s">
        <v>5192</v>
      </c>
      <c r="B1666" t="s">
        <v>5193</v>
      </c>
      <c r="C1666" t="s">
        <v>5194</v>
      </c>
      <c r="D1666" t="s">
        <v>7</v>
      </c>
      <c r="AG1666" t="str">
        <f>T("3354")</f>
        <v>3354</v>
      </c>
      <c r="AH1666" t="str">
        <f>T("6")</f>
        <v>6</v>
      </c>
      <c r="AK1666" t="str">
        <f>T("1807")</f>
        <v>1807</v>
      </c>
    </row>
    <row r="1667" spans="1:37" x14ac:dyDescent="0.3">
      <c r="A1667" t="s">
        <v>5195</v>
      </c>
      <c r="B1667" t="s">
        <v>5196</v>
      </c>
      <c r="C1667" t="s">
        <v>5197</v>
      </c>
      <c r="D1667" t="s">
        <v>7</v>
      </c>
      <c r="K1667" t="str">
        <f>T("172.515")</f>
        <v>172.515</v>
      </c>
      <c r="AG1667" t="str">
        <f>T("2568")</f>
        <v>2568</v>
      </c>
      <c r="AH1667" t="str">
        <f>T("3")</f>
        <v>3</v>
      </c>
      <c r="AI1667" t="str">
        <f>T("25")</f>
        <v>25</v>
      </c>
      <c r="AK1667" t="str">
        <f>T("153")</f>
        <v>153</v>
      </c>
    </row>
    <row r="1668" spans="1:37" x14ac:dyDescent="0.3">
      <c r="A1668" t="s">
        <v>5198</v>
      </c>
      <c r="B1668" t="s">
        <v>5199</v>
      </c>
      <c r="C1668" t="s">
        <v>5200</v>
      </c>
      <c r="D1668" t="s">
        <v>7</v>
      </c>
      <c r="K1668" t="str">
        <f>T("172.515")</f>
        <v>172.515</v>
      </c>
      <c r="AG1668" t="str">
        <f>T("2569")</f>
        <v>2569</v>
      </c>
      <c r="AH1668" t="str">
        <f>T("3")</f>
        <v>3</v>
      </c>
      <c r="AI1668" t="str">
        <f>T("25")</f>
        <v>25</v>
      </c>
      <c r="AK1668" t="str">
        <f>T("686")</f>
        <v>686</v>
      </c>
    </row>
    <row r="1669" spans="1:37" x14ac:dyDescent="0.3">
      <c r="A1669" t="s">
        <v>5201</v>
      </c>
      <c r="B1669" t="s">
        <v>5202</v>
      </c>
      <c r="C1669" t="s">
        <v>5203</v>
      </c>
      <c r="D1669" t="s">
        <v>7</v>
      </c>
      <c r="AG1669" t="str">
        <f>T("4342")</f>
        <v>4342</v>
      </c>
      <c r="AH1669" t="str">
        <f>T("23")</f>
        <v>23</v>
      </c>
      <c r="AK1669" t="str">
        <f>T("1874")</f>
        <v>1874</v>
      </c>
    </row>
    <row r="1670" spans="1:37" x14ac:dyDescent="0.3">
      <c r="A1670" t="s">
        <v>5204</v>
      </c>
      <c r="B1670" t="s">
        <v>5205</v>
      </c>
      <c r="C1670" t="s">
        <v>5206</v>
      </c>
      <c r="D1670" t="s">
        <v>7</v>
      </c>
      <c r="AG1670" t="str">
        <f>T("4048")</f>
        <v>4048</v>
      </c>
      <c r="AH1670" t="str">
        <f>T("21")</f>
        <v>21</v>
      </c>
      <c r="AK1670" t="str">
        <f>T("1712")</f>
        <v>1712</v>
      </c>
    </row>
    <row r="1671" spans="1:37" x14ac:dyDescent="0.3">
      <c r="A1671" t="s">
        <v>5207</v>
      </c>
      <c r="B1671" t="s">
        <v>5208</v>
      </c>
      <c r="C1671" t="s">
        <v>5209</v>
      </c>
      <c r="D1671" t="s">
        <v>7</v>
      </c>
      <c r="K1671" t="str">
        <f>T("172.515")</f>
        <v>172.515</v>
      </c>
      <c r="AG1671" t="str">
        <f>T("2570")</f>
        <v>2570</v>
      </c>
      <c r="AH1671" t="str">
        <f>T("3")</f>
        <v>3</v>
      </c>
      <c r="AK1671" t="str">
        <f>T("120")</f>
        <v>120</v>
      </c>
    </row>
    <row r="1672" spans="1:37" x14ac:dyDescent="0.3">
      <c r="A1672" t="s">
        <v>5210</v>
      </c>
      <c r="B1672" t="s">
        <v>5211</v>
      </c>
      <c r="C1672" t="s">
        <v>5212</v>
      </c>
      <c r="D1672" t="s">
        <v>7</v>
      </c>
      <c r="AG1672" t="str">
        <f>T("2571")</f>
        <v>2571</v>
      </c>
      <c r="AH1672" t="str">
        <f>T("3")</f>
        <v>3</v>
      </c>
      <c r="AI1672" t="str">
        <f>T("25")</f>
        <v>25</v>
      </c>
      <c r="AK1672" t="str">
        <f>T("749")</f>
        <v>749</v>
      </c>
    </row>
    <row r="1673" spans="1:37" x14ac:dyDescent="0.3">
      <c r="A1673" t="s">
        <v>5213</v>
      </c>
      <c r="B1673" t="s">
        <v>5214</v>
      </c>
      <c r="C1673" t="s">
        <v>5215</v>
      </c>
      <c r="D1673" t="s">
        <v>7</v>
      </c>
      <c r="AG1673" t="str">
        <f>T("4337")</f>
        <v>4337</v>
      </c>
      <c r="AH1673" t="str">
        <f>T("23")</f>
        <v>23</v>
      </c>
      <c r="AK1673" t="str">
        <f>T("1872")</f>
        <v>1872</v>
      </c>
    </row>
    <row r="1674" spans="1:37" x14ac:dyDescent="0.3">
      <c r="A1674" t="s">
        <v>5216</v>
      </c>
      <c r="B1674" t="s">
        <v>5217</v>
      </c>
      <c r="C1674" t="s">
        <v>5218</v>
      </c>
      <c r="D1674" t="s">
        <v>7</v>
      </c>
      <c r="K1674" t="str">
        <f>T("172.515")</f>
        <v>172.515</v>
      </c>
      <c r="AG1674" t="str">
        <f>T("2572")</f>
        <v>2572</v>
      </c>
      <c r="AH1674" t="str">
        <f>T("3")</f>
        <v>3</v>
      </c>
      <c r="AI1674" t="str">
        <f>T("25")</f>
        <v>25</v>
      </c>
      <c r="AK1674" t="str">
        <f>T("164")</f>
        <v>164</v>
      </c>
    </row>
    <row r="1675" spans="1:37" x14ac:dyDescent="0.3">
      <c r="A1675" t="s">
        <v>5219</v>
      </c>
      <c r="B1675" t="s">
        <v>5220</v>
      </c>
      <c r="C1675" t="s">
        <v>5221</v>
      </c>
      <c r="D1675" t="s">
        <v>7</v>
      </c>
      <c r="AG1675" t="str">
        <f>T("3692")</f>
        <v>3692</v>
      </c>
      <c r="AH1675" t="str">
        <f>T("13")</f>
        <v>13</v>
      </c>
      <c r="AI1675" t="str">
        <f>T("25")</f>
        <v>25</v>
      </c>
      <c r="AK1675" t="str">
        <f>T("1810")</f>
        <v>1810</v>
      </c>
    </row>
    <row r="1676" spans="1:37" x14ac:dyDescent="0.3">
      <c r="A1676" t="s">
        <v>5222</v>
      </c>
      <c r="B1676" t="s">
        <v>5223</v>
      </c>
      <c r="C1676" t="s">
        <v>5224</v>
      </c>
      <c r="D1676" t="s">
        <v>15</v>
      </c>
      <c r="K1676" t="str">
        <f>T("172.515")</f>
        <v>172.515</v>
      </c>
      <c r="AG1676" t="str">
        <f>T("2573")</f>
        <v>2573</v>
      </c>
      <c r="AH1676" t="str">
        <f>T("3")</f>
        <v>3</v>
      </c>
      <c r="AK1676" t="str">
        <f>T("1106")</f>
        <v>1106</v>
      </c>
    </row>
    <row r="1677" spans="1:37" x14ac:dyDescent="0.3">
      <c r="A1677" t="s">
        <v>5225</v>
      </c>
      <c r="B1677" t="s">
        <v>5226</v>
      </c>
      <c r="C1677" t="s">
        <v>5227</v>
      </c>
      <c r="D1677" t="s">
        <v>7</v>
      </c>
      <c r="AG1677" t="str">
        <f>T("4616")</f>
        <v>4616</v>
      </c>
      <c r="AH1677" t="str">
        <f>T("24")</f>
        <v>24</v>
      </c>
    </row>
    <row r="1678" spans="1:37" x14ac:dyDescent="0.3">
      <c r="A1678" t="s">
        <v>5228</v>
      </c>
      <c r="B1678" t="s">
        <v>5229</v>
      </c>
      <c r="C1678" t="s">
        <v>5230</v>
      </c>
      <c r="D1678" t="s">
        <v>7</v>
      </c>
      <c r="AG1678" t="str">
        <f>T("3172")</f>
        <v>3172</v>
      </c>
      <c r="AH1678" t="str">
        <f>T("4")</f>
        <v>4</v>
      </c>
      <c r="AK1678" t="str">
        <f>T("189")</f>
        <v>189</v>
      </c>
    </row>
    <row r="1679" spans="1:37" x14ac:dyDescent="0.3">
      <c r="A1679" t="s">
        <v>5231</v>
      </c>
      <c r="B1679" t="s">
        <v>5232</v>
      </c>
      <c r="D1679" t="s">
        <v>7</v>
      </c>
      <c r="AG1679" t="str">
        <f>T("4422")</f>
        <v>4422</v>
      </c>
      <c r="AH1679" t="str">
        <f>T("23")</f>
        <v>23</v>
      </c>
      <c r="AK1679" t="str">
        <f>T("1895")</f>
        <v>1895</v>
      </c>
    </row>
    <row r="1680" spans="1:37" x14ac:dyDescent="0.3">
      <c r="A1680" t="s">
        <v>5233</v>
      </c>
      <c r="B1680" t="s">
        <v>5234</v>
      </c>
      <c r="C1680" t="s">
        <v>5235</v>
      </c>
      <c r="D1680" t="s">
        <v>7</v>
      </c>
      <c r="K1680" t="str">
        <f>T("172.515")</f>
        <v>172.515</v>
      </c>
      <c r="AG1680" t="str">
        <f>T("3500")</f>
        <v>3500</v>
      </c>
      <c r="AH1680" t="str">
        <f>T("10")</f>
        <v>10</v>
      </c>
      <c r="AK1680" t="str">
        <f>T("199")</f>
        <v>199</v>
      </c>
    </row>
    <row r="1681" spans="1:37" x14ac:dyDescent="0.3">
      <c r="A1681" t="s">
        <v>5236</v>
      </c>
      <c r="B1681" t="s">
        <v>5237</v>
      </c>
      <c r="C1681" t="s">
        <v>5238</v>
      </c>
      <c r="D1681" t="s">
        <v>7</v>
      </c>
      <c r="AG1681" t="str">
        <f>T("2574")</f>
        <v>2574</v>
      </c>
      <c r="AH1681" t="str">
        <f>T("3")</f>
        <v>3</v>
      </c>
      <c r="AK1681" t="str">
        <f>T("1486")</f>
        <v>1486</v>
      </c>
    </row>
    <row r="1682" spans="1:37" x14ac:dyDescent="0.3">
      <c r="A1682" t="s">
        <v>5239</v>
      </c>
      <c r="B1682" t="s">
        <v>5240</v>
      </c>
      <c r="C1682" t="s">
        <v>5241</v>
      </c>
      <c r="D1682" t="s">
        <v>7</v>
      </c>
      <c r="AG1682" t="str">
        <f>T("4136")</f>
        <v>4136</v>
      </c>
      <c r="AH1682" t="str">
        <f>T("22")</f>
        <v>22</v>
      </c>
      <c r="AK1682" t="str">
        <f>T("1704")</f>
        <v>1704</v>
      </c>
    </row>
    <row r="1683" spans="1:37" x14ac:dyDescent="0.3">
      <c r="A1683" t="s">
        <v>5242</v>
      </c>
      <c r="B1683" t="s">
        <v>5243</v>
      </c>
      <c r="C1683" t="s">
        <v>5244</v>
      </c>
      <c r="D1683" t="s">
        <v>7</v>
      </c>
      <c r="K1683" t="str">
        <f>T("172.515")</f>
        <v>172.515</v>
      </c>
      <c r="AG1683" t="str">
        <f>T("3499")</f>
        <v>3499</v>
      </c>
      <c r="AH1683" t="str">
        <f>T("10")</f>
        <v>10</v>
      </c>
      <c r="AK1683" t="str">
        <f>T("208")</f>
        <v>208</v>
      </c>
    </row>
    <row r="1684" spans="1:37" x14ac:dyDescent="0.3">
      <c r="A1684" t="s">
        <v>5245</v>
      </c>
      <c r="B1684" t="s">
        <v>5246</v>
      </c>
      <c r="C1684" t="s">
        <v>5247</v>
      </c>
      <c r="D1684" t="s">
        <v>7</v>
      </c>
      <c r="AG1684" t="str">
        <f>T("3693")</f>
        <v>3693</v>
      </c>
      <c r="AH1684" t="str">
        <f>T("13")</f>
        <v>13</v>
      </c>
      <c r="AK1684" t="str">
        <f>T("352")</f>
        <v>352</v>
      </c>
    </row>
    <row r="1685" spans="1:37" x14ac:dyDescent="0.3">
      <c r="A1685" t="s">
        <v>5248</v>
      </c>
      <c r="B1685" t="s">
        <v>5249</v>
      </c>
      <c r="C1685" t="s">
        <v>5250</v>
      </c>
      <c r="D1685" t="s">
        <v>7</v>
      </c>
      <c r="AG1685" t="str">
        <f>T("4339")</f>
        <v>4339</v>
      </c>
      <c r="AH1685" t="str">
        <f>T("23")</f>
        <v>23</v>
      </c>
      <c r="AK1685" t="str">
        <f>T("1873")</f>
        <v>1873</v>
      </c>
    </row>
    <row r="1686" spans="1:37" x14ac:dyDescent="0.3">
      <c r="A1686" t="s">
        <v>5251</v>
      </c>
      <c r="B1686" t="s">
        <v>5252</v>
      </c>
      <c r="C1686" t="s">
        <v>5253</v>
      </c>
      <c r="D1686" t="s">
        <v>7</v>
      </c>
      <c r="K1686" t="str">
        <f>T("172.515")</f>
        <v>172.515</v>
      </c>
      <c r="AG1686" t="str">
        <f>T("2575")</f>
        <v>2575</v>
      </c>
      <c r="AH1686" t="str">
        <f>T("3")</f>
        <v>3</v>
      </c>
      <c r="AI1686" t="str">
        <f>T("25")</f>
        <v>25</v>
      </c>
      <c r="AK1686" t="str">
        <f>T("175")</f>
        <v>175</v>
      </c>
    </row>
    <row r="1687" spans="1:37" x14ac:dyDescent="0.3">
      <c r="A1687" t="s">
        <v>5254</v>
      </c>
      <c r="B1687" t="s">
        <v>5255</v>
      </c>
      <c r="C1687" t="s">
        <v>5256</v>
      </c>
      <c r="D1687" t="s">
        <v>7</v>
      </c>
      <c r="K1687" t="str">
        <f>T("172.515")</f>
        <v>172.515</v>
      </c>
      <c r="AG1687" t="str">
        <f>T("3457")</f>
        <v>3457</v>
      </c>
      <c r="AH1687" t="str">
        <f>T("9")</f>
        <v>9</v>
      </c>
      <c r="AI1687" t="str">
        <f>T("25")</f>
        <v>25</v>
      </c>
      <c r="AK1687" t="str">
        <f>T("1015")</f>
        <v>1015</v>
      </c>
    </row>
    <row r="1688" spans="1:37" x14ac:dyDescent="0.3">
      <c r="A1688" t="s">
        <v>5257</v>
      </c>
      <c r="B1688" t="s">
        <v>5258</v>
      </c>
      <c r="C1688" t="s">
        <v>5259</v>
      </c>
      <c r="D1688" t="s">
        <v>7</v>
      </c>
      <c r="K1688" t="str">
        <f>T("172.515")</f>
        <v>172.515</v>
      </c>
      <c r="AG1688" t="str">
        <f>T("2576")</f>
        <v>2576</v>
      </c>
      <c r="AH1688" t="str">
        <f>T("3")</f>
        <v>3</v>
      </c>
      <c r="AI1688" t="str">
        <f>T("25")</f>
        <v>25</v>
      </c>
      <c r="AK1688" t="str">
        <f>T("144")</f>
        <v>144</v>
      </c>
    </row>
    <row r="1689" spans="1:37" x14ac:dyDescent="0.3">
      <c r="A1689" t="s">
        <v>5260</v>
      </c>
      <c r="B1689" t="s">
        <v>5261</v>
      </c>
      <c r="C1689" t="s">
        <v>5262</v>
      </c>
      <c r="D1689" t="s">
        <v>7</v>
      </c>
      <c r="AG1689" t="str">
        <f>T("4137")</f>
        <v>4137</v>
      </c>
      <c r="AH1689" t="str">
        <f>T("22")</f>
        <v>22</v>
      </c>
      <c r="AK1689" t="str">
        <f>T("1764")</f>
        <v>1764</v>
      </c>
    </row>
    <row r="1690" spans="1:37" x14ac:dyDescent="0.3">
      <c r="A1690" t="s">
        <v>5263</v>
      </c>
      <c r="B1690" t="s">
        <v>5264</v>
      </c>
      <c r="C1690" t="s">
        <v>5265</v>
      </c>
      <c r="D1690" t="s">
        <v>7</v>
      </c>
      <c r="K1690" t="str">
        <f>T("182.20")</f>
        <v>182.20</v>
      </c>
      <c r="AG1690" t="str">
        <f>T("2577")</f>
        <v>2577</v>
      </c>
      <c r="AH1690" t="str">
        <f>T("3")</f>
        <v>3</v>
      </c>
    </row>
    <row r="1691" spans="1:37" x14ac:dyDescent="0.3">
      <c r="A1691" t="s">
        <v>5266</v>
      </c>
      <c r="B1691" t="s">
        <v>5267</v>
      </c>
      <c r="C1691" t="s">
        <v>5268</v>
      </c>
      <c r="D1691" t="s">
        <v>7</v>
      </c>
      <c r="AG1691" t="str">
        <f>T("4222")</f>
        <v>4222</v>
      </c>
      <c r="AH1691" t="str">
        <f>T("22")</f>
        <v>22</v>
      </c>
    </row>
    <row r="1692" spans="1:37" x14ac:dyDescent="0.3">
      <c r="A1692" t="s">
        <v>5269</v>
      </c>
      <c r="B1692" t="s">
        <v>5270</v>
      </c>
      <c r="C1692" t="s">
        <v>5271</v>
      </c>
      <c r="D1692" t="s">
        <v>5272</v>
      </c>
      <c r="K1692" t="str">
        <f>T("184.1866")</f>
        <v>184.1866</v>
      </c>
      <c r="AF1692" t="s">
        <v>5273</v>
      </c>
    </row>
    <row r="1693" spans="1:37" x14ac:dyDescent="0.3">
      <c r="A1693" t="s">
        <v>5274</v>
      </c>
      <c r="B1693" t="s">
        <v>5275</v>
      </c>
      <c r="C1693" t="s">
        <v>5276</v>
      </c>
      <c r="D1693" t="s">
        <v>213</v>
      </c>
      <c r="K1693" t="str">
        <f>T("172.320")</f>
        <v>172.320</v>
      </c>
      <c r="AG1693" t="str">
        <f>T("3694")</f>
        <v>3694</v>
      </c>
      <c r="AH1693" t="str">
        <f>T("13")</f>
        <v>13</v>
      </c>
      <c r="AK1693" t="str">
        <f>T("1431")</f>
        <v>1431</v>
      </c>
    </row>
    <row r="1694" spans="1:37" x14ac:dyDescent="0.3">
      <c r="A1694" t="s">
        <v>5277</v>
      </c>
      <c r="B1694" t="s">
        <v>5278</v>
      </c>
      <c r="D1694" t="s">
        <v>3104</v>
      </c>
      <c r="AG1694" t="str">
        <f>T("4228")</f>
        <v>4228</v>
      </c>
      <c r="AH1694" t="str">
        <f>T("22")</f>
        <v>22</v>
      </c>
    </row>
    <row r="1695" spans="1:37" x14ac:dyDescent="0.3">
      <c r="A1695" t="s">
        <v>5279</v>
      </c>
      <c r="B1695" t="s">
        <v>5280</v>
      </c>
      <c r="C1695" t="s">
        <v>5281</v>
      </c>
      <c r="D1695" t="s">
        <v>7</v>
      </c>
      <c r="AG1695" t="str">
        <f>T("4690")</f>
        <v>4690</v>
      </c>
      <c r="AH1695" t="str">
        <f>T("25")</f>
        <v>25</v>
      </c>
    </row>
    <row r="1696" spans="1:37" x14ac:dyDescent="0.3">
      <c r="A1696" t="s">
        <v>5282</v>
      </c>
      <c r="B1696" t="s">
        <v>5283</v>
      </c>
      <c r="C1696" t="s">
        <v>5284</v>
      </c>
      <c r="D1696" t="s">
        <v>7</v>
      </c>
      <c r="K1696" t="str">
        <f>T("173.240")</f>
        <v>173.240</v>
      </c>
      <c r="L1696" t="str">
        <f>T("173.250")</f>
        <v>173.250</v>
      </c>
      <c r="M1696" t="str">
        <f>T("173.255")</f>
        <v>173.255</v>
      </c>
      <c r="N1696" t="str">
        <f>T("173.270")</f>
        <v>173.270</v>
      </c>
      <c r="O1696" t="str">
        <f>T("182.20")</f>
        <v>182.20</v>
      </c>
      <c r="AG1696" t="str">
        <f>T("2578")</f>
        <v>2578</v>
      </c>
      <c r="AH1696" t="str">
        <f>T("3")</f>
        <v>3</v>
      </c>
    </row>
    <row r="1697" spans="1:34" x14ac:dyDescent="0.3">
      <c r="A1697" t="s">
        <v>5285</v>
      </c>
      <c r="B1697" t="s">
        <v>5286</v>
      </c>
      <c r="C1697" t="s">
        <v>5287</v>
      </c>
      <c r="D1697" t="s">
        <v>7</v>
      </c>
      <c r="K1697" t="str">
        <f>T("172.560")</f>
        <v>172.560</v>
      </c>
    </row>
    <row r="1698" spans="1:34" x14ac:dyDescent="0.3">
      <c r="A1698" t="s">
        <v>5288</v>
      </c>
      <c r="B1698" t="s">
        <v>5289</v>
      </c>
      <c r="C1698" t="s">
        <v>5290</v>
      </c>
      <c r="D1698" t="s">
        <v>7</v>
      </c>
      <c r="K1698" t="str">
        <f>T("182.20")</f>
        <v>182.20</v>
      </c>
      <c r="AG1698" t="str">
        <f>T("2579")</f>
        <v>2579</v>
      </c>
      <c r="AH1698" t="str">
        <f>T("3")</f>
        <v>3</v>
      </c>
    </row>
    <row r="1699" spans="1:34" x14ac:dyDescent="0.3">
      <c r="A1699" t="s">
        <v>5291</v>
      </c>
      <c r="B1699" t="s">
        <v>5292</v>
      </c>
      <c r="C1699" t="s">
        <v>5293</v>
      </c>
      <c r="D1699" t="s">
        <v>7</v>
      </c>
      <c r="K1699" t="str">
        <f>T("182.20")</f>
        <v>182.20</v>
      </c>
      <c r="AG1699" t="str">
        <f>T("2580")</f>
        <v>2580</v>
      </c>
      <c r="AH1699" t="str">
        <f>T("3")</f>
        <v>3</v>
      </c>
    </row>
    <row r="1700" spans="1:34" x14ac:dyDescent="0.3">
      <c r="A1700" t="s">
        <v>5294</v>
      </c>
      <c r="B1700" t="s">
        <v>5295</v>
      </c>
      <c r="C1700" t="s">
        <v>5296</v>
      </c>
      <c r="D1700" t="s">
        <v>7</v>
      </c>
      <c r="K1700" t="str">
        <f>T("182.20")</f>
        <v>182.20</v>
      </c>
      <c r="AG1700" t="str">
        <f>T("2581")</f>
        <v>2581</v>
      </c>
      <c r="AH1700" t="str">
        <f>T("3")</f>
        <v>3</v>
      </c>
    </row>
    <row r="1701" spans="1:34" x14ac:dyDescent="0.3">
      <c r="A1701" t="s">
        <v>5297</v>
      </c>
      <c r="B1701" t="s">
        <v>5298</v>
      </c>
      <c r="C1701" t="s">
        <v>5299</v>
      </c>
      <c r="K1701" t="str">
        <f>T("182.10")</f>
        <v>182.10</v>
      </c>
    </row>
    <row r="1702" spans="1:34" x14ac:dyDescent="0.3">
      <c r="A1702" t="s">
        <v>5300</v>
      </c>
      <c r="B1702" t="s">
        <v>5301</v>
      </c>
      <c r="C1702" t="s">
        <v>5302</v>
      </c>
      <c r="K1702" t="str">
        <f>T("182.20")</f>
        <v>182.20</v>
      </c>
    </row>
    <row r="1703" spans="1:34" x14ac:dyDescent="0.3">
      <c r="A1703" t="s">
        <v>5303</v>
      </c>
      <c r="B1703" t="s">
        <v>5304</v>
      </c>
      <c r="C1703" t="s">
        <v>5305</v>
      </c>
      <c r="D1703" t="s">
        <v>7</v>
      </c>
      <c r="K1703" t="str">
        <f>T("182.20")</f>
        <v>182.20</v>
      </c>
      <c r="AG1703" t="str">
        <f>T("2582")</f>
        <v>2582</v>
      </c>
      <c r="AH1703" t="str">
        <f>T("3")</f>
        <v>3</v>
      </c>
    </row>
    <row r="1704" spans="1:34" x14ac:dyDescent="0.3">
      <c r="A1704" t="s">
        <v>5306</v>
      </c>
      <c r="B1704" t="s">
        <v>5307</v>
      </c>
      <c r="C1704" t="s">
        <v>5308</v>
      </c>
      <c r="D1704" t="s">
        <v>7</v>
      </c>
      <c r="K1704" t="str">
        <f>T("182.10")</f>
        <v>182.10</v>
      </c>
      <c r="AF1704" t="s">
        <v>5309</v>
      </c>
    </row>
    <row r="1705" spans="1:34" x14ac:dyDescent="0.3">
      <c r="A1705" t="s">
        <v>5310</v>
      </c>
      <c r="B1705" t="s">
        <v>5311</v>
      </c>
      <c r="C1705" t="s">
        <v>5312</v>
      </c>
      <c r="D1705" t="s">
        <v>7</v>
      </c>
    </row>
    <row r="1706" spans="1:34" x14ac:dyDescent="0.3">
      <c r="A1706" t="s">
        <v>5313</v>
      </c>
      <c r="B1706" t="s">
        <v>5314</v>
      </c>
      <c r="C1706" t="s">
        <v>5315</v>
      </c>
      <c r="D1706" t="s">
        <v>7</v>
      </c>
      <c r="K1706" t="str">
        <f>T("172.510")</f>
        <v>172.510</v>
      </c>
    </row>
    <row r="1707" spans="1:34" x14ac:dyDescent="0.3">
      <c r="A1707" t="s">
        <v>5316</v>
      </c>
      <c r="B1707" t="s">
        <v>5317</v>
      </c>
      <c r="C1707" t="s">
        <v>5318</v>
      </c>
      <c r="D1707" t="s">
        <v>7</v>
      </c>
      <c r="K1707" t="str">
        <f>T("172.510")</f>
        <v>172.510</v>
      </c>
    </row>
    <row r="1708" spans="1:34" x14ac:dyDescent="0.3">
      <c r="A1708" t="s">
        <v>5319</v>
      </c>
      <c r="B1708" t="s">
        <v>5320</v>
      </c>
      <c r="C1708" t="s">
        <v>5321</v>
      </c>
      <c r="D1708" t="s">
        <v>15</v>
      </c>
      <c r="AG1708" t="str">
        <f>T("4595")</f>
        <v>4595</v>
      </c>
      <c r="AH1708" t="str">
        <f>T("24")</f>
        <v>24</v>
      </c>
    </row>
    <row r="1709" spans="1:34" x14ac:dyDescent="0.3">
      <c r="A1709" t="s">
        <v>5322</v>
      </c>
      <c r="B1709" t="s">
        <v>5323</v>
      </c>
      <c r="C1709" t="s">
        <v>5324</v>
      </c>
      <c r="K1709" t="str">
        <f>T("173.310")</f>
        <v>173.310</v>
      </c>
    </row>
    <row r="1710" spans="1:34" x14ac:dyDescent="0.3">
      <c r="A1710" t="s">
        <v>5325</v>
      </c>
      <c r="B1710" t="s">
        <v>5326</v>
      </c>
      <c r="C1710" t="s">
        <v>5327</v>
      </c>
      <c r="D1710" t="s">
        <v>5328</v>
      </c>
      <c r="K1710" t="str">
        <f>T("172.560")</f>
        <v>172.560</v>
      </c>
      <c r="L1710" t="str">
        <f>T("172.892")</f>
        <v>172.892</v>
      </c>
      <c r="M1710" t="str">
        <f>T("182.1057")</f>
        <v>182.1057</v>
      </c>
      <c r="AF1710" t="s">
        <v>5329</v>
      </c>
    </row>
    <row r="1711" spans="1:34" x14ac:dyDescent="0.3">
      <c r="A1711" t="s">
        <v>5330</v>
      </c>
      <c r="B1711" t="s">
        <v>5331</v>
      </c>
      <c r="C1711" t="s">
        <v>5332</v>
      </c>
      <c r="D1711" t="s">
        <v>5333</v>
      </c>
      <c r="K1711" t="str">
        <f>T("172.167")</f>
        <v>172.167</v>
      </c>
      <c r="L1711" t="str">
        <f>T("172.723")</f>
        <v>172.723</v>
      </c>
      <c r="M1711" t="str">
        <f>T("172.814")</f>
        <v>172.814</v>
      </c>
      <c r="N1711" t="str">
        <f>T("172.892")</f>
        <v>172.892</v>
      </c>
      <c r="O1711" t="str">
        <f>T("173.315")</f>
        <v>173.315</v>
      </c>
      <c r="P1711" t="str">
        <f>T("173.356")</f>
        <v>173.356</v>
      </c>
      <c r="Q1711" t="str">
        <f>T("173.370")</f>
        <v>173.370</v>
      </c>
      <c r="R1711" t="str">
        <f>T("175.105")</f>
        <v>175.105</v>
      </c>
      <c r="S1711" t="str">
        <f>T("178.1005")</f>
        <v>178.1005</v>
      </c>
      <c r="T1711" t="str">
        <f>T("178.1010")</f>
        <v>178.1010</v>
      </c>
      <c r="U1711" t="str">
        <f>T("184.1366")</f>
        <v>184.1366</v>
      </c>
      <c r="AF1711" t="s">
        <v>5334</v>
      </c>
    </row>
    <row r="1712" spans="1:34" x14ac:dyDescent="0.3">
      <c r="A1712" t="s">
        <v>5335</v>
      </c>
      <c r="B1712" t="s">
        <v>5336</v>
      </c>
      <c r="C1712" t="s">
        <v>5337</v>
      </c>
      <c r="D1712" t="s">
        <v>7</v>
      </c>
      <c r="AG1712" t="str">
        <f>T("3779")</f>
        <v>3779</v>
      </c>
      <c r="AH1712" t="str">
        <f>T("16")</f>
        <v>16</v>
      </c>
    </row>
    <row r="1713" spans="1:37" x14ac:dyDescent="0.3">
      <c r="A1713" t="s">
        <v>5338</v>
      </c>
      <c r="B1713" t="s">
        <v>5339</v>
      </c>
      <c r="C1713" t="s">
        <v>5340</v>
      </c>
      <c r="D1713" t="s">
        <v>15</v>
      </c>
      <c r="K1713" t="str">
        <f>T("175.105")</f>
        <v>175.105</v>
      </c>
      <c r="L1713" t="str">
        <f>T("176.170")</f>
        <v>176.170</v>
      </c>
      <c r="M1713" t="str">
        <f>T("177.2600")</f>
        <v>177.2600</v>
      </c>
      <c r="AG1713" t="str">
        <f>T("3695")</f>
        <v>3695</v>
      </c>
      <c r="AH1713" t="str">
        <f>T("13")</f>
        <v>13</v>
      </c>
      <c r="AI1713" t="str">
        <f>T("25")</f>
        <v>25</v>
      </c>
      <c r="AK1713" t="str">
        <f>T("720")</f>
        <v>720</v>
      </c>
    </row>
    <row r="1714" spans="1:37" x14ac:dyDescent="0.3">
      <c r="A1714" t="s">
        <v>5341</v>
      </c>
      <c r="B1714" t="s">
        <v>5342</v>
      </c>
      <c r="C1714" t="s">
        <v>5343</v>
      </c>
      <c r="D1714" t="s">
        <v>7</v>
      </c>
      <c r="AG1714" t="str">
        <f>T("4462")</f>
        <v>4462</v>
      </c>
      <c r="AH1714" t="str">
        <f>T("24")</f>
        <v>24</v>
      </c>
      <c r="AK1714" t="str">
        <f>T("1945")</f>
        <v>1945</v>
      </c>
    </row>
    <row r="1715" spans="1:37" x14ac:dyDescent="0.3">
      <c r="A1715" t="s">
        <v>5344</v>
      </c>
      <c r="B1715" t="s">
        <v>5345</v>
      </c>
      <c r="C1715" t="s">
        <v>5346</v>
      </c>
      <c r="D1715" t="s">
        <v>7</v>
      </c>
      <c r="AG1715" t="str">
        <f>T("3548")</f>
        <v>3548</v>
      </c>
      <c r="AH1715" t="str">
        <f>T("11")</f>
        <v>11</v>
      </c>
      <c r="AK1715" t="str">
        <f>T("727")</f>
        <v>727</v>
      </c>
    </row>
    <row r="1716" spans="1:37" x14ac:dyDescent="0.3">
      <c r="A1716" t="s">
        <v>5347</v>
      </c>
      <c r="B1716" t="s">
        <v>5348</v>
      </c>
      <c r="C1716" t="s">
        <v>5349</v>
      </c>
      <c r="D1716" t="s">
        <v>7</v>
      </c>
      <c r="AG1716" t="str">
        <f>T("4330")</f>
        <v>4330</v>
      </c>
      <c r="AH1716" t="str">
        <f>T("23")</f>
        <v>23</v>
      </c>
      <c r="AK1716" t="str">
        <f>T("2040")</f>
        <v>2040</v>
      </c>
    </row>
    <row r="1717" spans="1:37" x14ac:dyDescent="0.3">
      <c r="A1717" t="s">
        <v>5350</v>
      </c>
      <c r="B1717" t="s">
        <v>5351</v>
      </c>
      <c r="C1717" t="s">
        <v>5352</v>
      </c>
      <c r="D1717" t="s">
        <v>7</v>
      </c>
      <c r="AG1717" t="str">
        <f>T("3984")</f>
        <v>3984</v>
      </c>
      <c r="AH1717" t="str">
        <f>T("20")</f>
        <v>20</v>
      </c>
      <c r="AK1717" t="str">
        <f>T("956")</f>
        <v>956</v>
      </c>
    </row>
    <row r="1718" spans="1:37" x14ac:dyDescent="0.3">
      <c r="A1718" t="s">
        <v>5353</v>
      </c>
      <c r="B1718" t="s">
        <v>5354</v>
      </c>
      <c r="C1718" t="s">
        <v>5355</v>
      </c>
      <c r="D1718" t="s">
        <v>7</v>
      </c>
      <c r="AG1718" t="str">
        <f>T("4431")</f>
        <v>4431</v>
      </c>
      <c r="AH1718" t="str">
        <f>T("24")</f>
        <v>24</v>
      </c>
    </row>
    <row r="1719" spans="1:37" x14ac:dyDescent="0.3">
      <c r="A1719" t="s">
        <v>5356</v>
      </c>
      <c r="B1719" t="s">
        <v>5357</v>
      </c>
      <c r="C1719" t="s">
        <v>5358</v>
      </c>
      <c r="D1719" t="s">
        <v>7</v>
      </c>
      <c r="AG1719" t="str">
        <f>T("3986")</f>
        <v>3986</v>
      </c>
      <c r="AH1719" t="str">
        <f>T("20")</f>
        <v>20</v>
      </c>
      <c r="AK1719" t="str">
        <f>T("957")</f>
        <v>957</v>
      </c>
    </row>
    <row r="1720" spans="1:37" x14ac:dyDescent="0.3">
      <c r="A1720" t="s">
        <v>5359</v>
      </c>
      <c r="B1720" t="s">
        <v>5360</v>
      </c>
      <c r="C1720" t="s">
        <v>5361</v>
      </c>
      <c r="D1720" t="s">
        <v>7</v>
      </c>
      <c r="AG1720" t="str">
        <f>T("3987")</f>
        <v>3987</v>
      </c>
      <c r="AH1720" t="str">
        <f>T("20")</f>
        <v>20</v>
      </c>
      <c r="AK1720" t="str">
        <f>T("955")</f>
        <v>955</v>
      </c>
    </row>
    <row r="1721" spans="1:37" x14ac:dyDescent="0.3">
      <c r="A1721" t="s">
        <v>5362</v>
      </c>
      <c r="B1721" t="s">
        <v>5363</v>
      </c>
      <c r="C1721" t="s">
        <v>5364</v>
      </c>
      <c r="D1721" t="s">
        <v>7</v>
      </c>
      <c r="AG1721" t="str">
        <f>T("3291")</f>
        <v>3291</v>
      </c>
      <c r="AH1721" t="str">
        <f>T("5")</f>
        <v>5</v>
      </c>
      <c r="AI1721" t="str">
        <f>T("25")</f>
        <v>25</v>
      </c>
      <c r="AK1721" t="str">
        <f>T("219")</f>
        <v>219</v>
      </c>
    </row>
    <row r="1722" spans="1:37" x14ac:dyDescent="0.3">
      <c r="A1722" t="s">
        <v>5365</v>
      </c>
      <c r="B1722" t="s">
        <v>5366</v>
      </c>
      <c r="C1722" t="s">
        <v>5367</v>
      </c>
      <c r="D1722" t="s">
        <v>7</v>
      </c>
      <c r="AG1722" t="str">
        <f>T("3173")</f>
        <v>3173</v>
      </c>
      <c r="AH1722" t="str">
        <f>T("4")</f>
        <v>4</v>
      </c>
      <c r="AI1722" t="str">
        <f>T("25")</f>
        <v>25</v>
      </c>
      <c r="AK1722" t="str">
        <f>T("1717")</f>
        <v>1717</v>
      </c>
    </row>
    <row r="1723" spans="1:37" x14ac:dyDescent="0.3">
      <c r="A1723" t="s">
        <v>5368</v>
      </c>
      <c r="B1723" t="s">
        <v>5369</v>
      </c>
      <c r="C1723" t="s">
        <v>5370</v>
      </c>
      <c r="D1723" t="s">
        <v>7</v>
      </c>
      <c r="AG1723" t="str">
        <f>T("4138")</f>
        <v>4138</v>
      </c>
      <c r="AH1723" t="str">
        <f>T("22")</f>
        <v>22</v>
      </c>
      <c r="AK1723" t="str">
        <f>T("2000")</f>
        <v>2000</v>
      </c>
    </row>
    <row r="1724" spans="1:37" x14ac:dyDescent="0.3">
      <c r="A1724" t="s">
        <v>5371</v>
      </c>
      <c r="B1724" t="s">
        <v>5372</v>
      </c>
      <c r="C1724" t="s">
        <v>5373</v>
      </c>
      <c r="D1724" t="s">
        <v>7</v>
      </c>
      <c r="AG1724" t="str">
        <f>T("4523")</f>
        <v>4523</v>
      </c>
      <c r="AH1724" t="str">
        <f>T("24")</f>
        <v>24</v>
      </c>
    </row>
    <row r="1725" spans="1:37" x14ac:dyDescent="0.3">
      <c r="A1725" t="s">
        <v>5374</v>
      </c>
      <c r="B1725" t="s">
        <v>5375</v>
      </c>
      <c r="C1725" t="s">
        <v>5376</v>
      </c>
      <c r="D1725" t="s">
        <v>7</v>
      </c>
      <c r="K1725" t="str">
        <f>T("172.515")</f>
        <v>172.515</v>
      </c>
      <c r="AG1725" t="str">
        <f>T("2583")</f>
        <v>2583</v>
      </c>
      <c r="AH1725" t="str">
        <f>T("3")</f>
        <v>3</v>
      </c>
      <c r="AK1725" t="str">
        <f>T("611")</f>
        <v>611</v>
      </c>
    </row>
    <row r="1726" spans="1:37" x14ac:dyDescent="0.3">
      <c r="A1726" t="s">
        <v>5377</v>
      </c>
      <c r="B1726" t="s">
        <v>5378</v>
      </c>
      <c r="C1726" t="s">
        <v>5379</v>
      </c>
      <c r="D1726" t="s">
        <v>7</v>
      </c>
      <c r="K1726" t="str">
        <f>T("172.515")</f>
        <v>172.515</v>
      </c>
      <c r="AG1726" t="str">
        <f>T("2584")</f>
        <v>2584</v>
      </c>
      <c r="AH1726" t="str">
        <f>T("3")</f>
        <v>3</v>
      </c>
      <c r="AI1726" t="str">
        <f>T("25")</f>
        <v>25</v>
      </c>
      <c r="AK1726" t="str">
        <f>T("613")</f>
        <v>613</v>
      </c>
    </row>
    <row r="1727" spans="1:37" x14ac:dyDescent="0.3">
      <c r="A1727" t="s">
        <v>5380</v>
      </c>
      <c r="B1727" t="s">
        <v>5381</v>
      </c>
      <c r="C1727" t="s">
        <v>5382</v>
      </c>
      <c r="D1727" t="s">
        <v>7</v>
      </c>
      <c r="K1727" t="str">
        <f>T("172.515")</f>
        <v>172.515</v>
      </c>
      <c r="AG1727" t="str">
        <f>T("2585")</f>
        <v>2585</v>
      </c>
      <c r="AH1727" t="str">
        <f>T("3")</f>
        <v>3</v>
      </c>
      <c r="AK1727" t="str">
        <f>T("612")</f>
        <v>612</v>
      </c>
    </row>
    <row r="1728" spans="1:37" x14ac:dyDescent="0.3">
      <c r="A1728" t="s">
        <v>5383</v>
      </c>
      <c r="B1728" t="s">
        <v>5384</v>
      </c>
      <c r="C1728" t="s">
        <v>5385</v>
      </c>
      <c r="D1728" t="s">
        <v>7</v>
      </c>
      <c r="AG1728" t="str">
        <f>T("4485")</f>
        <v>4485</v>
      </c>
      <c r="AH1728" t="str">
        <f>T("24")</f>
        <v>24</v>
      </c>
      <c r="AK1728" t="str">
        <f>T("1975")</f>
        <v>1975</v>
      </c>
    </row>
    <row r="1729" spans="1:37" x14ac:dyDescent="0.3">
      <c r="A1729" t="s">
        <v>5386</v>
      </c>
      <c r="B1729" t="s">
        <v>5387</v>
      </c>
      <c r="C1729" t="s">
        <v>5388</v>
      </c>
      <c r="D1729" t="s">
        <v>7</v>
      </c>
      <c r="K1729" t="str">
        <f>T("172.515")</f>
        <v>172.515</v>
      </c>
      <c r="AG1729" t="str">
        <f>T("2586")</f>
        <v>2586</v>
      </c>
      <c r="AH1729" t="str">
        <f>T("3")</f>
        <v>3</v>
      </c>
      <c r="AI1729" t="str">
        <f>T("25")</f>
        <v>25</v>
      </c>
      <c r="AK1729" t="str">
        <f>T("610")</f>
        <v>610</v>
      </c>
    </row>
    <row r="1730" spans="1:37" x14ac:dyDescent="0.3">
      <c r="A1730" t="s">
        <v>5389</v>
      </c>
      <c r="B1730" t="s">
        <v>5390</v>
      </c>
      <c r="C1730" t="s">
        <v>5391</v>
      </c>
      <c r="D1730" t="s">
        <v>7</v>
      </c>
      <c r="AG1730" t="str">
        <f>T("3458")</f>
        <v>3458</v>
      </c>
      <c r="AH1730" t="str">
        <f>T("9")</f>
        <v>9</v>
      </c>
      <c r="AK1730" t="str">
        <f>T("424")</f>
        <v>424</v>
      </c>
    </row>
    <row r="1731" spans="1:37" x14ac:dyDescent="0.3">
      <c r="A1731" t="s">
        <v>5392</v>
      </c>
      <c r="B1731" t="s">
        <v>5393</v>
      </c>
      <c r="C1731" t="s">
        <v>5394</v>
      </c>
      <c r="D1731" t="s">
        <v>7</v>
      </c>
      <c r="AG1731" t="str">
        <f>T("3696")</f>
        <v>3696</v>
      </c>
      <c r="AH1731" t="str">
        <f>T("13")</f>
        <v>13</v>
      </c>
      <c r="AK1731" t="str">
        <f>T("245")</f>
        <v>245</v>
      </c>
    </row>
    <row r="1732" spans="1:37" x14ac:dyDescent="0.3">
      <c r="A1732" t="s">
        <v>5395</v>
      </c>
      <c r="B1732" t="s">
        <v>5396</v>
      </c>
      <c r="C1732" t="s">
        <v>5397</v>
      </c>
      <c r="D1732" t="s">
        <v>7</v>
      </c>
      <c r="AG1732" t="str">
        <f>T("3744")</f>
        <v>3744</v>
      </c>
      <c r="AH1732" t="str">
        <f>T("14")</f>
        <v>14</v>
      </c>
      <c r="AK1732" t="str">
        <f>T("246")</f>
        <v>246</v>
      </c>
    </row>
    <row r="1733" spans="1:37" x14ac:dyDescent="0.3">
      <c r="A1733" t="s">
        <v>5398</v>
      </c>
      <c r="B1733" t="s">
        <v>5399</v>
      </c>
      <c r="C1733" t="s">
        <v>5400</v>
      </c>
      <c r="D1733" t="s">
        <v>7</v>
      </c>
      <c r="AG1733" t="str">
        <f>T("3745")</f>
        <v>3745</v>
      </c>
      <c r="AH1733" t="str">
        <f>T("14")</f>
        <v>14</v>
      </c>
      <c r="AK1733" t="str">
        <f>T("247")</f>
        <v>247</v>
      </c>
    </row>
    <row r="1734" spans="1:37" x14ac:dyDescent="0.3">
      <c r="A1734" t="s">
        <v>5401</v>
      </c>
      <c r="B1734" t="s">
        <v>5402</v>
      </c>
      <c r="C1734" t="s">
        <v>5403</v>
      </c>
      <c r="D1734" t="s">
        <v>7</v>
      </c>
      <c r="AG1734" t="str">
        <f>T("3549")</f>
        <v>3549</v>
      </c>
      <c r="AH1734" t="str">
        <f>T("11")</f>
        <v>11</v>
      </c>
      <c r="AK1734" t="str">
        <f>T("1648")</f>
        <v>1648</v>
      </c>
    </row>
    <row r="1735" spans="1:37" x14ac:dyDescent="0.3">
      <c r="A1735" t="s">
        <v>5404</v>
      </c>
      <c r="B1735" t="s">
        <v>5405</v>
      </c>
      <c r="C1735" t="s">
        <v>5406</v>
      </c>
      <c r="D1735" t="s">
        <v>7</v>
      </c>
      <c r="AG1735" t="str">
        <f>T("4049")</f>
        <v>4049</v>
      </c>
      <c r="AH1735" t="str">
        <f>T("21")</f>
        <v>21</v>
      </c>
      <c r="AI1735" t="str">
        <f>T("25")</f>
        <v>25</v>
      </c>
      <c r="AK1735" t="str">
        <f>T("1878")</f>
        <v>1878</v>
      </c>
    </row>
    <row r="1736" spans="1:37" x14ac:dyDescent="0.3">
      <c r="A1736" t="s">
        <v>5407</v>
      </c>
      <c r="B1736" t="s">
        <v>5408</v>
      </c>
      <c r="C1736" t="s">
        <v>5409</v>
      </c>
      <c r="D1736" t="s">
        <v>7</v>
      </c>
      <c r="AG1736" t="str">
        <f>T("3174")</f>
        <v>3174</v>
      </c>
      <c r="AH1736" t="str">
        <f>T("4")</f>
        <v>4</v>
      </c>
      <c r="AI1736" t="str">
        <f>T("25")</f>
        <v>25</v>
      </c>
      <c r="AK1736" t="str">
        <f>T("1446")</f>
        <v>1446</v>
      </c>
    </row>
    <row r="1737" spans="1:37" x14ac:dyDescent="0.3">
      <c r="A1737" t="s">
        <v>5410</v>
      </c>
      <c r="B1737" t="s">
        <v>5411</v>
      </c>
      <c r="C1737" t="s">
        <v>5412</v>
      </c>
      <c r="D1737" t="s">
        <v>7</v>
      </c>
      <c r="AG1737" t="str">
        <f>T("4050")</f>
        <v>4050</v>
      </c>
      <c r="AH1737" t="str">
        <f>T("21")</f>
        <v>21</v>
      </c>
      <c r="AK1737" t="str">
        <f>T("2002")</f>
        <v>2002</v>
      </c>
    </row>
    <row r="1738" spans="1:37" x14ac:dyDescent="0.3">
      <c r="A1738" t="s">
        <v>5413</v>
      </c>
      <c r="B1738" t="s">
        <v>5414</v>
      </c>
      <c r="C1738" t="s">
        <v>5415</v>
      </c>
      <c r="D1738" t="s">
        <v>7</v>
      </c>
      <c r="AG1738" t="str">
        <f>T("3355")</f>
        <v>3355</v>
      </c>
      <c r="AH1738" t="str">
        <f>T("6")</f>
        <v>6</v>
      </c>
      <c r="AK1738" t="str">
        <f>T("237")</f>
        <v>237</v>
      </c>
    </row>
    <row r="1739" spans="1:37" x14ac:dyDescent="0.3">
      <c r="A1739" t="s">
        <v>5416</v>
      </c>
      <c r="B1739" t="s">
        <v>5417</v>
      </c>
      <c r="C1739" t="s">
        <v>5418</v>
      </c>
      <c r="D1739" t="s">
        <v>7</v>
      </c>
      <c r="AG1739" t="str">
        <f>T("3780")</f>
        <v>3780</v>
      </c>
      <c r="AH1739" t="str">
        <f>T("16")</f>
        <v>16</v>
      </c>
      <c r="AK1739" t="str">
        <f>T("249")</f>
        <v>249</v>
      </c>
    </row>
    <row r="1740" spans="1:37" x14ac:dyDescent="0.3">
      <c r="A1740" t="s">
        <v>5419</v>
      </c>
      <c r="B1740" t="s">
        <v>5420</v>
      </c>
      <c r="C1740" t="s">
        <v>5421</v>
      </c>
      <c r="D1740" t="s">
        <v>7</v>
      </c>
      <c r="AG1740" t="str">
        <f>T("3802")</f>
        <v>3802</v>
      </c>
      <c r="AH1740" t="str">
        <f>T("17")</f>
        <v>17</v>
      </c>
      <c r="AK1740" t="str">
        <f>T("438")</f>
        <v>438</v>
      </c>
    </row>
    <row r="1741" spans="1:37" x14ac:dyDescent="0.3">
      <c r="A1741" t="s">
        <v>5422</v>
      </c>
      <c r="B1741" t="s">
        <v>5423</v>
      </c>
      <c r="C1741" t="s">
        <v>5424</v>
      </c>
      <c r="D1741" t="s">
        <v>192</v>
      </c>
      <c r="K1741" t="str">
        <f>T("173.310")</f>
        <v>173.310</v>
      </c>
      <c r="L1741" t="str">
        <f>T("173.315")</f>
        <v>173.315</v>
      </c>
      <c r="M1741" t="str">
        <f>T("173.370")</f>
        <v>173.370</v>
      </c>
      <c r="N1741" t="str">
        <f>T("178.1010")</f>
        <v>178.1010</v>
      </c>
    </row>
    <row r="1742" spans="1:37" x14ac:dyDescent="0.3">
      <c r="A1742" t="s">
        <v>5425</v>
      </c>
      <c r="B1742" t="s">
        <v>5426</v>
      </c>
      <c r="C1742" t="s">
        <v>5427</v>
      </c>
      <c r="D1742" t="s">
        <v>7</v>
      </c>
      <c r="AG1742" t="str">
        <f>T("4661")</f>
        <v>4661</v>
      </c>
      <c r="AH1742" t="str">
        <f>T("24")</f>
        <v>24</v>
      </c>
      <c r="AK1742" t="str">
        <f>T("2058")</f>
        <v>2058</v>
      </c>
    </row>
    <row r="1743" spans="1:37" x14ac:dyDescent="0.3">
      <c r="A1743" t="s">
        <v>5428</v>
      </c>
      <c r="B1743" t="s">
        <v>5429</v>
      </c>
      <c r="C1743" t="s">
        <v>5430</v>
      </c>
      <c r="D1743" t="s">
        <v>7</v>
      </c>
      <c r="AG1743" t="str">
        <f>T("4660")</f>
        <v>4660</v>
      </c>
      <c r="AH1743" t="str">
        <f>T("24")</f>
        <v>24</v>
      </c>
      <c r="AK1743" t="str">
        <f>T("2020")</f>
        <v>2020</v>
      </c>
    </row>
    <row r="1744" spans="1:37" x14ac:dyDescent="0.3">
      <c r="A1744" t="s">
        <v>5431</v>
      </c>
      <c r="B1744" t="s">
        <v>5432</v>
      </c>
      <c r="C1744" t="s">
        <v>5433</v>
      </c>
      <c r="D1744" t="s">
        <v>7</v>
      </c>
      <c r="AG1744" t="str">
        <f>T("4722")</f>
        <v>4722</v>
      </c>
      <c r="AH1744" t="str">
        <f>T("25")</f>
        <v>25</v>
      </c>
      <c r="AK1744" t="str">
        <f>T("2159")</f>
        <v>2159</v>
      </c>
    </row>
    <row r="1745" spans="1:37" x14ac:dyDescent="0.3">
      <c r="A1745" t="s">
        <v>5434</v>
      </c>
      <c r="B1745" t="s">
        <v>5435</v>
      </c>
      <c r="C1745" t="s">
        <v>5436</v>
      </c>
      <c r="D1745" t="s">
        <v>2687</v>
      </c>
      <c r="K1745" t="str">
        <f>T("172.814")</f>
        <v>172.814</v>
      </c>
      <c r="L1745" t="str">
        <f>T("173.340")</f>
        <v>173.340</v>
      </c>
      <c r="M1745" t="str">
        <f>T("176.170")</f>
        <v>176.170</v>
      </c>
      <c r="N1745" t="str">
        <f>T("176.200")</f>
        <v>176.200</v>
      </c>
      <c r="AF1745" t="str">
        <f>T("136.11")</f>
        <v>136.11</v>
      </c>
    </row>
    <row r="1746" spans="1:37" x14ac:dyDescent="0.3">
      <c r="A1746" t="s">
        <v>5437</v>
      </c>
      <c r="B1746" t="s">
        <v>5438</v>
      </c>
      <c r="C1746" t="s">
        <v>5439</v>
      </c>
      <c r="D1746" t="s">
        <v>7</v>
      </c>
      <c r="AG1746" t="str">
        <f>T("4435")</f>
        <v>4435</v>
      </c>
      <c r="AH1746" t="str">
        <f>T("24")</f>
        <v>24</v>
      </c>
    </row>
    <row r="1747" spans="1:37" x14ac:dyDescent="0.3">
      <c r="A1747" t="s">
        <v>5440</v>
      </c>
      <c r="B1747" t="s">
        <v>5441</v>
      </c>
      <c r="C1747" t="s">
        <v>5442</v>
      </c>
      <c r="D1747" t="s">
        <v>7</v>
      </c>
      <c r="AG1747" t="str">
        <f>T("3404")</f>
        <v>3404</v>
      </c>
      <c r="AH1747" t="str">
        <f>T("7")</f>
        <v>7</v>
      </c>
    </row>
    <row r="1748" spans="1:37" x14ac:dyDescent="0.3">
      <c r="A1748" t="s">
        <v>5443</v>
      </c>
      <c r="B1748" t="s">
        <v>5444</v>
      </c>
      <c r="C1748" t="s">
        <v>5445</v>
      </c>
      <c r="D1748" t="s">
        <v>7</v>
      </c>
      <c r="AG1748" t="str">
        <f>T("4665")</f>
        <v>4665</v>
      </c>
      <c r="AH1748" t="str">
        <f>T("24")</f>
        <v>24</v>
      </c>
      <c r="AK1748" t="str">
        <f>T("2021")</f>
        <v>2021</v>
      </c>
    </row>
    <row r="1749" spans="1:37" x14ac:dyDescent="0.3">
      <c r="A1749" t="s">
        <v>5446</v>
      </c>
      <c r="B1749" t="s">
        <v>5447</v>
      </c>
      <c r="C1749" t="s">
        <v>5448</v>
      </c>
      <c r="D1749" t="s">
        <v>7</v>
      </c>
      <c r="AG1749" t="str">
        <f>T("4723")</f>
        <v>4723</v>
      </c>
      <c r="AH1749" t="str">
        <f>T("25")</f>
        <v>25</v>
      </c>
      <c r="AK1749" t="str">
        <f>T("2160")</f>
        <v>2160</v>
      </c>
    </row>
    <row r="1750" spans="1:37" x14ac:dyDescent="0.3">
      <c r="A1750" t="s">
        <v>5449</v>
      </c>
      <c r="B1750" t="s">
        <v>5450</v>
      </c>
      <c r="C1750" t="s">
        <v>5451</v>
      </c>
      <c r="D1750" t="s">
        <v>7</v>
      </c>
      <c r="AG1750" t="str">
        <f>T("4594")</f>
        <v>4594</v>
      </c>
      <c r="AH1750" t="str">
        <f>T("24")</f>
        <v>24</v>
      </c>
      <c r="AK1750" t="str">
        <f>T("2045")</f>
        <v>2045</v>
      </c>
    </row>
    <row r="1751" spans="1:37" x14ac:dyDescent="0.3">
      <c r="A1751" t="s">
        <v>5452</v>
      </c>
      <c r="B1751" t="s">
        <v>5453</v>
      </c>
      <c r="C1751" t="s">
        <v>5454</v>
      </c>
      <c r="D1751" t="s">
        <v>7</v>
      </c>
      <c r="AG1751" t="str">
        <f>T("3697")</f>
        <v>3697</v>
      </c>
      <c r="AH1751" t="str">
        <f>T("13")</f>
        <v>13</v>
      </c>
      <c r="AK1751" t="str">
        <f>T("898")</f>
        <v>898</v>
      </c>
    </row>
    <row r="1752" spans="1:37" x14ac:dyDescent="0.3">
      <c r="A1752" t="s">
        <v>5455</v>
      </c>
      <c r="B1752" t="s">
        <v>5456</v>
      </c>
      <c r="C1752" t="s">
        <v>5457</v>
      </c>
      <c r="D1752" t="s">
        <v>7</v>
      </c>
      <c r="AG1752" t="str">
        <f>T("4140")</f>
        <v>4140</v>
      </c>
      <c r="AH1752" t="str">
        <f>T("22")</f>
        <v>22</v>
      </c>
    </row>
    <row r="1753" spans="1:37" x14ac:dyDescent="0.3">
      <c r="A1753" t="s">
        <v>5458</v>
      </c>
      <c r="B1753" t="s">
        <v>5459</v>
      </c>
      <c r="C1753" t="s">
        <v>5460</v>
      </c>
      <c r="D1753" t="s">
        <v>7</v>
      </c>
      <c r="AG1753" t="str">
        <f>T("3937")</f>
        <v>3937</v>
      </c>
      <c r="AH1753" t="str">
        <f>T("19")</f>
        <v>19</v>
      </c>
      <c r="AK1753" t="str">
        <f>T("1159")</f>
        <v>1159</v>
      </c>
    </row>
    <row r="1754" spans="1:37" x14ac:dyDescent="0.3">
      <c r="A1754" t="s">
        <v>5461</v>
      </c>
      <c r="B1754" t="s">
        <v>5462</v>
      </c>
      <c r="C1754" t="s">
        <v>5463</v>
      </c>
      <c r="D1754" t="s">
        <v>7</v>
      </c>
      <c r="AG1754" t="str">
        <f>T("3405")</f>
        <v>3405</v>
      </c>
      <c r="AH1754" t="str">
        <f>T("7")</f>
        <v>7</v>
      </c>
      <c r="AK1754" t="str">
        <f>T("983")</f>
        <v>983</v>
      </c>
    </row>
    <row r="1755" spans="1:37" x14ac:dyDescent="0.3">
      <c r="A1755" t="s">
        <v>5464</v>
      </c>
      <c r="B1755" t="s">
        <v>5465</v>
      </c>
      <c r="C1755" t="s">
        <v>5466</v>
      </c>
      <c r="D1755" t="s">
        <v>773</v>
      </c>
      <c r="K1755" t="str">
        <f>T("172.150")</f>
        <v>172.150</v>
      </c>
      <c r="L1755" t="str">
        <f>T("178.2550")</f>
        <v>178.2550</v>
      </c>
    </row>
    <row r="1756" spans="1:37" x14ac:dyDescent="0.3">
      <c r="A1756" t="s">
        <v>5467</v>
      </c>
      <c r="B1756" t="s">
        <v>5468</v>
      </c>
      <c r="C1756" t="s">
        <v>5469</v>
      </c>
      <c r="D1756" t="s">
        <v>7</v>
      </c>
      <c r="AG1756" t="str">
        <f>T("3938")</f>
        <v>3938</v>
      </c>
      <c r="AH1756" t="str">
        <f>T("19")</f>
        <v>19</v>
      </c>
      <c r="AK1756" t="str">
        <f>T("986")</f>
        <v>986</v>
      </c>
    </row>
    <row r="1757" spans="1:37" x14ac:dyDescent="0.3">
      <c r="A1757" t="s">
        <v>5470</v>
      </c>
      <c r="B1757" t="s">
        <v>5471</v>
      </c>
      <c r="C1757" t="s">
        <v>5472</v>
      </c>
      <c r="D1757" t="s">
        <v>7</v>
      </c>
      <c r="AG1757" t="str">
        <f>T("3635")</f>
        <v>3635</v>
      </c>
      <c r="AH1757" t="str">
        <f>T("12")</f>
        <v>12</v>
      </c>
      <c r="AK1757" t="str">
        <f>T("1450")</f>
        <v>1450</v>
      </c>
    </row>
    <row r="1758" spans="1:37" x14ac:dyDescent="0.3">
      <c r="A1758" t="s">
        <v>5473</v>
      </c>
      <c r="B1758" t="s">
        <v>5474</v>
      </c>
      <c r="C1758" t="s">
        <v>5475</v>
      </c>
      <c r="D1758" t="s">
        <v>7</v>
      </c>
      <c r="K1758" t="str">
        <f>T("172.515")</f>
        <v>172.515</v>
      </c>
      <c r="AG1758" t="str">
        <f>T("2804")</f>
        <v>2804</v>
      </c>
      <c r="AH1758" t="str">
        <f>T("3")</f>
        <v>3</v>
      </c>
      <c r="AK1758" t="str">
        <f>T("604")</f>
        <v>604</v>
      </c>
    </row>
    <row r="1759" spans="1:37" x14ac:dyDescent="0.3">
      <c r="A1759" t="s">
        <v>5476</v>
      </c>
      <c r="B1759" t="s">
        <v>5477</v>
      </c>
      <c r="C1759" t="s">
        <v>5478</v>
      </c>
      <c r="D1759" t="s">
        <v>7</v>
      </c>
      <c r="AG1759" t="str">
        <f>T("4141")</f>
        <v>4141</v>
      </c>
      <c r="AH1759" t="str">
        <f>T("22")</f>
        <v>22</v>
      </c>
      <c r="AK1759" t="str">
        <f>T("1990")</f>
        <v>1990</v>
      </c>
    </row>
    <row r="1760" spans="1:37" x14ac:dyDescent="0.3">
      <c r="A1760" t="s">
        <v>5479</v>
      </c>
      <c r="B1760" t="s">
        <v>5480</v>
      </c>
      <c r="C1760" t="s">
        <v>5481</v>
      </c>
      <c r="D1760" t="s">
        <v>7</v>
      </c>
      <c r="AG1760" t="str">
        <f>T("3989")</f>
        <v>3989</v>
      </c>
      <c r="AH1760" t="str">
        <f>T("20")</f>
        <v>20</v>
      </c>
      <c r="AK1760" t="str">
        <f>T("2034")</f>
        <v>2034</v>
      </c>
    </row>
    <row r="1761" spans="1:37" x14ac:dyDescent="0.3">
      <c r="A1761" t="s">
        <v>5482</v>
      </c>
      <c r="B1761" t="s">
        <v>5483</v>
      </c>
      <c r="C1761" t="s">
        <v>5484</v>
      </c>
      <c r="D1761" t="s">
        <v>7</v>
      </c>
      <c r="AG1761" t="str">
        <f>T("3989")</f>
        <v>3989</v>
      </c>
      <c r="AH1761" t="str">
        <f>T("20")</f>
        <v>20</v>
      </c>
      <c r="AK1761" t="str">
        <f>T("2034")</f>
        <v>2034</v>
      </c>
    </row>
    <row r="1762" spans="1:37" x14ac:dyDescent="0.3">
      <c r="A1762" t="s">
        <v>5485</v>
      </c>
      <c r="B1762" t="s">
        <v>5486</v>
      </c>
      <c r="C1762" t="s">
        <v>5487</v>
      </c>
      <c r="D1762" t="s">
        <v>7</v>
      </c>
      <c r="AG1762" t="str">
        <f>T("4051")</f>
        <v>4051</v>
      </c>
      <c r="AH1762" t="str">
        <f>T("21")</f>
        <v>21</v>
      </c>
      <c r="AK1762" t="str">
        <f>T("1157")</f>
        <v>1157</v>
      </c>
    </row>
    <row r="1763" spans="1:37" x14ac:dyDescent="0.3">
      <c r="A1763" t="s">
        <v>5488</v>
      </c>
      <c r="B1763" t="s">
        <v>5489</v>
      </c>
      <c r="C1763" t="s">
        <v>5490</v>
      </c>
      <c r="D1763" t="s">
        <v>7</v>
      </c>
      <c r="AG1763" t="str">
        <f>T("4687")</f>
        <v>4687</v>
      </c>
      <c r="AH1763" t="str">
        <f>T("25")</f>
        <v>25</v>
      </c>
    </row>
    <row r="1764" spans="1:37" x14ac:dyDescent="0.3">
      <c r="A1764" t="s">
        <v>5491</v>
      </c>
      <c r="B1764" t="s">
        <v>5492</v>
      </c>
      <c r="C1764" t="s">
        <v>5493</v>
      </c>
      <c r="D1764" t="s">
        <v>7</v>
      </c>
      <c r="AG1764" t="str">
        <f>T("3803")</f>
        <v>3803</v>
      </c>
      <c r="AH1764" t="str">
        <f>T("17")</f>
        <v>17</v>
      </c>
      <c r="AK1764" t="str">
        <f>T("437")</f>
        <v>437</v>
      </c>
    </row>
    <row r="1765" spans="1:37" x14ac:dyDescent="0.3">
      <c r="A1765" t="s">
        <v>5494</v>
      </c>
      <c r="B1765" t="s">
        <v>5495</v>
      </c>
      <c r="C1765" t="s">
        <v>5496</v>
      </c>
      <c r="D1765" t="s">
        <v>7</v>
      </c>
      <c r="AG1765" t="str">
        <f>T("3292")</f>
        <v>3292</v>
      </c>
      <c r="AH1765" t="str">
        <f>T("5")</f>
        <v>5</v>
      </c>
      <c r="AK1765" t="str">
        <f>T("1839")</f>
        <v>1839</v>
      </c>
    </row>
    <row r="1766" spans="1:37" x14ac:dyDescent="0.3">
      <c r="A1766" t="s">
        <v>5497</v>
      </c>
      <c r="B1766" t="s">
        <v>5498</v>
      </c>
      <c r="C1766" t="s">
        <v>5499</v>
      </c>
      <c r="D1766" t="s">
        <v>7</v>
      </c>
      <c r="AG1766" t="str">
        <f>T("4142")</f>
        <v>4142</v>
      </c>
      <c r="AH1766" t="str">
        <f>T("22")</f>
        <v>22</v>
      </c>
      <c r="AK1766" t="str">
        <f>T("1750")</f>
        <v>1750</v>
      </c>
    </row>
    <row r="1767" spans="1:37" x14ac:dyDescent="0.3">
      <c r="A1767" t="s">
        <v>5500</v>
      </c>
      <c r="B1767" t="s">
        <v>5501</v>
      </c>
      <c r="C1767" t="s">
        <v>5502</v>
      </c>
      <c r="D1767" t="s">
        <v>7</v>
      </c>
      <c r="AG1767" t="str">
        <f>T("3356")</f>
        <v>3356</v>
      </c>
      <c r="AH1767" t="str">
        <f>T("6")</f>
        <v>6</v>
      </c>
      <c r="AI1767" t="str">
        <f>T("25")</f>
        <v>25</v>
      </c>
      <c r="AK1767" t="str">
        <f>T("230")</f>
        <v>230</v>
      </c>
    </row>
    <row r="1768" spans="1:37" x14ac:dyDescent="0.3">
      <c r="A1768" t="s">
        <v>5503</v>
      </c>
      <c r="B1768" t="s">
        <v>5504</v>
      </c>
      <c r="C1768" t="s">
        <v>5505</v>
      </c>
      <c r="D1768" t="s">
        <v>7</v>
      </c>
      <c r="AG1768" t="str">
        <f>T("4139")</f>
        <v>4139</v>
      </c>
      <c r="AH1768" t="str">
        <f>T("22")</f>
        <v>22</v>
      </c>
      <c r="AK1768" t="str">
        <f>T("2035")</f>
        <v>2035</v>
      </c>
    </row>
    <row r="1769" spans="1:37" x14ac:dyDescent="0.3">
      <c r="A1769" t="s">
        <v>5506</v>
      </c>
      <c r="B1769" t="s">
        <v>5507</v>
      </c>
      <c r="C1769" t="s">
        <v>5508</v>
      </c>
      <c r="D1769" t="s">
        <v>7</v>
      </c>
      <c r="K1769" t="str">
        <f>T("172.515")</f>
        <v>172.515</v>
      </c>
      <c r="AG1769" t="str">
        <f>T("2587")</f>
        <v>2587</v>
      </c>
      <c r="AH1769" t="str">
        <f>T("3")</f>
        <v>3</v>
      </c>
      <c r="AI1769" t="str">
        <f>T("25")</f>
        <v>25</v>
      </c>
      <c r="AK1769" t="str">
        <f>T("416")</f>
        <v>416</v>
      </c>
    </row>
    <row r="1770" spans="1:37" x14ac:dyDescent="0.3">
      <c r="A1770" t="s">
        <v>5509</v>
      </c>
      <c r="B1770" t="s">
        <v>5510</v>
      </c>
      <c r="C1770" t="s">
        <v>5511</v>
      </c>
      <c r="D1770" t="s">
        <v>7</v>
      </c>
      <c r="AG1770" t="str">
        <f>T("3843")</f>
        <v>3843</v>
      </c>
      <c r="AH1770" t="str">
        <f>T("18")</f>
        <v>18</v>
      </c>
      <c r="AK1770" t="str">
        <f>T("635")</f>
        <v>635</v>
      </c>
    </row>
    <row r="1771" spans="1:37" x14ac:dyDescent="0.3">
      <c r="A1771" t="s">
        <v>5512</v>
      </c>
      <c r="B1771" t="s">
        <v>5513</v>
      </c>
      <c r="C1771" t="s">
        <v>5514</v>
      </c>
      <c r="D1771" t="s">
        <v>7</v>
      </c>
      <c r="AG1771" t="str">
        <f>T("3550")</f>
        <v>3550</v>
      </c>
      <c r="AH1771" t="str">
        <f>T("11")</f>
        <v>11</v>
      </c>
      <c r="AK1771" t="str">
        <f>T("409")</f>
        <v>409</v>
      </c>
    </row>
    <row r="1772" spans="1:37" x14ac:dyDescent="0.3">
      <c r="A1772" t="s">
        <v>5515</v>
      </c>
      <c r="B1772" t="s">
        <v>5516</v>
      </c>
      <c r="C1772" t="s">
        <v>5517</v>
      </c>
      <c r="D1772" t="s">
        <v>7</v>
      </c>
      <c r="AG1772" t="str">
        <f>T("3293")</f>
        <v>3293</v>
      </c>
      <c r="AH1772" t="str">
        <f>T("5")</f>
        <v>5</v>
      </c>
      <c r="AI1772" t="str">
        <f>T("25")</f>
        <v>25</v>
      </c>
      <c r="AK1772" t="str">
        <f>T("221")</f>
        <v>221</v>
      </c>
    </row>
    <row r="1773" spans="1:37" x14ac:dyDescent="0.3">
      <c r="A1773" t="s">
        <v>5518</v>
      </c>
      <c r="B1773" t="s">
        <v>5519</v>
      </c>
      <c r="C1773" t="s">
        <v>5520</v>
      </c>
      <c r="D1773" t="s">
        <v>7</v>
      </c>
      <c r="AG1773" t="str">
        <f>T("4052")</f>
        <v>4052</v>
      </c>
      <c r="AH1773" t="str">
        <f>T("21")</f>
        <v>21</v>
      </c>
      <c r="AK1773" t="str">
        <f>T("2041")</f>
        <v>2041</v>
      </c>
    </row>
    <row r="1774" spans="1:37" x14ac:dyDescent="0.3">
      <c r="A1774" t="s">
        <v>5521</v>
      </c>
      <c r="B1774" t="s">
        <v>5522</v>
      </c>
      <c r="C1774" t="s">
        <v>5523</v>
      </c>
      <c r="D1774" t="s">
        <v>7</v>
      </c>
      <c r="K1774" t="str">
        <f>T("172.515")</f>
        <v>172.515</v>
      </c>
      <c r="AG1774" t="str">
        <f>T("2588")</f>
        <v>2588</v>
      </c>
      <c r="AH1774" t="str">
        <f>T("3")</f>
        <v>3</v>
      </c>
      <c r="AK1774" t="str">
        <f>T("728")</f>
        <v>728</v>
      </c>
    </row>
    <row r="1775" spans="1:37" x14ac:dyDescent="0.3">
      <c r="A1775" t="s">
        <v>5524</v>
      </c>
      <c r="B1775" t="s">
        <v>5525</v>
      </c>
      <c r="C1775" t="s">
        <v>5526</v>
      </c>
      <c r="D1775" t="s">
        <v>7</v>
      </c>
      <c r="AG1775" t="str">
        <f>T("4270")</f>
        <v>4270</v>
      </c>
      <c r="AH1775" t="str">
        <f>T("23")</f>
        <v>23</v>
      </c>
    </row>
    <row r="1776" spans="1:37" x14ac:dyDescent="0.3">
      <c r="A1776" t="s">
        <v>5527</v>
      </c>
      <c r="B1776" t="s">
        <v>5528</v>
      </c>
      <c r="C1776" t="s">
        <v>5529</v>
      </c>
      <c r="D1776" t="s">
        <v>7</v>
      </c>
      <c r="AG1776" t="str">
        <f>T("4721")</f>
        <v>4721</v>
      </c>
      <c r="AH1776" t="str">
        <f>T("25")</f>
        <v>25</v>
      </c>
      <c r="AK1776" t="str">
        <f>T("2158")</f>
        <v>2158</v>
      </c>
    </row>
    <row r="1777" spans="1:37" x14ac:dyDescent="0.3">
      <c r="A1777" t="s">
        <v>5530</v>
      </c>
      <c r="B1777" t="s">
        <v>5531</v>
      </c>
      <c r="C1777" t="s">
        <v>5532</v>
      </c>
      <c r="D1777" t="s">
        <v>7</v>
      </c>
      <c r="AG1777" t="str">
        <f>T("4143")</f>
        <v>4143</v>
      </c>
      <c r="AH1777" t="str">
        <f>T("22")</f>
        <v>22</v>
      </c>
      <c r="AK1777" t="str">
        <f>T("2038")</f>
        <v>2038</v>
      </c>
    </row>
    <row r="1778" spans="1:37" x14ac:dyDescent="0.3">
      <c r="A1778" t="s">
        <v>5533</v>
      </c>
      <c r="B1778" t="s">
        <v>5534</v>
      </c>
      <c r="C1778" t="s">
        <v>5535</v>
      </c>
    </row>
    <row r="1779" spans="1:37" x14ac:dyDescent="0.3">
      <c r="A1779" t="s">
        <v>5536</v>
      </c>
      <c r="B1779" t="s">
        <v>5537</v>
      </c>
      <c r="C1779" t="s">
        <v>5538</v>
      </c>
      <c r="D1779" t="s">
        <v>5539</v>
      </c>
      <c r="E1779" t="str">
        <f>T("73.1001")</f>
        <v>73.1001</v>
      </c>
      <c r="K1779" t="str">
        <f>T("172.870")</f>
        <v>172.870</v>
      </c>
      <c r="L1779" t="str">
        <f>T("177.1200")</f>
        <v>177.1200</v>
      </c>
    </row>
    <row r="1780" spans="1:37" x14ac:dyDescent="0.3">
      <c r="A1780" t="s">
        <v>5540</v>
      </c>
      <c r="B1780" t="s">
        <v>5541</v>
      </c>
      <c r="C1780" t="s">
        <v>5542</v>
      </c>
      <c r="D1780" t="s">
        <v>5543</v>
      </c>
      <c r="K1780" t="str">
        <f>T("172.874")</f>
        <v>172.874</v>
      </c>
      <c r="L1780" t="str">
        <f>T("175.105")</f>
        <v>175.105</v>
      </c>
      <c r="M1780" t="str">
        <f>T("175.300")</f>
        <v>175.300</v>
      </c>
      <c r="N1780" t="str">
        <f>T("177.1960")</f>
        <v>177.1960</v>
      </c>
    </row>
    <row r="1781" spans="1:37" x14ac:dyDescent="0.3">
      <c r="A1781" t="s">
        <v>5544</v>
      </c>
      <c r="B1781" t="s">
        <v>5545</v>
      </c>
      <c r="C1781" t="s">
        <v>5546</v>
      </c>
      <c r="D1781" t="s">
        <v>7</v>
      </c>
      <c r="AG1781" t="str">
        <f>T("3459")</f>
        <v>3459</v>
      </c>
      <c r="AH1781" t="str">
        <f>T("9")</f>
        <v>9</v>
      </c>
      <c r="AI1781" t="str">
        <f>T("25")</f>
        <v>25</v>
      </c>
      <c r="AK1781" t="str">
        <f>T("426")</f>
        <v>426</v>
      </c>
    </row>
    <row r="1782" spans="1:37" x14ac:dyDescent="0.3">
      <c r="A1782" t="s">
        <v>5547</v>
      </c>
      <c r="B1782" t="s">
        <v>5548</v>
      </c>
      <c r="C1782" t="s">
        <v>5549</v>
      </c>
      <c r="D1782" t="s">
        <v>7</v>
      </c>
      <c r="AG1782" t="str">
        <f>T("3294")</f>
        <v>3294</v>
      </c>
      <c r="AH1782" t="str">
        <f>T("5")</f>
        <v>5</v>
      </c>
      <c r="AI1782" t="str">
        <f>T("25")</f>
        <v>25</v>
      </c>
      <c r="AK1782" t="str">
        <f>T("234")</f>
        <v>234</v>
      </c>
    </row>
    <row r="1783" spans="1:37" x14ac:dyDescent="0.3">
      <c r="A1783" t="s">
        <v>5550</v>
      </c>
      <c r="B1783" t="s">
        <v>5551</v>
      </c>
      <c r="C1783" t="s">
        <v>5552</v>
      </c>
      <c r="D1783" t="s">
        <v>7</v>
      </c>
      <c r="AG1783" t="str">
        <f>T("3758")</f>
        <v>3758</v>
      </c>
      <c r="AH1783" t="str">
        <f>T("15")</f>
        <v>15</v>
      </c>
      <c r="AK1783" t="str">
        <f>T("248")</f>
        <v>248</v>
      </c>
    </row>
    <row r="1784" spans="1:37" x14ac:dyDescent="0.3">
      <c r="A1784" t="s">
        <v>5553</v>
      </c>
      <c r="B1784" t="s">
        <v>5554</v>
      </c>
      <c r="C1784" t="s">
        <v>5555</v>
      </c>
      <c r="D1784" t="s">
        <v>7</v>
      </c>
      <c r="K1784" t="str">
        <f>T("182.20")</f>
        <v>182.20</v>
      </c>
      <c r="AG1784" t="str">
        <f>T("2590")</f>
        <v>2590</v>
      </c>
      <c r="AH1784" t="str">
        <f>T("3")</f>
        <v>3</v>
      </c>
    </row>
    <row r="1785" spans="1:37" x14ac:dyDescent="0.3">
      <c r="A1785" t="s">
        <v>5556</v>
      </c>
      <c r="B1785" t="s">
        <v>5557</v>
      </c>
      <c r="C1785" t="s">
        <v>5558</v>
      </c>
      <c r="D1785" t="s">
        <v>7</v>
      </c>
      <c r="K1785" t="str">
        <f>T("182.10")</f>
        <v>182.10</v>
      </c>
      <c r="AG1785" t="str">
        <f>T("2589")</f>
        <v>2589</v>
      </c>
      <c r="AH1785" t="str">
        <f>T("3")</f>
        <v>3</v>
      </c>
    </row>
    <row r="1786" spans="1:37" x14ac:dyDescent="0.3">
      <c r="A1786" t="s">
        <v>5559</v>
      </c>
      <c r="B1786" t="s">
        <v>5560</v>
      </c>
      <c r="C1786" t="s">
        <v>5561</v>
      </c>
      <c r="D1786" t="s">
        <v>7</v>
      </c>
      <c r="K1786" t="str">
        <f>T("182.20")</f>
        <v>182.20</v>
      </c>
      <c r="AG1786" t="str">
        <f>T("2591")</f>
        <v>2591</v>
      </c>
      <c r="AH1786" t="str">
        <f>T("3")</f>
        <v>3</v>
      </c>
    </row>
    <row r="1787" spans="1:37" x14ac:dyDescent="0.3">
      <c r="A1787" t="s">
        <v>5562</v>
      </c>
      <c r="B1787" t="s">
        <v>5563</v>
      </c>
      <c r="C1787" t="s">
        <v>5564</v>
      </c>
      <c r="K1787" t="str">
        <f>T("172.510")</f>
        <v>172.510</v>
      </c>
    </row>
    <row r="1788" spans="1:37" x14ac:dyDescent="0.3">
      <c r="A1788" t="s">
        <v>5565</v>
      </c>
      <c r="B1788" t="s">
        <v>5566</v>
      </c>
      <c r="C1788" t="s">
        <v>5567</v>
      </c>
      <c r="K1788" t="str">
        <f>T("182.20")</f>
        <v>182.20</v>
      </c>
    </row>
    <row r="1789" spans="1:37" x14ac:dyDescent="0.3">
      <c r="A1789" t="s">
        <v>5568</v>
      </c>
      <c r="B1789" t="s">
        <v>5569</v>
      </c>
      <c r="C1789" t="s">
        <v>5570</v>
      </c>
      <c r="D1789" t="s">
        <v>7</v>
      </c>
      <c r="K1789" t="str">
        <f>T("182.20")</f>
        <v>182.20</v>
      </c>
      <c r="AG1789" t="str">
        <f>T("2592")</f>
        <v>2592</v>
      </c>
      <c r="AH1789" t="str">
        <f>T("3")</f>
        <v>3</v>
      </c>
    </row>
    <row r="1790" spans="1:37" x14ac:dyDescent="0.3">
      <c r="A1790" t="s">
        <v>5571</v>
      </c>
      <c r="B1790" t="s">
        <v>5572</v>
      </c>
      <c r="C1790" t="s">
        <v>5573</v>
      </c>
      <c r="D1790" t="s">
        <v>7</v>
      </c>
      <c r="K1790" t="str">
        <f>T("172.510")</f>
        <v>172.510</v>
      </c>
    </row>
    <row r="1791" spans="1:37" x14ac:dyDescent="0.3">
      <c r="A1791" t="s">
        <v>5574</v>
      </c>
      <c r="B1791" t="s">
        <v>5575</v>
      </c>
      <c r="C1791" t="s">
        <v>5576</v>
      </c>
      <c r="D1791" t="s">
        <v>7</v>
      </c>
      <c r="K1791" t="str">
        <f>T("172.515")</f>
        <v>172.515</v>
      </c>
      <c r="AG1791" t="str">
        <f>T("2593")</f>
        <v>2593</v>
      </c>
      <c r="AH1791" t="str">
        <f>T("3")</f>
        <v>3</v>
      </c>
      <c r="AI1791" t="str">
        <f>T("25")</f>
        <v>25</v>
      </c>
      <c r="AK1791" t="str">
        <f>T("1301")</f>
        <v>1301</v>
      </c>
    </row>
    <row r="1792" spans="1:37" x14ac:dyDescent="0.3">
      <c r="A1792" t="s">
        <v>5577</v>
      </c>
      <c r="B1792" t="s">
        <v>5578</v>
      </c>
      <c r="C1792" t="s">
        <v>5579</v>
      </c>
      <c r="D1792" t="s">
        <v>137</v>
      </c>
      <c r="K1792" t="str">
        <f>T("184.1370")</f>
        <v>184.1370</v>
      </c>
      <c r="AF1792" t="str">
        <f>T("107.1")</f>
        <v>107.1</v>
      </c>
    </row>
    <row r="1793" spans="1:37" x14ac:dyDescent="0.3">
      <c r="A1793" t="s">
        <v>5580</v>
      </c>
      <c r="B1793" t="s">
        <v>5581</v>
      </c>
      <c r="C1793" t="s">
        <v>5582</v>
      </c>
      <c r="D1793" t="s">
        <v>74</v>
      </c>
      <c r="K1793" t="str">
        <f>T("184.1372")</f>
        <v>184.1372</v>
      </c>
    </row>
    <row r="1794" spans="1:37" x14ac:dyDescent="0.3">
      <c r="A1794" t="s">
        <v>5583</v>
      </c>
      <c r="B1794" t="s">
        <v>5584</v>
      </c>
      <c r="C1794" t="s">
        <v>5585</v>
      </c>
      <c r="D1794" t="s">
        <v>1965</v>
      </c>
    </row>
    <row r="1795" spans="1:37" x14ac:dyDescent="0.3">
      <c r="A1795" t="s">
        <v>5586</v>
      </c>
      <c r="B1795" t="s">
        <v>5587</v>
      </c>
      <c r="C1795" t="s">
        <v>5588</v>
      </c>
      <c r="D1795" t="s">
        <v>5589</v>
      </c>
      <c r="E1795" t="str">
        <f>T("73.85")</f>
        <v>73.85</v>
      </c>
      <c r="K1795" t="str">
        <f>T("184.1859")</f>
        <v>184.1859</v>
      </c>
      <c r="AF1795" t="s">
        <v>5590</v>
      </c>
    </row>
    <row r="1796" spans="1:37" x14ac:dyDescent="0.3">
      <c r="A1796" t="s">
        <v>5591</v>
      </c>
      <c r="B1796" t="s">
        <v>5592</v>
      </c>
      <c r="C1796" t="s">
        <v>5593</v>
      </c>
      <c r="D1796" t="s">
        <v>5594</v>
      </c>
      <c r="AF1796" t="s">
        <v>5595</v>
      </c>
    </row>
    <row r="1797" spans="1:37" x14ac:dyDescent="0.3">
      <c r="A1797" t="s">
        <v>5596</v>
      </c>
      <c r="B1797" t="s">
        <v>5597</v>
      </c>
      <c r="C1797" t="s">
        <v>5598</v>
      </c>
      <c r="D1797" t="s">
        <v>7</v>
      </c>
      <c r="AG1797" t="str">
        <f>T("4264")</f>
        <v>4264</v>
      </c>
      <c r="AH1797" t="str">
        <f>T("23")</f>
        <v>23</v>
      </c>
    </row>
    <row r="1798" spans="1:37" x14ac:dyDescent="0.3">
      <c r="A1798" t="s">
        <v>5599</v>
      </c>
      <c r="B1798" t="s">
        <v>5600</v>
      </c>
      <c r="C1798" t="s">
        <v>5601</v>
      </c>
      <c r="D1798" t="s">
        <v>199</v>
      </c>
      <c r="K1798" t="str">
        <f>T("173.20")</f>
        <v>173.20</v>
      </c>
    </row>
    <row r="1799" spans="1:37" x14ac:dyDescent="0.3">
      <c r="A1799" t="s">
        <v>5602</v>
      </c>
      <c r="B1799" t="s">
        <v>5603</v>
      </c>
      <c r="C1799" t="s">
        <v>5604</v>
      </c>
      <c r="D1799" t="s">
        <v>199</v>
      </c>
      <c r="K1799" t="str">
        <f>T("173.25")</f>
        <v>173.25</v>
      </c>
      <c r="AF1799" t="s">
        <v>5605</v>
      </c>
    </row>
    <row r="1800" spans="1:37" x14ac:dyDescent="0.3">
      <c r="A1800" t="s">
        <v>5606</v>
      </c>
      <c r="B1800" t="s">
        <v>5607</v>
      </c>
      <c r="C1800" t="s">
        <v>5608</v>
      </c>
      <c r="D1800" t="s">
        <v>4799</v>
      </c>
      <c r="AG1800" t="str">
        <f>T("3624")</f>
        <v>3624</v>
      </c>
      <c r="AH1800" t="str">
        <f>T("12")</f>
        <v>12</v>
      </c>
      <c r="AK1800" t="str">
        <f>T("391")</f>
        <v>391</v>
      </c>
    </row>
    <row r="1801" spans="1:37" x14ac:dyDescent="0.3">
      <c r="A1801" t="s">
        <v>5609</v>
      </c>
      <c r="B1801" t="s">
        <v>5610</v>
      </c>
      <c r="C1801" t="s">
        <v>5611</v>
      </c>
      <c r="D1801" t="s">
        <v>7</v>
      </c>
      <c r="AG1801" t="str">
        <f>T("3625")</f>
        <v>3625</v>
      </c>
      <c r="AH1801" t="str">
        <f>T("12")</f>
        <v>12</v>
      </c>
      <c r="AI1801" t="str">
        <f>T("25")</f>
        <v>25</v>
      </c>
      <c r="AK1801" t="str">
        <f>T("392")</f>
        <v>392</v>
      </c>
    </row>
    <row r="1802" spans="1:37" x14ac:dyDescent="0.3">
      <c r="A1802" t="s">
        <v>5612</v>
      </c>
      <c r="B1802" t="s">
        <v>5613</v>
      </c>
      <c r="C1802" t="s">
        <v>5614</v>
      </c>
      <c r="D1802" t="s">
        <v>7</v>
      </c>
      <c r="K1802" t="str">
        <f>T("172.515")</f>
        <v>172.515</v>
      </c>
      <c r="AG1802" t="str">
        <f>T("2594")</f>
        <v>2594</v>
      </c>
      <c r="AH1802" t="str">
        <f>T("3")</f>
        <v>3</v>
      </c>
      <c r="AK1802" t="str">
        <f>T("388")</f>
        <v>388</v>
      </c>
    </row>
    <row r="1803" spans="1:37" x14ac:dyDescent="0.3">
      <c r="A1803" t="s">
        <v>5615</v>
      </c>
      <c r="B1803" t="s">
        <v>5616</v>
      </c>
      <c r="C1803" t="s">
        <v>5617</v>
      </c>
      <c r="D1803" t="s">
        <v>7</v>
      </c>
      <c r="K1803" t="str">
        <f>T("172.515")</f>
        <v>172.515</v>
      </c>
      <c r="AG1803" t="str">
        <f>T("2595")</f>
        <v>2595</v>
      </c>
      <c r="AH1803" t="str">
        <f>T("3")</f>
        <v>3</v>
      </c>
      <c r="AK1803" t="str">
        <f>T("389")</f>
        <v>389</v>
      </c>
    </row>
    <row r="1804" spans="1:37" x14ac:dyDescent="0.3">
      <c r="A1804" t="s">
        <v>5618</v>
      </c>
      <c r="B1804" t="s">
        <v>5619</v>
      </c>
      <c r="C1804" t="s">
        <v>5620</v>
      </c>
      <c r="D1804" t="s">
        <v>7</v>
      </c>
      <c r="AG1804" t="str">
        <f>T("4144")</f>
        <v>4144</v>
      </c>
      <c r="AH1804" t="str">
        <f>T("22")</f>
        <v>22</v>
      </c>
      <c r="AK1804" t="str">
        <f>T("1571")</f>
        <v>1571</v>
      </c>
    </row>
    <row r="1805" spans="1:37" x14ac:dyDescent="0.3">
      <c r="A1805" t="s">
        <v>5621</v>
      </c>
      <c r="B1805" t="s">
        <v>5622</v>
      </c>
      <c r="C1805" t="s">
        <v>5623</v>
      </c>
      <c r="D1805" t="s">
        <v>7</v>
      </c>
      <c r="AG1805" t="str">
        <f>T("3175")</f>
        <v>3175</v>
      </c>
      <c r="AH1805" t="str">
        <f>T("4")</f>
        <v>4</v>
      </c>
      <c r="AI1805" t="str">
        <f>T("25")</f>
        <v>25</v>
      </c>
      <c r="AK1805" t="str">
        <f>T("390")</f>
        <v>390</v>
      </c>
    </row>
    <row r="1806" spans="1:37" x14ac:dyDescent="0.3">
      <c r="A1806" t="s">
        <v>5624</v>
      </c>
      <c r="B1806" t="s">
        <v>5625</v>
      </c>
      <c r="C1806" t="s">
        <v>5626</v>
      </c>
      <c r="D1806" t="s">
        <v>7</v>
      </c>
      <c r="AG1806" t="str">
        <f>T("3844")</f>
        <v>3844</v>
      </c>
      <c r="AH1806" t="str">
        <f>T("18")</f>
        <v>18</v>
      </c>
      <c r="AK1806" t="str">
        <f>T("1409")</f>
        <v>1409</v>
      </c>
    </row>
    <row r="1807" spans="1:37" x14ac:dyDescent="0.3">
      <c r="A1807" t="s">
        <v>5627</v>
      </c>
      <c r="B1807" t="s">
        <v>5628</v>
      </c>
      <c r="C1807" t="s">
        <v>5629</v>
      </c>
      <c r="D1807" t="s">
        <v>5630</v>
      </c>
      <c r="K1807" t="str">
        <f>T("172.430")</f>
        <v>172.430</v>
      </c>
      <c r="L1807" t="str">
        <f>T("182.20")</f>
        <v>182.20</v>
      </c>
      <c r="M1807" t="str">
        <f>T("184.1296")</f>
        <v>184.1296</v>
      </c>
    </row>
    <row r="1808" spans="1:37" x14ac:dyDescent="0.3">
      <c r="A1808" t="s">
        <v>5631</v>
      </c>
      <c r="B1808" t="s">
        <v>5632</v>
      </c>
      <c r="C1808" t="s">
        <v>5633</v>
      </c>
      <c r="D1808" t="s">
        <v>1675</v>
      </c>
      <c r="K1808" t="str">
        <f>T("175.300")</f>
        <v>175.300</v>
      </c>
      <c r="L1808" t="str">
        <f>T("181.25")</f>
        <v>181.25</v>
      </c>
    </row>
    <row r="1809" spans="1:37" x14ac:dyDescent="0.3">
      <c r="A1809" t="s">
        <v>5634</v>
      </c>
      <c r="B1809" t="s">
        <v>5635</v>
      </c>
      <c r="C1809" t="s">
        <v>5636</v>
      </c>
      <c r="D1809" t="s">
        <v>137</v>
      </c>
      <c r="K1809" t="str">
        <f>T("172.370")</f>
        <v>172.370</v>
      </c>
    </row>
    <row r="1810" spans="1:37" x14ac:dyDescent="0.3">
      <c r="A1810" t="s">
        <v>5637</v>
      </c>
      <c r="B1810" t="s">
        <v>5638</v>
      </c>
      <c r="C1810" t="s">
        <v>5639</v>
      </c>
      <c r="D1810" t="s">
        <v>137</v>
      </c>
      <c r="K1810" t="str">
        <f>T("184.1298")</f>
        <v>184.1298</v>
      </c>
    </row>
    <row r="1811" spans="1:37" x14ac:dyDescent="0.3">
      <c r="A1811" t="s">
        <v>5640</v>
      </c>
      <c r="B1811" t="s">
        <v>5641</v>
      </c>
      <c r="C1811" t="s">
        <v>5642</v>
      </c>
      <c r="D1811" t="s">
        <v>7</v>
      </c>
      <c r="K1811" t="str">
        <f>T("172.515")</f>
        <v>172.515</v>
      </c>
      <c r="AG1811" t="str">
        <f>T("2597")</f>
        <v>2597</v>
      </c>
      <c r="AH1811" t="str">
        <f>T("3")</f>
        <v>3</v>
      </c>
      <c r="AI1811" t="str">
        <f>T("25")</f>
        <v>25</v>
      </c>
      <c r="AK1811" t="str">
        <f>T("403")</f>
        <v>403</v>
      </c>
    </row>
    <row r="1812" spans="1:37" x14ac:dyDescent="0.3">
      <c r="A1812" t="s">
        <v>5643</v>
      </c>
      <c r="B1812" t="s">
        <v>5644</v>
      </c>
      <c r="C1812" t="s">
        <v>5645</v>
      </c>
      <c r="D1812" t="s">
        <v>137</v>
      </c>
      <c r="K1812" t="str">
        <f>T("184.1375")</f>
        <v>184.1375</v>
      </c>
      <c r="AF1812" t="str">
        <f>T("111.5")</f>
        <v>111.5</v>
      </c>
    </row>
    <row r="1813" spans="1:37" x14ac:dyDescent="0.3">
      <c r="A1813" t="s">
        <v>5646</v>
      </c>
      <c r="B1813" t="s">
        <v>5647</v>
      </c>
      <c r="C1813" t="s">
        <v>5648</v>
      </c>
      <c r="D1813" t="s">
        <v>1675</v>
      </c>
      <c r="K1813" t="str">
        <f>T("175.300")</f>
        <v>175.300</v>
      </c>
      <c r="L1813" t="str">
        <f>T("181.25")</f>
        <v>181.25</v>
      </c>
    </row>
    <row r="1814" spans="1:37" x14ac:dyDescent="0.3">
      <c r="A1814" t="s">
        <v>5649</v>
      </c>
      <c r="B1814" t="s">
        <v>5650</v>
      </c>
      <c r="C1814" t="s">
        <v>5651</v>
      </c>
      <c r="D1814" t="s">
        <v>1675</v>
      </c>
      <c r="K1814" t="str">
        <f>T("175.300")</f>
        <v>175.300</v>
      </c>
      <c r="L1814" t="str">
        <f>T("181.25")</f>
        <v>181.25</v>
      </c>
    </row>
    <row r="1815" spans="1:37" x14ac:dyDescent="0.3">
      <c r="A1815" t="s">
        <v>5652</v>
      </c>
      <c r="B1815" t="s">
        <v>5653</v>
      </c>
      <c r="C1815" t="s">
        <v>5654</v>
      </c>
      <c r="D1815" t="s">
        <v>5655</v>
      </c>
      <c r="E1815" t="str">
        <f>T("73.200")</f>
        <v>73.200</v>
      </c>
      <c r="K1815" t="str">
        <f>T("175.300")</f>
        <v>175.300</v>
      </c>
      <c r="L1815" t="str">
        <f>T("175.380")</f>
        <v>175.380</v>
      </c>
      <c r="M1815" t="str">
        <f>T("175.390")</f>
        <v>175.390</v>
      </c>
      <c r="N1815" t="str">
        <f>T("176.170")</f>
        <v>176.170</v>
      </c>
      <c r="O1815" t="str">
        <f>T("177.1350")</f>
        <v>177.1350</v>
      </c>
      <c r="P1815" t="str">
        <f>T("177.1460")</f>
        <v>177.1460</v>
      </c>
      <c r="Q1815" t="str">
        <f>T("177.2600")</f>
        <v>177.2600</v>
      </c>
      <c r="R1815" t="str">
        <f>T("178.3297")</f>
        <v>178.3297</v>
      </c>
      <c r="S1815" t="str">
        <f>T("186.1374")</f>
        <v>186.1374</v>
      </c>
    </row>
    <row r="1816" spans="1:37" x14ac:dyDescent="0.3">
      <c r="A1816" t="s">
        <v>5656</v>
      </c>
      <c r="B1816" t="s">
        <v>5657</v>
      </c>
      <c r="C1816" t="s">
        <v>5658</v>
      </c>
      <c r="D1816" t="s">
        <v>137</v>
      </c>
    </row>
    <row r="1817" spans="1:37" x14ac:dyDescent="0.3">
      <c r="A1817" t="s">
        <v>5659</v>
      </c>
      <c r="B1817" t="s">
        <v>5660</v>
      </c>
      <c r="C1817" t="s">
        <v>5661</v>
      </c>
    </row>
    <row r="1818" spans="1:37" x14ac:dyDescent="0.3">
      <c r="A1818" t="s">
        <v>5662</v>
      </c>
      <c r="B1818" t="s">
        <v>5663</v>
      </c>
      <c r="C1818" t="s">
        <v>5664</v>
      </c>
      <c r="D1818" t="s">
        <v>1675</v>
      </c>
      <c r="K1818" t="str">
        <f>T("175.300")</f>
        <v>175.300</v>
      </c>
      <c r="L1818" t="str">
        <f>T("181.25")</f>
        <v>181.25</v>
      </c>
    </row>
    <row r="1819" spans="1:37" x14ac:dyDescent="0.3">
      <c r="A1819" t="s">
        <v>5665</v>
      </c>
      <c r="B1819" t="s">
        <v>5666</v>
      </c>
      <c r="C1819" t="s">
        <v>5667</v>
      </c>
      <c r="D1819" t="s">
        <v>7</v>
      </c>
      <c r="AG1819" t="str">
        <f>T("4145")</f>
        <v>4145</v>
      </c>
      <c r="AH1819" t="str">
        <f>T("22")</f>
        <v>22</v>
      </c>
      <c r="AK1819" t="str">
        <f>T("1991")</f>
        <v>1991</v>
      </c>
    </row>
    <row r="1820" spans="1:37" x14ac:dyDescent="0.3">
      <c r="A1820" t="s">
        <v>5668</v>
      </c>
      <c r="B1820" t="s">
        <v>5669</v>
      </c>
      <c r="C1820" t="s">
        <v>5670</v>
      </c>
      <c r="D1820" t="s">
        <v>7</v>
      </c>
      <c r="K1820" t="str">
        <f t="shared" ref="K1820:K1830" si="17">T("172.515")</f>
        <v>172.515</v>
      </c>
      <c r="AG1820" t="str">
        <f>T("2055")</f>
        <v>2055</v>
      </c>
      <c r="AH1820" t="str">
        <f>T("3")</f>
        <v>3</v>
      </c>
      <c r="AK1820" t="str">
        <f>T("43")</f>
        <v>43</v>
      </c>
    </row>
    <row r="1821" spans="1:37" x14ac:dyDescent="0.3">
      <c r="A1821" t="s">
        <v>5671</v>
      </c>
      <c r="B1821" t="s">
        <v>5672</v>
      </c>
      <c r="C1821" t="s">
        <v>5673</v>
      </c>
      <c r="D1821" t="s">
        <v>7</v>
      </c>
      <c r="K1821" t="str">
        <f t="shared" si="17"/>
        <v>172.515</v>
      </c>
      <c r="AG1821" t="str">
        <f>T("3551")</f>
        <v>3551</v>
      </c>
      <c r="AH1821" t="str">
        <f>T("11")</f>
        <v>11</v>
      </c>
      <c r="AK1821" t="str">
        <f>T("598")</f>
        <v>598</v>
      </c>
    </row>
    <row r="1822" spans="1:37" x14ac:dyDescent="0.3">
      <c r="A1822" t="s">
        <v>5674</v>
      </c>
      <c r="B1822" t="s">
        <v>5675</v>
      </c>
      <c r="C1822" t="s">
        <v>5676</v>
      </c>
      <c r="D1822" t="s">
        <v>7</v>
      </c>
      <c r="K1822" t="str">
        <f t="shared" si="17"/>
        <v>172.515</v>
      </c>
      <c r="AG1822" t="str">
        <f>T("2057")</f>
        <v>2057</v>
      </c>
      <c r="AH1822" t="str">
        <f t="shared" ref="AH1822:AH1829" si="18">T("3")</f>
        <v>3</v>
      </c>
      <c r="AK1822" t="str">
        <f>T("52")</f>
        <v>52</v>
      </c>
    </row>
    <row r="1823" spans="1:37" x14ac:dyDescent="0.3">
      <c r="A1823" t="s">
        <v>5677</v>
      </c>
      <c r="B1823" t="s">
        <v>5678</v>
      </c>
      <c r="C1823" t="s">
        <v>5679</v>
      </c>
      <c r="D1823" t="s">
        <v>7</v>
      </c>
      <c r="K1823" t="str">
        <f t="shared" si="17"/>
        <v>172.515</v>
      </c>
      <c r="AG1823" t="str">
        <f>T("2058")</f>
        <v>2058</v>
      </c>
      <c r="AH1823" t="str">
        <f t="shared" si="18"/>
        <v>3</v>
      </c>
      <c r="AK1823" t="str">
        <f>T("857")</f>
        <v>857</v>
      </c>
    </row>
    <row r="1824" spans="1:37" x14ac:dyDescent="0.3">
      <c r="A1824" t="s">
        <v>5680</v>
      </c>
      <c r="B1824" t="s">
        <v>5681</v>
      </c>
      <c r="C1824" t="s">
        <v>5682</v>
      </c>
      <c r="D1824" t="s">
        <v>7</v>
      </c>
      <c r="K1824" t="str">
        <f t="shared" si="17"/>
        <v>172.515</v>
      </c>
      <c r="AG1824" t="str">
        <f>T("2060")</f>
        <v>2060</v>
      </c>
      <c r="AH1824" t="str">
        <f t="shared" si="18"/>
        <v>3</v>
      </c>
      <c r="AK1824" t="str">
        <f>T("45")</f>
        <v>45</v>
      </c>
    </row>
    <row r="1825" spans="1:37" x14ac:dyDescent="0.3">
      <c r="A1825" t="s">
        <v>5683</v>
      </c>
      <c r="B1825" t="s">
        <v>5684</v>
      </c>
      <c r="C1825" t="s">
        <v>5685</v>
      </c>
      <c r="D1825" t="s">
        <v>7</v>
      </c>
      <c r="K1825" t="str">
        <f t="shared" si="17"/>
        <v>172.515</v>
      </c>
      <c r="AG1825" t="str">
        <f>T("2063")</f>
        <v>2063</v>
      </c>
      <c r="AH1825" t="str">
        <f t="shared" si="18"/>
        <v>3</v>
      </c>
      <c r="AK1825" t="str">
        <f>T("665")</f>
        <v>665</v>
      </c>
    </row>
    <row r="1826" spans="1:37" x14ac:dyDescent="0.3">
      <c r="A1826" t="s">
        <v>5686</v>
      </c>
      <c r="B1826" t="s">
        <v>5687</v>
      </c>
      <c r="C1826" t="s">
        <v>5688</v>
      </c>
      <c r="D1826" t="s">
        <v>7</v>
      </c>
      <c r="K1826" t="str">
        <f t="shared" si="17"/>
        <v>172.515</v>
      </c>
      <c r="AG1826" t="str">
        <f>T("2069")</f>
        <v>2069</v>
      </c>
      <c r="AH1826" t="str">
        <f t="shared" si="18"/>
        <v>3</v>
      </c>
      <c r="AK1826" t="str">
        <f>T("42")</f>
        <v>42</v>
      </c>
    </row>
    <row r="1827" spans="1:37" x14ac:dyDescent="0.3">
      <c r="A1827" t="s">
        <v>5689</v>
      </c>
      <c r="B1827" t="s">
        <v>5690</v>
      </c>
      <c r="C1827" t="s">
        <v>5691</v>
      </c>
      <c r="D1827" t="s">
        <v>7</v>
      </c>
      <c r="K1827" t="str">
        <f t="shared" si="17"/>
        <v>172.515</v>
      </c>
      <c r="AG1827" t="str">
        <f>T("2070")</f>
        <v>2070</v>
      </c>
      <c r="AH1827" t="str">
        <f t="shared" si="18"/>
        <v>3</v>
      </c>
      <c r="AK1827" t="str">
        <f>T("1516")</f>
        <v>1516</v>
      </c>
    </row>
    <row r="1828" spans="1:37" x14ac:dyDescent="0.3">
      <c r="A1828" t="s">
        <v>5692</v>
      </c>
      <c r="B1828" t="s">
        <v>5693</v>
      </c>
      <c r="C1828" t="s">
        <v>5694</v>
      </c>
      <c r="D1828" t="s">
        <v>7</v>
      </c>
      <c r="K1828" t="str">
        <f t="shared" si="17"/>
        <v>172.515</v>
      </c>
      <c r="AG1828" t="str">
        <f>T("2071")</f>
        <v>2071</v>
      </c>
      <c r="AH1828" t="str">
        <f t="shared" si="18"/>
        <v>3</v>
      </c>
      <c r="AK1828" t="str">
        <f>T("1515")</f>
        <v>1515</v>
      </c>
    </row>
    <row r="1829" spans="1:37" x14ac:dyDescent="0.3">
      <c r="A1829" t="s">
        <v>5695</v>
      </c>
      <c r="B1829" t="s">
        <v>5696</v>
      </c>
      <c r="C1829" t="s">
        <v>5697</v>
      </c>
      <c r="D1829" t="s">
        <v>7</v>
      </c>
      <c r="K1829" t="str">
        <f t="shared" si="17"/>
        <v>172.515</v>
      </c>
      <c r="AG1829" t="str">
        <f>T("2075")</f>
        <v>2075</v>
      </c>
      <c r="AH1829" t="str">
        <f t="shared" si="18"/>
        <v>3</v>
      </c>
      <c r="AK1829" t="str">
        <f>T("46")</f>
        <v>46</v>
      </c>
    </row>
    <row r="1830" spans="1:37" x14ac:dyDescent="0.3">
      <c r="A1830" t="s">
        <v>5698</v>
      </c>
      <c r="B1830" t="s">
        <v>5699</v>
      </c>
      <c r="C1830" t="s">
        <v>5700</v>
      </c>
      <c r="D1830" t="s">
        <v>7</v>
      </c>
      <c r="K1830" t="str">
        <f t="shared" si="17"/>
        <v>172.515</v>
      </c>
      <c r="AG1830" t="str">
        <f>T("3507")</f>
        <v>3507</v>
      </c>
      <c r="AH1830" t="str">
        <f>T("10")</f>
        <v>10</v>
      </c>
      <c r="AK1830" t="str">
        <f>T("49")</f>
        <v>49</v>
      </c>
    </row>
    <row r="1831" spans="1:37" x14ac:dyDescent="0.3">
      <c r="A1831" t="s">
        <v>5701</v>
      </c>
      <c r="B1831" t="s">
        <v>5702</v>
      </c>
      <c r="C1831" t="s">
        <v>5703</v>
      </c>
      <c r="D1831" t="s">
        <v>7</v>
      </c>
      <c r="AG1831" t="str">
        <f>T("4423")</f>
        <v>4423</v>
      </c>
      <c r="AH1831" t="str">
        <f>T("23")</f>
        <v>23</v>
      </c>
      <c r="AK1831" t="str">
        <f>T("1887")</f>
        <v>1887</v>
      </c>
    </row>
    <row r="1832" spans="1:37" x14ac:dyDescent="0.3">
      <c r="A1832" t="s">
        <v>5704</v>
      </c>
      <c r="B1832" t="s">
        <v>5705</v>
      </c>
      <c r="C1832" t="s">
        <v>5706</v>
      </c>
      <c r="D1832" t="s">
        <v>7</v>
      </c>
      <c r="K1832" t="str">
        <f>T("172.515")</f>
        <v>172.515</v>
      </c>
      <c r="AG1832" t="str">
        <f>T("2085")</f>
        <v>2085</v>
      </c>
      <c r="AH1832" t="str">
        <f>T("3")</f>
        <v>3</v>
      </c>
      <c r="AK1832" t="str">
        <f>T("50")</f>
        <v>50</v>
      </c>
    </row>
    <row r="1833" spans="1:37" x14ac:dyDescent="0.3">
      <c r="A1833" t="s">
        <v>5707</v>
      </c>
      <c r="B1833" t="s">
        <v>5708</v>
      </c>
      <c r="C1833" t="s">
        <v>5709</v>
      </c>
      <c r="D1833" t="s">
        <v>7</v>
      </c>
      <c r="K1833" t="str">
        <f>T("172.515")</f>
        <v>172.515</v>
      </c>
      <c r="AG1833" t="str">
        <f>T("2077")</f>
        <v>2077</v>
      </c>
      <c r="AH1833" t="str">
        <f>T("3")</f>
        <v>3</v>
      </c>
      <c r="AK1833" t="str">
        <f>T("182")</f>
        <v>182</v>
      </c>
    </row>
    <row r="1834" spans="1:37" x14ac:dyDescent="0.3">
      <c r="A1834" t="s">
        <v>5710</v>
      </c>
      <c r="B1834" t="s">
        <v>5711</v>
      </c>
      <c r="C1834" t="s">
        <v>5712</v>
      </c>
      <c r="D1834" t="s">
        <v>7</v>
      </c>
      <c r="AG1834" t="str">
        <f>T("4481")</f>
        <v>4481</v>
      </c>
      <c r="AH1834" t="str">
        <f>T("24")</f>
        <v>24</v>
      </c>
      <c r="AK1834" t="str">
        <f>T("1972")</f>
        <v>1972</v>
      </c>
    </row>
    <row r="1835" spans="1:37" x14ac:dyDescent="0.3">
      <c r="A1835" t="s">
        <v>5713</v>
      </c>
      <c r="B1835" t="s">
        <v>5714</v>
      </c>
      <c r="C1835" t="s">
        <v>5715</v>
      </c>
      <c r="D1835" t="s">
        <v>7</v>
      </c>
      <c r="K1835" t="str">
        <f>T("172.515")</f>
        <v>172.515</v>
      </c>
      <c r="AG1835" t="str">
        <f>T("3505")</f>
        <v>3505</v>
      </c>
      <c r="AH1835" t="str">
        <f>T("10")</f>
        <v>10</v>
      </c>
      <c r="AK1835" t="str">
        <f>T("51")</f>
        <v>51</v>
      </c>
    </row>
    <row r="1836" spans="1:37" x14ac:dyDescent="0.3">
      <c r="A1836" t="s">
        <v>5716</v>
      </c>
      <c r="B1836" t="s">
        <v>5717</v>
      </c>
      <c r="C1836" t="s">
        <v>5718</v>
      </c>
      <c r="D1836" t="s">
        <v>7</v>
      </c>
      <c r="K1836" t="str">
        <f>T("172.515")</f>
        <v>172.515</v>
      </c>
      <c r="AG1836" t="str">
        <f>T("2078")</f>
        <v>2078</v>
      </c>
      <c r="AH1836" t="str">
        <f>T("3")</f>
        <v>3</v>
      </c>
      <c r="AK1836" t="str">
        <f>T("48")</f>
        <v>48</v>
      </c>
    </row>
    <row r="1837" spans="1:37" x14ac:dyDescent="0.3">
      <c r="A1837" t="s">
        <v>5719</v>
      </c>
      <c r="B1837" t="s">
        <v>5720</v>
      </c>
      <c r="C1837" t="s">
        <v>5721</v>
      </c>
      <c r="D1837" t="s">
        <v>7</v>
      </c>
      <c r="K1837" t="str">
        <f>T("172.515")</f>
        <v>172.515</v>
      </c>
      <c r="AG1837" t="str">
        <f>T("2080")</f>
        <v>2080</v>
      </c>
      <c r="AH1837" t="str">
        <f>T("3")</f>
        <v>3</v>
      </c>
      <c r="AI1837" t="str">
        <f>T("25")</f>
        <v>25</v>
      </c>
      <c r="AK1837" t="str">
        <f>T("47")</f>
        <v>47</v>
      </c>
    </row>
    <row r="1838" spans="1:37" x14ac:dyDescent="0.3">
      <c r="A1838" t="s">
        <v>5722</v>
      </c>
      <c r="B1838" t="s">
        <v>5723</v>
      </c>
      <c r="C1838" t="s">
        <v>5724</v>
      </c>
      <c r="D1838" t="s">
        <v>7</v>
      </c>
      <c r="AG1838" t="str">
        <f>T("4635")</f>
        <v>4635</v>
      </c>
      <c r="AH1838" t="str">
        <f>T("24")</f>
        <v>24</v>
      </c>
      <c r="AK1838" t="str">
        <f>T("2136")</f>
        <v>2136</v>
      </c>
    </row>
    <row r="1839" spans="1:37" x14ac:dyDescent="0.3">
      <c r="A1839" t="s">
        <v>5725</v>
      </c>
      <c r="B1839" t="s">
        <v>5726</v>
      </c>
      <c r="C1839" t="s">
        <v>5727</v>
      </c>
      <c r="D1839" t="s">
        <v>7</v>
      </c>
      <c r="K1839" t="str">
        <f t="shared" ref="K1839:K1845" si="19">T("172.515")</f>
        <v>172.515</v>
      </c>
      <c r="AG1839" t="str">
        <f>T("2081")</f>
        <v>2081</v>
      </c>
      <c r="AH1839" t="str">
        <f t="shared" ref="AH1839:AH1845" si="20">T("3")</f>
        <v>3</v>
      </c>
      <c r="AI1839" t="str">
        <f>T("25")</f>
        <v>25</v>
      </c>
      <c r="AK1839" t="str">
        <f>T("1014")</f>
        <v>1014</v>
      </c>
    </row>
    <row r="1840" spans="1:37" x14ac:dyDescent="0.3">
      <c r="A1840" t="s">
        <v>5728</v>
      </c>
      <c r="B1840" t="s">
        <v>5729</v>
      </c>
      <c r="C1840" t="s">
        <v>5730</v>
      </c>
      <c r="D1840" t="s">
        <v>7</v>
      </c>
      <c r="K1840" t="str">
        <f t="shared" si="19"/>
        <v>172.515</v>
      </c>
      <c r="AG1840" t="str">
        <f>T("2082")</f>
        <v>2082</v>
      </c>
      <c r="AH1840" t="str">
        <f t="shared" si="20"/>
        <v>3</v>
      </c>
      <c r="AK1840" t="str">
        <f>T("44")</f>
        <v>44</v>
      </c>
    </row>
    <row r="1841" spans="1:37" x14ac:dyDescent="0.3">
      <c r="A1841" t="s">
        <v>5731</v>
      </c>
      <c r="B1841" t="s">
        <v>5732</v>
      </c>
      <c r="C1841" t="s">
        <v>5733</v>
      </c>
      <c r="D1841" t="s">
        <v>7</v>
      </c>
      <c r="K1841" t="str">
        <f t="shared" si="19"/>
        <v>172.515</v>
      </c>
      <c r="AG1841" t="str">
        <f>T("2083")</f>
        <v>2083</v>
      </c>
      <c r="AH1841" t="str">
        <f t="shared" si="20"/>
        <v>3</v>
      </c>
      <c r="AK1841" t="str">
        <f>T("939")</f>
        <v>939</v>
      </c>
    </row>
    <row r="1842" spans="1:37" x14ac:dyDescent="0.3">
      <c r="A1842" t="s">
        <v>5734</v>
      </c>
      <c r="B1842" t="s">
        <v>5735</v>
      </c>
      <c r="C1842" t="s">
        <v>5736</v>
      </c>
      <c r="D1842" t="s">
        <v>7</v>
      </c>
      <c r="K1842" t="str">
        <f t="shared" si="19"/>
        <v>172.515</v>
      </c>
      <c r="AG1842" t="str">
        <f>T("2084")</f>
        <v>2084</v>
      </c>
      <c r="AH1842" t="str">
        <f t="shared" si="20"/>
        <v>3</v>
      </c>
      <c r="AI1842" t="str">
        <f>T("25")</f>
        <v>25</v>
      </c>
      <c r="AK1842" t="str">
        <f>T("903")</f>
        <v>903</v>
      </c>
    </row>
    <row r="1843" spans="1:37" x14ac:dyDescent="0.3">
      <c r="A1843" t="s">
        <v>5737</v>
      </c>
      <c r="B1843" t="s">
        <v>5738</v>
      </c>
      <c r="C1843" t="s">
        <v>5739</v>
      </c>
      <c r="D1843" t="s">
        <v>7</v>
      </c>
      <c r="K1843" t="str">
        <f t="shared" si="19"/>
        <v>172.515</v>
      </c>
      <c r="AG1843" t="str">
        <f>T("2158")</f>
        <v>2158</v>
      </c>
      <c r="AH1843" t="str">
        <f t="shared" si="20"/>
        <v>3</v>
      </c>
      <c r="AK1843" t="str">
        <f>T("1386")</f>
        <v>1386</v>
      </c>
    </row>
    <row r="1844" spans="1:37" x14ac:dyDescent="0.3">
      <c r="A1844" t="s">
        <v>5740</v>
      </c>
      <c r="B1844" t="s">
        <v>5741</v>
      </c>
      <c r="C1844" t="s">
        <v>5742</v>
      </c>
      <c r="D1844" t="s">
        <v>7</v>
      </c>
      <c r="K1844" t="str">
        <f t="shared" si="19"/>
        <v>172.515</v>
      </c>
      <c r="AG1844" t="str">
        <f>T("2160")</f>
        <v>2160</v>
      </c>
      <c r="AH1844" t="str">
        <f t="shared" si="20"/>
        <v>3</v>
      </c>
      <c r="AI1844" t="str">
        <f>T("25")</f>
        <v>25</v>
      </c>
      <c r="AK1844" t="str">
        <f>T("1388")</f>
        <v>1388</v>
      </c>
    </row>
    <row r="1845" spans="1:37" x14ac:dyDescent="0.3">
      <c r="A1845" t="s">
        <v>5743</v>
      </c>
      <c r="B1845" t="s">
        <v>5744</v>
      </c>
      <c r="C1845" t="s">
        <v>5745</v>
      </c>
      <c r="D1845" t="s">
        <v>7</v>
      </c>
      <c r="K1845" t="str">
        <f t="shared" si="19"/>
        <v>172.515</v>
      </c>
      <c r="AG1845" t="str">
        <f>T("2162")</f>
        <v>2162</v>
      </c>
      <c r="AH1845" t="str">
        <f t="shared" si="20"/>
        <v>3</v>
      </c>
      <c r="AK1845" t="str">
        <f>T("1390")</f>
        <v>1390</v>
      </c>
    </row>
    <row r="1846" spans="1:37" x14ac:dyDescent="0.3">
      <c r="A1846" t="s">
        <v>5746</v>
      </c>
      <c r="B1846" t="s">
        <v>5747</v>
      </c>
      <c r="C1846" t="s">
        <v>5748</v>
      </c>
      <c r="D1846" t="s">
        <v>7</v>
      </c>
      <c r="AG1846" t="str">
        <f>T("4146")</f>
        <v>4146</v>
      </c>
      <c r="AH1846" t="str">
        <f>T("22")</f>
        <v>22</v>
      </c>
      <c r="AK1846" t="str">
        <f>T("1863")</f>
        <v>1863</v>
      </c>
    </row>
    <row r="1847" spans="1:37" x14ac:dyDescent="0.3">
      <c r="A1847" t="s">
        <v>5749</v>
      </c>
      <c r="B1847" t="s">
        <v>5750</v>
      </c>
      <c r="C1847" t="s">
        <v>5751</v>
      </c>
      <c r="D1847" t="s">
        <v>7</v>
      </c>
      <c r="K1847" t="str">
        <f>T("172.515")</f>
        <v>172.515</v>
      </c>
      <c r="AG1847" t="str">
        <f>T("2166")</f>
        <v>2166</v>
      </c>
      <c r="AH1847" t="str">
        <f>T("3")</f>
        <v>3</v>
      </c>
      <c r="AK1847" t="str">
        <f>T("1394")</f>
        <v>1394</v>
      </c>
    </row>
    <row r="1848" spans="1:37" x14ac:dyDescent="0.3">
      <c r="A1848" t="s">
        <v>5752</v>
      </c>
      <c r="B1848" t="s">
        <v>5753</v>
      </c>
      <c r="C1848" t="s">
        <v>5754</v>
      </c>
      <c r="D1848" t="s">
        <v>7</v>
      </c>
      <c r="AG1848" t="str">
        <f>T("4147")</f>
        <v>4147</v>
      </c>
      <c r="AH1848" t="str">
        <f>T("22")</f>
        <v>22</v>
      </c>
      <c r="AK1848" t="str">
        <f>T("1869")</f>
        <v>1869</v>
      </c>
    </row>
    <row r="1849" spans="1:37" x14ac:dyDescent="0.3">
      <c r="A1849" t="s">
        <v>5755</v>
      </c>
      <c r="B1849" t="s">
        <v>5756</v>
      </c>
      <c r="C1849" t="s">
        <v>5757</v>
      </c>
      <c r="D1849" t="s">
        <v>7</v>
      </c>
      <c r="K1849" t="str">
        <f>T("172.515")</f>
        <v>172.515</v>
      </c>
      <c r="AG1849" t="str">
        <f>T("2163")</f>
        <v>2163</v>
      </c>
      <c r="AH1849" t="str">
        <f>T("3")</f>
        <v>3</v>
      </c>
      <c r="AK1849" t="str">
        <f>T("1391")</f>
        <v>1391</v>
      </c>
    </row>
    <row r="1850" spans="1:37" x14ac:dyDescent="0.3">
      <c r="A1850" t="s">
        <v>5758</v>
      </c>
      <c r="B1850" t="s">
        <v>5759</v>
      </c>
      <c r="C1850" t="s">
        <v>5760</v>
      </c>
      <c r="D1850" t="s">
        <v>1185</v>
      </c>
      <c r="K1850" t="str">
        <f>T("184.1165")</f>
        <v>184.1165</v>
      </c>
    </row>
    <row r="1851" spans="1:37" x14ac:dyDescent="0.3">
      <c r="A1851" t="s">
        <v>5761</v>
      </c>
      <c r="B1851" t="s">
        <v>5762</v>
      </c>
      <c r="C1851" t="s">
        <v>5763</v>
      </c>
      <c r="D1851" t="s">
        <v>7</v>
      </c>
      <c r="K1851" t="str">
        <f>T("172.515")</f>
        <v>172.515</v>
      </c>
      <c r="AG1851" t="str">
        <f>T("2175")</f>
        <v>2175</v>
      </c>
      <c r="AH1851" t="str">
        <f>T("3")</f>
        <v>3</v>
      </c>
      <c r="AK1851" t="str">
        <f>T("137")</f>
        <v>137</v>
      </c>
    </row>
    <row r="1852" spans="1:37" x14ac:dyDescent="0.3">
      <c r="A1852" t="s">
        <v>5764</v>
      </c>
      <c r="B1852" t="s">
        <v>5765</v>
      </c>
      <c r="C1852" t="s">
        <v>5766</v>
      </c>
      <c r="D1852" t="s">
        <v>7</v>
      </c>
      <c r="K1852" t="str">
        <f>T("172.515")</f>
        <v>172.515</v>
      </c>
      <c r="AG1852" t="str">
        <f>T("2177")</f>
        <v>2177</v>
      </c>
      <c r="AH1852" t="str">
        <f>T("3")</f>
        <v>3</v>
      </c>
      <c r="AI1852" t="str">
        <f>T("25")</f>
        <v>25</v>
      </c>
      <c r="AK1852" t="str">
        <f>T("597")</f>
        <v>597</v>
      </c>
    </row>
    <row r="1853" spans="1:37" x14ac:dyDescent="0.3">
      <c r="A1853" t="s">
        <v>5767</v>
      </c>
      <c r="B1853" t="s">
        <v>5768</v>
      </c>
      <c r="C1853" t="s">
        <v>5769</v>
      </c>
      <c r="D1853" t="s">
        <v>7</v>
      </c>
      <c r="E1853" t="str">
        <f>T("73.1")</f>
        <v>73.1</v>
      </c>
      <c r="K1853" t="str">
        <f>T("172.515")</f>
        <v>172.515</v>
      </c>
      <c r="L1853" t="str">
        <f>T("172.859")</f>
        <v>172.859</v>
      </c>
      <c r="M1853" t="str">
        <f>T("175.105")</f>
        <v>175.105</v>
      </c>
      <c r="N1853" t="str">
        <f>T("176.180")</f>
        <v>176.180</v>
      </c>
      <c r="O1853" t="str">
        <f>T("176.200")</f>
        <v>176.200</v>
      </c>
      <c r="P1853" t="str">
        <f>T("176.210")</f>
        <v>176.210</v>
      </c>
      <c r="Q1853" t="str">
        <f>T("177.2800")</f>
        <v>177.2800</v>
      </c>
      <c r="AG1853" t="str">
        <f>T("2179")</f>
        <v>2179</v>
      </c>
      <c r="AH1853" t="str">
        <f>T("3")</f>
        <v>3</v>
      </c>
      <c r="AI1853" t="str">
        <f>T("25")</f>
        <v>25</v>
      </c>
      <c r="AK1853" t="str">
        <f>T("251")</f>
        <v>251</v>
      </c>
    </row>
    <row r="1854" spans="1:37" x14ac:dyDescent="0.3">
      <c r="A1854" t="s">
        <v>5770</v>
      </c>
      <c r="B1854" t="s">
        <v>5771</v>
      </c>
      <c r="C1854" t="s">
        <v>5772</v>
      </c>
      <c r="D1854" t="s">
        <v>7</v>
      </c>
      <c r="AG1854" t="str">
        <f>T("4239")</f>
        <v>4239</v>
      </c>
      <c r="AH1854" t="str">
        <f>T("22")</f>
        <v>22</v>
      </c>
      <c r="AK1854" t="str">
        <f>T("1583")</f>
        <v>1583</v>
      </c>
    </row>
    <row r="1855" spans="1:37" x14ac:dyDescent="0.3">
      <c r="A1855" t="s">
        <v>5773</v>
      </c>
      <c r="B1855" t="s">
        <v>5774</v>
      </c>
      <c r="C1855" t="s">
        <v>5775</v>
      </c>
      <c r="D1855" t="s">
        <v>7</v>
      </c>
      <c r="K1855" t="str">
        <f>T("172.515")</f>
        <v>172.515</v>
      </c>
      <c r="AG1855" t="str">
        <f>T("2180")</f>
        <v>2180</v>
      </c>
      <c r="AH1855" t="str">
        <f>T("3")</f>
        <v>3</v>
      </c>
      <c r="AK1855" t="str">
        <f>T("1213")</f>
        <v>1213</v>
      </c>
    </row>
    <row r="1856" spans="1:37" x14ac:dyDescent="0.3">
      <c r="A1856" t="s">
        <v>5776</v>
      </c>
      <c r="B1856" t="s">
        <v>5777</v>
      </c>
      <c r="C1856" t="s">
        <v>5778</v>
      </c>
      <c r="D1856" t="s">
        <v>7</v>
      </c>
      <c r="K1856" t="str">
        <f>T("172.515")</f>
        <v>172.515</v>
      </c>
      <c r="AG1856" t="str">
        <f>T("2182")</f>
        <v>2182</v>
      </c>
      <c r="AH1856" t="str">
        <f>T("3")</f>
        <v>3</v>
      </c>
      <c r="AK1856" t="str">
        <f>T("1537")</f>
        <v>1537</v>
      </c>
    </row>
    <row r="1857" spans="1:37" x14ac:dyDescent="0.3">
      <c r="A1857" t="s">
        <v>5779</v>
      </c>
      <c r="B1857" t="s">
        <v>5780</v>
      </c>
      <c r="C1857" t="s">
        <v>5781</v>
      </c>
      <c r="D1857" t="s">
        <v>7</v>
      </c>
      <c r="K1857" t="str">
        <f>T("172.515")</f>
        <v>172.515</v>
      </c>
      <c r="AG1857" t="str">
        <f>T("2185")</f>
        <v>2185</v>
      </c>
      <c r="AH1857" t="str">
        <f>T("3")</f>
        <v>3</v>
      </c>
      <c r="AI1857" t="str">
        <f>T("25")</f>
        <v>25</v>
      </c>
      <c r="AK1857" t="str">
        <f>T("856")</f>
        <v>856</v>
      </c>
    </row>
    <row r="1858" spans="1:37" x14ac:dyDescent="0.3">
      <c r="A1858" t="s">
        <v>5782</v>
      </c>
      <c r="B1858" t="s">
        <v>5783</v>
      </c>
      <c r="C1858" t="s">
        <v>5784</v>
      </c>
      <c r="D1858" t="s">
        <v>7</v>
      </c>
      <c r="AG1858" t="str">
        <f>T("3432")</f>
        <v>3432</v>
      </c>
      <c r="AH1858" t="str">
        <f>T("8")</f>
        <v>8</v>
      </c>
      <c r="AK1858" t="str">
        <f>T("1206")</f>
        <v>1206</v>
      </c>
    </row>
    <row r="1859" spans="1:37" x14ac:dyDescent="0.3">
      <c r="A1859" t="s">
        <v>5785</v>
      </c>
      <c r="B1859" t="s">
        <v>5786</v>
      </c>
      <c r="C1859" t="s">
        <v>5787</v>
      </c>
      <c r="D1859" t="s">
        <v>7</v>
      </c>
      <c r="K1859" t="str">
        <f>T("172.515")</f>
        <v>172.515</v>
      </c>
      <c r="AG1859" t="str">
        <f>T("2187")</f>
        <v>2187</v>
      </c>
      <c r="AH1859" t="str">
        <f>T("3")</f>
        <v>3</v>
      </c>
      <c r="AI1859" t="str">
        <f>T("25")</f>
        <v>25</v>
      </c>
      <c r="AK1859" t="str">
        <f>T("158")</f>
        <v>158</v>
      </c>
    </row>
    <row r="1860" spans="1:37" x14ac:dyDescent="0.3">
      <c r="A1860" t="s">
        <v>5788</v>
      </c>
      <c r="B1860" t="s">
        <v>5789</v>
      </c>
      <c r="C1860" t="s">
        <v>5790</v>
      </c>
      <c r="D1860" t="s">
        <v>7</v>
      </c>
      <c r="K1860" t="str">
        <f>T("172.515")</f>
        <v>172.515</v>
      </c>
      <c r="AG1860" t="str">
        <f>T("2193")</f>
        <v>2193</v>
      </c>
      <c r="AH1860" t="str">
        <f>T("3")</f>
        <v>3</v>
      </c>
      <c r="AK1860" t="str">
        <f>T("664")</f>
        <v>664</v>
      </c>
    </row>
    <row r="1861" spans="1:37" x14ac:dyDescent="0.3">
      <c r="A1861" t="s">
        <v>5791</v>
      </c>
      <c r="B1861" t="s">
        <v>5792</v>
      </c>
      <c r="C1861" t="s">
        <v>5793</v>
      </c>
      <c r="D1861" t="s">
        <v>7</v>
      </c>
      <c r="AG1861" t="str">
        <f>T("4148")</f>
        <v>4148</v>
      </c>
      <c r="AH1861" t="str">
        <f>T("22")</f>
        <v>22</v>
      </c>
      <c r="AK1861" t="str">
        <f>T("1598")</f>
        <v>1598</v>
      </c>
    </row>
    <row r="1862" spans="1:37" x14ac:dyDescent="0.3">
      <c r="A1862" t="s">
        <v>5794</v>
      </c>
      <c r="B1862" t="s">
        <v>5795</v>
      </c>
      <c r="C1862" t="s">
        <v>5796</v>
      </c>
      <c r="D1862" t="s">
        <v>7</v>
      </c>
      <c r="AG1862" t="str">
        <f>T("3781")</f>
        <v>3781</v>
      </c>
      <c r="AH1862" t="str">
        <f>T("16")</f>
        <v>16</v>
      </c>
      <c r="AK1862" t="str">
        <f>T("1046")</f>
        <v>1046</v>
      </c>
    </row>
    <row r="1863" spans="1:37" x14ac:dyDescent="0.3">
      <c r="A1863" t="s">
        <v>5797</v>
      </c>
      <c r="B1863" t="s">
        <v>5798</v>
      </c>
      <c r="C1863" t="s">
        <v>5799</v>
      </c>
      <c r="D1863" t="s">
        <v>7</v>
      </c>
      <c r="AG1863" t="str">
        <f>T("4397")</f>
        <v>4397</v>
      </c>
      <c r="AH1863" t="str">
        <f>T("23")</f>
        <v>23</v>
      </c>
      <c r="AK1863" t="str">
        <f>T("1556")</f>
        <v>1556</v>
      </c>
    </row>
    <row r="1864" spans="1:37" x14ac:dyDescent="0.3">
      <c r="A1864" t="s">
        <v>5800</v>
      </c>
      <c r="B1864" t="s">
        <v>5801</v>
      </c>
      <c r="C1864" t="s">
        <v>5802</v>
      </c>
      <c r="D1864" t="s">
        <v>1175</v>
      </c>
      <c r="K1864" t="str">
        <f>T("172.615")</f>
        <v>172.615</v>
      </c>
      <c r="L1864" t="str">
        <f>T("175.105")</f>
        <v>175.105</v>
      </c>
      <c r="M1864" t="str">
        <f>T("175.125")</f>
        <v>175.125</v>
      </c>
      <c r="N1864" t="str">
        <f>T("175.300")</f>
        <v>175.300</v>
      </c>
      <c r="O1864" t="str">
        <f>T("175.320")</f>
        <v>175.320</v>
      </c>
      <c r="P1864" t="str">
        <f>T("176.180")</f>
        <v>176.180</v>
      </c>
      <c r="Q1864" t="str">
        <f>T("177.1010")</f>
        <v>177.1010</v>
      </c>
      <c r="R1864" t="str">
        <f>T("177.1210")</f>
        <v>177.1210</v>
      </c>
      <c r="S1864" t="str">
        <f>T("177.1420")</f>
        <v>177.1420</v>
      </c>
      <c r="T1864" t="str">
        <f>T("177.2600")</f>
        <v>177.2600</v>
      </c>
      <c r="U1864" t="str">
        <f>T("178.1005")</f>
        <v>178.1005</v>
      </c>
      <c r="V1864" t="str">
        <f>T("178.3850")</f>
        <v>178.3850</v>
      </c>
    </row>
    <row r="1865" spans="1:37" x14ac:dyDescent="0.3">
      <c r="A1865" t="s">
        <v>5803</v>
      </c>
      <c r="B1865" t="s">
        <v>5804</v>
      </c>
      <c r="C1865" t="s">
        <v>5805</v>
      </c>
      <c r="D1865" t="s">
        <v>7</v>
      </c>
      <c r="K1865" t="str">
        <f>T("172.515")</f>
        <v>172.515</v>
      </c>
      <c r="AG1865" t="str">
        <f>T("2197")</f>
        <v>2197</v>
      </c>
      <c r="AH1865" t="str">
        <f>T("3")</f>
        <v>3</v>
      </c>
      <c r="AI1865" t="str">
        <f>T("25")</f>
        <v>25</v>
      </c>
      <c r="AK1865" t="str">
        <f>T("124")</f>
        <v>124</v>
      </c>
    </row>
    <row r="1866" spans="1:37" x14ac:dyDescent="0.3">
      <c r="A1866" t="s">
        <v>5806</v>
      </c>
      <c r="B1866" t="s">
        <v>5807</v>
      </c>
      <c r="C1866" t="s">
        <v>5808</v>
      </c>
      <c r="D1866" t="s">
        <v>7</v>
      </c>
      <c r="K1866" t="str">
        <f>T("172.515")</f>
        <v>172.515</v>
      </c>
      <c r="AG1866" t="str">
        <f>T("2198")</f>
        <v>2198</v>
      </c>
      <c r="AH1866" t="str">
        <f>T("3")</f>
        <v>3</v>
      </c>
      <c r="AK1866" t="str">
        <f>T("1514")</f>
        <v>1514</v>
      </c>
    </row>
    <row r="1867" spans="1:37" x14ac:dyDescent="0.3">
      <c r="A1867" t="s">
        <v>5809</v>
      </c>
      <c r="B1867" t="s">
        <v>5810</v>
      </c>
      <c r="C1867" t="s">
        <v>5811</v>
      </c>
      <c r="D1867" t="s">
        <v>7</v>
      </c>
      <c r="K1867" t="str">
        <f>T("172.515")</f>
        <v>172.515</v>
      </c>
      <c r="AG1867" t="str">
        <f>T("2200")</f>
        <v>2200</v>
      </c>
      <c r="AH1867" t="str">
        <f>T("3")</f>
        <v>3</v>
      </c>
      <c r="AK1867" t="str">
        <f>T("172")</f>
        <v>172</v>
      </c>
    </row>
    <row r="1868" spans="1:37" x14ac:dyDescent="0.3">
      <c r="A1868" t="s">
        <v>5812</v>
      </c>
      <c r="B1868" t="s">
        <v>5813</v>
      </c>
      <c r="C1868" t="s">
        <v>5814</v>
      </c>
      <c r="D1868" t="s">
        <v>7</v>
      </c>
      <c r="K1868" t="str">
        <f>T("172.515")</f>
        <v>172.515</v>
      </c>
      <c r="AG1868" t="str">
        <f>T("2202")</f>
        <v>2202</v>
      </c>
      <c r="AH1868" t="str">
        <f>T("3")</f>
        <v>3</v>
      </c>
      <c r="AK1868" t="str">
        <f>T("166")</f>
        <v>166</v>
      </c>
    </row>
    <row r="1869" spans="1:37" x14ac:dyDescent="0.3">
      <c r="A1869" t="s">
        <v>5815</v>
      </c>
      <c r="B1869" t="s">
        <v>5816</v>
      </c>
      <c r="C1869" t="s">
        <v>5817</v>
      </c>
      <c r="D1869" t="s">
        <v>7</v>
      </c>
      <c r="K1869" t="str">
        <f>T("172.515")</f>
        <v>172.515</v>
      </c>
      <c r="AG1869" t="str">
        <f>T("2189")</f>
        <v>2189</v>
      </c>
      <c r="AH1869" t="str">
        <f>T("3")</f>
        <v>3</v>
      </c>
      <c r="AI1869" t="str">
        <f>T("25")</f>
        <v>25</v>
      </c>
      <c r="AK1869" t="str">
        <f>T("194")</f>
        <v>194</v>
      </c>
    </row>
    <row r="1870" spans="1:37" x14ac:dyDescent="0.3">
      <c r="A1870" t="s">
        <v>5818</v>
      </c>
      <c r="B1870" t="s">
        <v>5819</v>
      </c>
      <c r="C1870" t="s">
        <v>5820</v>
      </c>
      <c r="D1870" t="s">
        <v>7</v>
      </c>
      <c r="AG1870" t="str">
        <f>T("4424")</f>
        <v>4424</v>
      </c>
      <c r="AH1870" t="str">
        <f>T("23")</f>
        <v>23</v>
      </c>
      <c r="AK1870" t="str">
        <f>T("1886")</f>
        <v>1886</v>
      </c>
    </row>
    <row r="1871" spans="1:37" x14ac:dyDescent="0.3">
      <c r="A1871" t="s">
        <v>5821</v>
      </c>
      <c r="B1871" t="s">
        <v>5822</v>
      </c>
      <c r="C1871" t="s">
        <v>5823</v>
      </c>
      <c r="D1871" t="s">
        <v>7</v>
      </c>
      <c r="AG1871" t="str">
        <f>T("3132")</f>
        <v>3132</v>
      </c>
      <c r="AH1871" t="str">
        <f>T("4")</f>
        <v>4</v>
      </c>
      <c r="AK1871" t="str">
        <f>T("792")</f>
        <v>792</v>
      </c>
    </row>
    <row r="1872" spans="1:37" x14ac:dyDescent="0.3">
      <c r="A1872" t="s">
        <v>5824</v>
      </c>
      <c r="B1872" t="s">
        <v>5825</v>
      </c>
      <c r="C1872" t="s">
        <v>5826</v>
      </c>
      <c r="D1872" t="s">
        <v>7</v>
      </c>
      <c r="AG1872" t="str">
        <f>T("4149")</f>
        <v>4149</v>
      </c>
      <c r="AH1872" t="str">
        <f>T("22")</f>
        <v>22</v>
      </c>
      <c r="AK1872" t="str">
        <f>T("1548")</f>
        <v>1548</v>
      </c>
    </row>
    <row r="1873" spans="1:37" x14ac:dyDescent="0.3">
      <c r="A1873" t="s">
        <v>5827</v>
      </c>
      <c r="B1873" t="s">
        <v>5828</v>
      </c>
      <c r="C1873" t="s">
        <v>5829</v>
      </c>
      <c r="D1873" t="s">
        <v>15</v>
      </c>
      <c r="AG1873" t="str">
        <f>T("3133")</f>
        <v>3133</v>
      </c>
      <c r="AH1873" t="str">
        <f>T("4")</f>
        <v>4</v>
      </c>
      <c r="AK1873" t="str">
        <f>T("773")</f>
        <v>773</v>
      </c>
    </row>
    <row r="1874" spans="1:37" x14ac:dyDescent="0.3">
      <c r="A1874" t="s">
        <v>5830</v>
      </c>
      <c r="B1874" t="s">
        <v>5831</v>
      </c>
      <c r="C1874" t="s">
        <v>5832</v>
      </c>
      <c r="D1874" t="s">
        <v>7</v>
      </c>
      <c r="AG1874" t="str">
        <f>T("4150")</f>
        <v>4150</v>
      </c>
      <c r="AH1874" t="str">
        <f>T("22")</f>
        <v>22</v>
      </c>
      <c r="AK1874" t="str">
        <f>T("1677")</f>
        <v>1677</v>
      </c>
    </row>
    <row r="1875" spans="1:37" x14ac:dyDescent="0.3">
      <c r="A1875" t="s">
        <v>5833</v>
      </c>
      <c r="B1875" t="s">
        <v>5834</v>
      </c>
      <c r="C1875" t="s">
        <v>5835</v>
      </c>
      <c r="D1875" t="s">
        <v>7</v>
      </c>
      <c r="K1875" t="str">
        <f>T("172.515")</f>
        <v>172.515</v>
      </c>
      <c r="AG1875" t="str">
        <f>T("2210")</f>
        <v>2210</v>
      </c>
      <c r="AH1875" t="str">
        <f>T("3")</f>
        <v>3</v>
      </c>
      <c r="AK1875" t="str">
        <f>T("1013")</f>
        <v>1013</v>
      </c>
    </row>
    <row r="1876" spans="1:37" x14ac:dyDescent="0.3">
      <c r="A1876" t="s">
        <v>5836</v>
      </c>
      <c r="B1876" t="s">
        <v>5837</v>
      </c>
      <c r="C1876" t="s">
        <v>5838</v>
      </c>
      <c r="D1876" t="s">
        <v>7</v>
      </c>
      <c r="K1876" t="str">
        <f>T("172.515")</f>
        <v>172.515</v>
      </c>
      <c r="AG1876" t="str">
        <f>T("2212")</f>
        <v>2212</v>
      </c>
      <c r="AH1876" t="str">
        <f>T("3")</f>
        <v>3</v>
      </c>
      <c r="AK1876" t="str">
        <f>T("148")</f>
        <v>148</v>
      </c>
    </row>
    <row r="1877" spans="1:37" x14ac:dyDescent="0.3">
      <c r="A1877" t="s">
        <v>5839</v>
      </c>
      <c r="B1877" t="s">
        <v>5840</v>
      </c>
      <c r="C1877" t="s">
        <v>5841</v>
      </c>
      <c r="D1877" t="s">
        <v>15</v>
      </c>
      <c r="K1877" t="str">
        <f>T("172.515")</f>
        <v>172.515</v>
      </c>
      <c r="AG1877" t="str">
        <f>T("2213")</f>
        <v>2213</v>
      </c>
      <c r="AH1877" t="str">
        <f>T("3")</f>
        <v>3</v>
      </c>
      <c r="AI1877" t="str">
        <f>T("25")</f>
        <v>25</v>
      </c>
      <c r="AK1877" t="str">
        <f>T("902")</f>
        <v>902</v>
      </c>
    </row>
    <row r="1878" spans="1:37" x14ac:dyDescent="0.3">
      <c r="A1878" t="s">
        <v>5842</v>
      </c>
      <c r="B1878" t="s">
        <v>5843</v>
      </c>
      <c r="C1878" t="s">
        <v>5844</v>
      </c>
      <c r="D1878" t="s">
        <v>7</v>
      </c>
      <c r="K1878" t="str">
        <f>T("172.515")</f>
        <v>172.515</v>
      </c>
      <c r="AG1878" t="str">
        <f>T("3134")</f>
        <v>3134</v>
      </c>
      <c r="AH1878" t="str">
        <f>T("4")</f>
        <v>4</v>
      </c>
      <c r="AK1878" t="str">
        <f>T("1034")</f>
        <v>1034</v>
      </c>
    </row>
    <row r="1879" spans="1:37" x14ac:dyDescent="0.3">
      <c r="A1879" t="s">
        <v>5845</v>
      </c>
      <c r="B1879" t="s">
        <v>5846</v>
      </c>
      <c r="C1879" t="s">
        <v>5847</v>
      </c>
      <c r="D1879" t="s">
        <v>7</v>
      </c>
      <c r="AG1879" t="str">
        <f>T("4358")</f>
        <v>4358</v>
      </c>
      <c r="AH1879" t="str">
        <f>T("23")</f>
        <v>23</v>
      </c>
      <c r="AK1879" t="str">
        <f>T("1634")</f>
        <v>1634</v>
      </c>
    </row>
    <row r="1880" spans="1:37" x14ac:dyDescent="0.3">
      <c r="A1880" t="s">
        <v>5848</v>
      </c>
      <c r="B1880" t="s">
        <v>5849</v>
      </c>
      <c r="C1880" t="s">
        <v>5850</v>
      </c>
      <c r="D1880" t="s">
        <v>7</v>
      </c>
      <c r="K1880" t="str">
        <f>T("172.515")</f>
        <v>172.515</v>
      </c>
      <c r="AG1880" t="str">
        <f>T("2220")</f>
        <v>2220</v>
      </c>
      <c r="AH1880" t="str">
        <f>T("3")</f>
        <v>3</v>
      </c>
      <c r="AI1880" t="str">
        <f>T("25")</f>
        <v>25</v>
      </c>
      <c r="AK1880" t="str">
        <f>T("252")</f>
        <v>252</v>
      </c>
    </row>
    <row r="1881" spans="1:37" x14ac:dyDescent="0.3">
      <c r="A1881" t="s">
        <v>5851</v>
      </c>
      <c r="B1881" t="s">
        <v>5852</v>
      </c>
      <c r="C1881" t="s">
        <v>5853</v>
      </c>
      <c r="D1881" t="s">
        <v>7</v>
      </c>
      <c r="K1881" t="str">
        <f>T("172.515")</f>
        <v>172.515</v>
      </c>
      <c r="AG1881" t="str">
        <f>T("2222")</f>
        <v>2222</v>
      </c>
      <c r="AH1881" t="str">
        <f>T("3")</f>
        <v>3</v>
      </c>
      <c r="AI1881" t="str">
        <f>T("25")</f>
        <v>25</v>
      </c>
      <c r="AK1881" t="str">
        <f>T("253")</f>
        <v>253</v>
      </c>
    </row>
    <row r="1882" spans="1:37" x14ac:dyDescent="0.3">
      <c r="A1882" t="s">
        <v>5854</v>
      </c>
      <c r="B1882" t="s">
        <v>5855</v>
      </c>
      <c r="C1882" t="s">
        <v>5856</v>
      </c>
      <c r="D1882" t="s">
        <v>7</v>
      </c>
    </row>
    <row r="1883" spans="1:37" x14ac:dyDescent="0.3">
      <c r="A1883" t="s">
        <v>5857</v>
      </c>
      <c r="B1883" t="s">
        <v>5858</v>
      </c>
      <c r="C1883" t="s">
        <v>5859</v>
      </c>
      <c r="D1883" t="s">
        <v>7</v>
      </c>
      <c r="K1883" t="str">
        <f t="shared" ref="K1883:K1890" si="21">T("172.515")</f>
        <v>172.515</v>
      </c>
      <c r="AG1883" t="str">
        <f>T("2468")</f>
        <v>2468</v>
      </c>
      <c r="AH1883" t="str">
        <f>T("3")</f>
        <v>3</v>
      </c>
      <c r="AK1883" t="str">
        <f>T("1260")</f>
        <v>1260</v>
      </c>
    </row>
    <row r="1884" spans="1:37" x14ac:dyDescent="0.3">
      <c r="A1884" t="s">
        <v>5860</v>
      </c>
      <c r="B1884" t="s">
        <v>5861</v>
      </c>
      <c r="C1884" t="s">
        <v>5862</v>
      </c>
      <c r="D1884" t="s">
        <v>7</v>
      </c>
      <c r="K1884" t="str">
        <f t="shared" si="21"/>
        <v>172.515</v>
      </c>
      <c r="AG1884" t="str">
        <f>T("2470")</f>
        <v>2470</v>
      </c>
      <c r="AH1884" t="str">
        <f>T("3")</f>
        <v>3</v>
      </c>
      <c r="AK1884" t="str">
        <f>T("1262")</f>
        <v>1262</v>
      </c>
    </row>
    <row r="1885" spans="1:37" x14ac:dyDescent="0.3">
      <c r="A1885" t="s">
        <v>5863</v>
      </c>
      <c r="B1885" t="s">
        <v>5864</v>
      </c>
      <c r="C1885" t="s">
        <v>5865</v>
      </c>
      <c r="D1885" t="s">
        <v>7</v>
      </c>
      <c r="K1885" t="str">
        <f t="shared" si="21"/>
        <v>172.515</v>
      </c>
      <c r="AG1885" t="str">
        <f>T("3698")</f>
        <v>3698</v>
      </c>
      <c r="AH1885" t="str">
        <f>T("13")</f>
        <v>13</v>
      </c>
      <c r="AK1885" t="str">
        <f>T("1268")</f>
        <v>1268</v>
      </c>
    </row>
    <row r="1886" spans="1:37" x14ac:dyDescent="0.3">
      <c r="A1886" t="s">
        <v>5866</v>
      </c>
      <c r="B1886" t="s">
        <v>5867</v>
      </c>
      <c r="C1886" t="s">
        <v>5868</v>
      </c>
      <c r="D1886" t="s">
        <v>7</v>
      </c>
      <c r="K1886" t="str">
        <f t="shared" si="21"/>
        <v>172.515</v>
      </c>
      <c r="AG1886" t="str">
        <f>T("2472")</f>
        <v>2472</v>
      </c>
      <c r="AH1886" t="str">
        <f>T("3")</f>
        <v>3</v>
      </c>
      <c r="AK1886" t="str">
        <f>T("1267")</f>
        <v>1267</v>
      </c>
    </row>
    <row r="1887" spans="1:37" x14ac:dyDescent="0.3">
      <c r="A1887" t="s">
        <v>5869</v>
      </c>
      <c r="B1887" t="s">
        <v>5870</v>
      </c>
      <c r="C1887" t="s">
        <v>5871</v>
      </c>
      <c r="D1887" t="s">
        <v>7</v>
      </c>
      <c r="K1887" t="str">
        <f t="shared" si="21"/>
        <v>172.515</v>
      </c>
      <c r="AG1887" t="str">
        <f>T("2474")</f>
        <v>2474</v>
      </c>
      <c r="AH1887" t="str">
        <f>T("3")</f>
        <v>3</v>
      </c>
      <c r="AI1887" t="str">
        <f>T("25")</f>
        <v>25</v>
      </c>
      <c r="AK1887" t="str">
        <f>T("1261")</f>
        <v>1261</v>
      </c>
    </row>
    <row r="1888" spans="1:37" x14ac:dyDescent="0.3">
      <c r="A1888" t="s">
        <v>5872</v>
      </c>
      <c r="B1888" t="s">
        <v>5873</v>
      </c>
      <c r="C1888" t="s">
        <v>5874</v>
      </c>
      <c r="D1888" t="s">
        <v>7</v>
      </c>
      <c r="K1888" t="str">
        <f t="shared" si="21"/>
        <v>172.515</v>
      </c>
      <c r="AG1888" t="str">
        <f>T("2476")</f>
        <v>2476</v>
      </c>
      <c r="AH1888" t="str">
        <f>T("3")</f>
        <v>3</v>
      </c>
      <c r="AI1888" t="str">
        <f>T("25")</f>
        <v>25</v>
      </c>
      <c r="AK1888" t="str">
        <f>T("1266")</f>
        <v>1266</v>
      </c>
    </row>
    <row r="1889" spans="1:37" x14ac:dyDescent="0.3">
      <c r="A1889" t="s">
        <v>5875</v>
      </c>
      <c r="B1889" t="s">
        <v>5876</v>
      </c>
      <c r="C1889" t="s">
        <v>5877</v>
      </c>
      <c r="D1889" t="s">
        <v>7</v>
      </c>
      <c r="K1889" t="str">
        <f t="shared" si="21"/>
        <v>172.515</v>
      </c>
      <c r="AG1889" t="str">
        <f>T("2477")</f>
        <v>2477</v>
      </c>
      <c r="AH1889" t="str">
        <f>T("3")</f>
        <v>3</v>
      </c>
      <c r="AI1889" t="str">
        <f>T("25")</f>
        <v>25</v>
      </c>
      <c r="AK1889" t="str">
        <f>T("1263")</f>
        <v>1263</v>
      </c>
    </row>
    <row r="1890" spans="1:37" x14ac:dyDescent="0.3">
      <c r="A1890" t="s">
        <v>5878</v>
      </c>
      <c r="B1890" t="s">
        <v>5879</v>
      </c>
      <c r="C1890" t="s">
        <v>5880</v>
      </c>
      <c r="D1890" t="s">
        <v>7</v>
      </c>
      <c r="K1890" t="str">
        <f t="shared" si="21"/>
        <v>172.515</v>
      </c>
      <c r="AG1890" t="str">
        <f>T("3552")</f>
        <v>3552</v>
      </c>
      <c r="AH1890" t="str">
        <f>T("11")</f>
        <v>11</v>
      </c>
      <c r="AK1890" t="str">
        <f>T("1115")</f>
        <v>1115</v>
      </c>
    </row>
    <row r="1891" spans="1:37" x14ac:dyDescent="0.3">
      <c r="A1891" t="s">
        <v>5881</v>
      </c>
      <c r="B1891" t="s">
        <v>5882</v>
      </c>
      <c r="C1891" t="s">
        <v>5883</v>
      </c>
      <c r="D1891" t="s">
        <v>3328</v>
      </c>
      <c r="K1891" t="str">
        <f>T("172.320")</f>
        <v>172.320</v>
      </c>
      <c r="AG1891" t="str">
        <f>T("4675")</f>
        <v>4675</v>
      </c>
      <c r="AH1891" t="str">
        <f>T("25")</f>
        <v>25</v>
      </c>
      <c r="AK1891" t="str">
        <f>T("2118")</f>
        <v>2118</v>
      </c>
    </row>
    <row r="1892" spans="1:37" x14ac:dyDescent="0.3">
      <c r="A1892" t="s">
        <v>5884</v>
      </c>
      <c r="B1892" t="s">
        <v>5885</v>
      </c>
      <c r="C1892" t="s">
        <v>5886</v>
      </c>
      <c r="D1892" t="s">
        <v>7</v>
      </c>
      <c r="K1892" t="str">
        <f>T("172.515")</f>
        <v>172.515</v>
      </c>
      <c r="AG1892" t="str">
        <f>T("2714")</f>
        <v>2714</v>
      </c>
      <c r="AH1892" t="str">
        <f>T("3")</f>
        <v>3</v>
      </c>
      <c r="AK1892" t="str">
        <f>T("404")</f>
        <v>404</v>
      </c>
    </row>
    <row r="1893" spans="1:37" x14ac:dyDescent="0.3">
      <c r="A1893" t="s">
        <v>5887</v>
      </c>
      <c r="B1893" t="s">
        <v>5888</v>
      </c>
      <c r="C1893" t="s">
        <v>5889</v>
      </c>
      <c r="D1893" t="s">
        <v>7</v>
      </c>
      <c r="AG1893" t="str">
        <f>T("4151")</f>
        <v>4151</v>
      </c>
      <c r="AH1893" t="str">
        <f>T("22")</f>
        <v>22</v>
      </c>
      <c r="AK1893" t="str">
        <f>T("2186")</f>
        <v>2186</v>
      </c>
    </row>
    <row r="1894" spans="1:37" x14ac:dyDescent="0.3">
      <c r="A1894" t="s">
        <v>5890</v>
      </c>
      <c r="B1894" t="s">
        <v>5891</v>
      </c>
      <c r="C1894" t="s">
        <v>5892</v>
      </c>
      <c r="D1894" t="s">
        <v>7</v>
      </c>
      <c r="AG1894" t="str">
        <f>T("3845")</f>
        <v>3845</v>
      </c>
      <c r="AH1894" t="str">
        <f>T("18")</f>
        <v>18</v>
      </c>
      <c r="AK1894" t="str">
        <f>T("1410")</f>
        <v>1410</v>
      </c>
    </row>
    <row r="1895" spans="1:37" x14ac:dyDescent="0.3">
      <c r="A1895" t="s">
        <v>5893</v>
      </c>
      <c r="B1895" t="s">
        <v>5894</v>
      </c>
      <c r="C1895" t="s">
        <v>5895</v>
      </c>
      <c r="D1895" t="s">
        <v>5896</v>
      </c>
      <c r="K1895" t="str">
        <f>T("172.882")</f>
        <v>172.882</v>
      </c>
      <c r="L1895" t="str">
        <f>T("173.280")</f>
        <v>173.280</v>
      </c>
      <c r="M1895" t="str">
        <f>T("173.340")</f>
        <v>173.340</v>
      </c>
      <c r="N1895" t="str">
        <f>T("178.3530")</f>
        <v>178.3530</v>
      </c>
    </row>
    <row r="1896" spans="1:37" x14ac:dyDescent="0.3">
      <c r="A1896" t="s">
        <v>5897</v>
      </c>
      <c r="B1896" t="s">
        <v>5898</v>
      </c>
      <c r="C1896" t="s">
        <v>5899</v>
      </c>
      <c r="D1896" t="s">
        <v>7</v>
      </c>
      <c r="AG1896" t="str">
        <f>T("3219")</f>
        <v>3219</v>
      </c>
      <c r="AH1896" t="str">
        <f>T("4")</f>
        <v>4</v>
      </c>
      <c r="AK1896" t="str">
        <f>T("1587")</f>
        <v>1587</v>
      </c>
    </row>
    <row r="1897" spans="1:37" x14ac:dyDescent="0.3">
      <c r="A1897" t="s">
        <v>5900</v>
      </c>
      <c r="B1897" t="s">
        <v>5901</v>
      </c>
      <c r="C1897" t="s">
        <v>5902</v>
      </c>
      <c r="D1897" t="s">
        <v>7</v>
      </c>
      <c r="AG1897" t="str">
        <f>T("3990")</f>
        <v>3990</v>
      </c>
      <c r="AH1897" t="str">
        <f>T("20")</f>
        <v>20</v>
      </c>
      <c r="AK1897" t="str">
        <f>T("1606")</f>
        <v>1606</v>
      </c>
    </row>
    <row r="1898" spans="1:37" x14ac:dyDescent="0.3">
      <c r="A1898" t="s">
        <v>5903</v>
      </c>
      <c r="B1898" t="s">
        <v>5904</v>
      </c>
      <c r="C1898" t="s">
        <v>5905</v>
      </c>
      <c r="D1898" t="s">
        <v>7</v>
      </c>
      <c r="K1898" t="str">
        <f>T("175.105")</f>
        <v>175.105</v>
      </c>
      <c r="AG1898" t="str">
        <f>T("3553")</f>
        <v>3553</v>
      </c>
      <c r="AH1898" t="str">
        <f>T("11")</f>
        <v>11</v>
      </c>
      <c r="AK1898" t="str">
        <f>T("1112")</f>
        <v>1112</v>
      </c>
    </row>
    <row r="1899" spans="1:37" x14ac:dyDescent="0.3">
      <c r="A1899" t="s">
        <v>5906</v>
      </c>
      <c r="B1899" t="s">
        <v>5907</v>
      </c>
      <c r="C1899" t="s">
        <v>5908</v>
      </c>
      <c r="D1899" t="s">
        <v>7</v>
      </c>
      <c r="AG1899" t="str">
        <f>T("4152")</f>
        <v>4152</v>
      </c>
      <c r="AH1899" t="str">
        <f>T("22")</f>
        <v>22</v>
      </c>
      <c r="AK1899" t="str">
        <f>T("1835")</f>
        <v>1835</v>
      </c>
    </row>
    <row r="1900" spans="1:37" x14ac:dyDescent="0.3">
      <c r="A1900" t="s">
        <v>5909</v>
      </c>
      <c r="B1900" t="s">
        <v>5910</v>
      </c>
      <c r="C1900" t="s">
        <v>5911</v>
      </c>
      <c r="D1900" t="s">
        <v>7</v>
      </c>
      <c r="AG1900" t="str">
        <f>T("3759")</f>
        <v>3759</v>
      </c>
      <c r="AH1900" t="str">
        <f>T("15")</f>
        <v>15</v>
      </c>
      <c r="AK1900" t="str">
        <f>T("1455")</f>
        <v>1455</v>
      </c>
    </row>
    <row r="1901" spans="1:37" x14ac:dyDescent="0.3">
      <c r="A1901" t="s">
        <v>5912</v>
      </c>
      <c r="B1901" t="s">
        <v>5913</v>
      </c>
      <c r="C1901" t="s">
        <v>5914</v>
      </c>
      <c r="D1901" t="s">
        <v>7</v>
      </c>
      <c r="AG1901" t="str">
        <f>T("4461")</f>
        <v>4461</v>
      </c>
      <c r="AH1901" t="str">
        <f>T("24")</f>
        <v>24</v>
      </c>
      <c r="AK1901" t="str">
        <f>T("1954")</f>
        <v>1954</v>
      </c>
    </row>
    <row r="1902" spans="1:37" x14ac:dyDescent="0.3">
      <c r="A1902" t="s">
        <v>5915</v>
      </c>
      <c r="B1902" t="s">
        <v>5916</v>
      </c>
      <c r="C1902" t="s">
        <v>5917</v>
      </c>
      <c r="D1902" t="s">
        <v>7</v>
      </c>
      <c r="AG1902" t="str">
        <f>T("4352")</f>
        <v>4352</v>
      </c>
      <c r="AH1902" t="str">
        <f>T("23")</f>
        <v>23</v>
      </c>
      <c r="AK1902" t="str">
        <f>T("1620")</f>
        <v>1620</v>
      </c>
    </row>
    <row r="1903" spans="1:37" x14ac:dyDescent="0.3">
      <c r="A1903" t="s">
        <v>5918</v>
      </c>
      <c r="B1903" t="s">
        <v>5919</v>
      </c>
      <c r="C1903" t="s">
        <v>5920</v>
      </c>
      <c r="D1903" t="s">
        <v>7</v>
      </c>
      <c r="AG1903" t="str">
        <f>T("3296")</f>
        <v>3296</v>
      </c>
      <c r="AH1903" t="str">
        <f>T("5")</f>
        <v>5</v>
      </c>
      <c r="AK1903" t="str">
        <f>T("2125")</f>
        <v>2125</v>
      </c>
    </row>
    <row r="1904" spans="1:37" x14ac:dyDescent="0.3">
      <c r="A1904" t="s">
        <v>5921</v>
      </c>
      <c r="B1904" t="s">
        <v>5922</v>
      </c>
      <c r="C1904" t="s">
        <v>5923</v>
      </c>
      <c r="D1904" t="s">
        <v>7</v>
      </c>
      <c r="K1904" t="str">
        <f>T("172.515")</f>
        <v>172.515</v>
      </c>
      <c r="L1904" t="str">
        <f>T("175.105")</f>
        <v>175.105</v>
      </c>
      <c r="M1904" t="str">
        <f>T("177.1200")</f>
        <v>177.1200</v>
      </c>
      <c r="AG1904" t="str">
        <f>T("2926")</f>
        <v>2926</v>
      </c>
      <c r="AH1904" t="str">
        <f>T("3")</f>
        <v>3</v>
      </c>
      <c r="AI1904" t="str">
        <f>T("25")</f>
        <v>25</v>
      </c>
      <c r="AK1904" t="str">
        <f>T("305")</f>
        <v>305</v>
      </c>
    </row>
    <row r="1905" spans="1:37" x14ac:dyDescent="0.3">
      <c r="A1905" t="s">
        <v>5924</v>
      </c>
      <c r="B1905" t="s">
        <v>5925</v>
      </c>
      <c r="C1905" t="s">
        <v>5926</v>
      </c>
      <c r="D1905" t="s">
        <v>7</v>
      </c>
      <c r="K1905" t="str">
        <f>T("172.515")</f>
        <v>172.515</v>
      </c>
      <c r="AG1905" t="str">
        <f>T("2927")</f>
        <v>2927</v>
      </c>
      <c r="AH1905" t="str">
        <f>T("3")</f>
        <v>3</v>
      </c>
      <c r="AK1905" t="str">
        <f>T("808")</f>
        <v>808</v>
      </c>
    </row>
    <row r="1906" spans="1:37" x14ac:dyDescent="0.3">
      <c r="A1906" t="s">
        <v>5927</v>
      </c>
      <c r="B1906" t="s">
        <v>5928</v>
      </c>
      <c r="C1906" t="s">
        <v>5929</v>
      </c>
      <c r="D1906" t="s">
        <v>2285</v>
      </c>
      <c r="E1906" t="str">
        <f>T("73.1")</f>
        <v>73.1</v>
      </c>
      <c r="F1906" t="str">
        <f>T("73.1001")</f>
        <v>73.1001</v>
      </c>
      <c r="G1906" t="str">
        <f>T("73.30")</f>
        <v>73.30</v>
      </c>
      <c r="H1906" t="str">
        <f>T("73.315")</f>
        <v>73.315</v>
      </c>
      <c r="I1906" t="str">
        <f>T("73.345")</f>
        <v>73.345</v>
      </c>
      <c r="J1906" t="str">
        <f>T("73.615")</f>
        <v>73.615</v>
      </c>
      <c r="K1906" t="str">
        <f>T("172.385")</f>
        <v>172.385</v>
      </c>
      <c r="L1906" t="str">
        <f>T("172.515")</f>
        <v>172.515</v>
      </c>
      <c r="M1906" t="str">
        <f>T("172.560")</f>
        <v>172.560</v>
      </c>
      <c r="N1906" t="str">
        <f>T("172.665")</f>
        <v>172.665</v>
      </c>
      <c r="O1906" t="str">
        <f>T("172.695")</f>
        <v>172.695</v>
      </c>
      <c r="P1906" t="str">
        <f>T("173.240")</f>
        <v>173.240</v>
      </c>
      <c r="Q1906" t="str">
        <f>T("173.340")</f>
        <v>173.340</v>
      </c>
      <c r="R1906" t="str">
        <f>T("175.105")</f>
        <v>175.105</v>
      </c>
      <c r="S1906" t="str">
        <f>T("176.180")</f>
        <v>176.180</v>
      </c>
      <c r="T1906" t="str">
        <f>T("176.200")</f>
        <v>176.200</v>
      </c>
      <c r="U1906" t="str">
        <f>T("176.210")</f>
        <v>176.210</v>
      </c>
      <c r="V1906" t="str">
        <f>T("177.1200")</f>
        <v>177.1200</v>
      </c>
      <c r="W1906" t="str">
        <f>T("177.2800")</f>
        <v>177.2800</v>
      </c>
      <c r="X1906" t="str">
        <f>T("178.1010")</f>
        <v>178.1010</v>
      </c>
      <c r="AG1906" t="str">
        <f>T("2929")</f>
        <v>2929</v>
      </c>
      <c r="AH1906" t="str">
        <f>T("3")</f>
        <v>3</v>
      </c>
      <c r="AI1906" t="str">
        <f>T("25")</f>
        <v>25</v>
      </c>
      <c r="AK1906" t="str">
        <f>T("277")</f>
        <v>277</v>
      </c>
    </row>
    <row r="1907" spans="1:37" x14ac:dyDescent="0.3">
      <c r="A1907" t="s">
        <v>5930</v>
      </c>
      <c r="B1907" t="s">
        <v>5931</v>
      </c>
      <c r="C1907" t="s">
        <v>5932</v>
      </c>
      <c r="D1907" t="s">
        <v>7</v>
      </c>
      <c r="AG1907" t="str">
        <f>T("4238")</f>
        <v>4238</v>
      </c>
      <c r="AH1907" t="str">
        <f>T("22")</f>
        <v>22</v>
      </c>
      <c r="AK1907" t="str">
        <f>T("1581")</f>
        <v>1581</v>
      </c>
    </row>
    <row r="1908" spans="1:37" x14ac:dyDescent="0.3">
      <c r="A1908" t="s">
        <v>5933</v>
      </c>
      <c r="B1908" t="s">
        <v>5934</v>
      </c>
      <c r="C1908" t="s">
        <v>5935</v>
      </c>
      <c r="D1908" t="s">
        <v>7</v>
      </c>
      <c r="K1908" t="str">
        <f>T("172.515")</f>
        <v>172.515</v>
      </c>
      <c r="AG1908" t="str">
        <f>T("2932")</f>
        <v>2932</v>
      </c>
      <c r="AH1908" t="str">
        <f>T("3")</f>
        <v>3</v>
      </c>
      <c r="AK1908" t="str">
        <f>T("855")</f>
        <v>855</v>
      </c>
    </row>
    <row r="1909" spans="1:37" x14ac:dyDescent="0.3">
      <c r="A1909" t="s">
        <v>5936</v>
      </c>
      <c r="B1909" t="s">
        <v>5937</v>
      </c>
      <c r="C1909" t="s">
        <v>5938</v>
      </c>
      <c r="D1909" t="s">
        <v>7</v>
      </c>
      <c r="K1909" t="str">
        <f>T("172.515")</f>
        <v>172.515</v>
      </c>
      <c r="AG1909" t="str">
        <f>T("2933")</f>
        <v>2933</v>
      </c>
      <c r="AH1909" t="str">
        <f>T("3")</f>
        <v>3</v>
      </c>
      <c r="AI1909" t="str">
        <f>T("25")</f>
        <v>25</v>
      </c>
      <c r="AK1909" t="str">
        <f>T("864")</f>
        <v>864</v>
      </c>
    </row>
    <row r="1910" spans="1:37" x14ac:dyDescent="0.3">
      <c r="A1910" t="s">
        <v>5939</v>
      </c>
      <c r="B1910" t="s">
        <v>5940</v>
      </c>
      <c r="C1910" t="s">
        <v>5941</v>
      </c>
      <c r="D1910" t="s">
        <v>7</v>
      </c>
      <c r="K1910" t="str">
        <f>T("172.515")</f>
        <v>172.515</v>
      </c>
      <c r="AG1910" t="str">
        <f>T("2935")</f>
        <v>2935</v>
      </c>
      <c r="AH1910" t="str">
        <f>T("3")</f>
        <v>3</v>
      </c>
      <c r="AI1910" t="str">
        <f>T("25")</f>
        <v>25</v>
      </c>
      <c r="AK1910" t="str">
        <f>T("307")</f>
        <v>307</v>
      </c>
    </row>
    <row r="1911" spans="1:37" x14ac:dyDescent="0.3">
      <c r="A1911" t="s">
        <v>5942</v>
      </c>
      <c r="B1911" t="s">
        <v>5943</v>
      </c>
      <c r="C1911" t="s">
        <v>5944</v>
      </c>
      <c r="D1911" t="s">
        <v>15</v>
      </c>
      <c r="K1911" t="str">
        <f>T("172.515")</f>
        <v>172.515</v>
      </c>
      <c r="AG1911" t="str">
        <f>T("2939")</f>
        <v>2939</v>
      </c>
      <c r="AH1911" t="str">
        <f>T("3")</f>
        <v>3</v>
      </c>
      <c r="AI1911" t="str">
        <f>T("25")</f>
        <v>25</v>
      </c>
      <c r="AK1911" t="str">
        <f>T("661")</f>
        <v>661</v>
      </c>
    </row>
    <row r="1912" spans="1:37" x14ac:dyDescent="0.3">
      <c r="A1912" t="s">
        <v>5945</v>
      </c>
      <c r="B1912" t="s">
        <v>5946</v>
      </c>
      <c r="C1912" t="s">
        <v>5947</v>
      </c>
      <c r="D1912" t="s">
        <v>1441</v>
      </c>
      <c r="K1912" t="str">
        <f>T("184.1386")</f>
        <v>184.1386</v>
      </c>
      <c r="AF1912" t="str">
        <f>T("166.11")</f>
        <v>166.11</v>
      </c>
    </row>
    <row r="1913" spans="1:37" x14ac:dyDescent="0.3">
      <c r="A1913" t="s">
        <v>5948</v>
      </c>
      <c r="B1913" t="s">
        <v>5949</v>
      </c>
      <c r="C1913" t="s">
        <v>5950</v>
      </c>
      <c r="D1913" t="s">
        <v>7</v>
      </c>
      <c r="AG1913" t="str">
        <f>T("3939")</f>
        <v>3939</v>
      </c>
      <c r="AH1913" t="str">
        <f>T("19")</f>
        <v>19</v>
      </c>
      <c r="AK1913" t="str">
        <f>T("1110")</f>
        <v>1110</v>
      </c>
    </row>
    <row r="1914" spans="1:37" x14ac:dyDescent="0.3">
      <c r="A1914" t="s">
        <v>5951</v>
      </c>
      <c r="B1914" t="s">
        <v>5952</v>
      </c>
      <c r="C1914" t="s">
        <v>5953</v>
      </c>
      <c r="D1914" t="s">
        <v>7</v>
      </c>
      <c r="AG1914" t="str">
        <f>T("4680")</f>
        <v>4680</v>
      </c>
      <c r="AH1914" t="str">
        <f>T("25")</f>
        <v>25</v>
      </c>
      <c r="AK1914" t="str">
        <f>T("2140")</f>
        <v>2140</v>
      </c>
    </row>
    <row r="1915" spans="1:37" x14ac:dyDescent="0.3">
      <c r="A1915" t="s">
        <v>5954</v>
      </c>
      <c r="B1915" t="s">
        <v>5955</v>
      </c>
      <c r="C1915" t="s">
        <v>5956</v>
      </c>
      <c r="D1915" t="s">
        <v>7</v>
      </c>
      <c r="AG1915" t="str">
        <f>T("3782")</f>
        <v>3782</v>
      </c>
      <c r="AH1915" t="str">
        <f>T("16")</f>
        <v>16</v>
      </c>
      <c r="AK1915" t="str">
        <f>T("1047")</f>
        <v>1047</v>
      </c>
    </row>
    <row r="1916" spans="1:37" x14ac:dyDescent="0.3">
      <c r="A1916" t="s">
        <v>5957</v>
      </c>
      <c r="B1916" t="s">
        <v>5958</v>
      </c>
      <c r="C1916" t="s">
        <v>5959</v>
      </c>
      <c r="D1916" t="s">
        <v>7</v>
      </c>
      <c r="K1916" t="str">
        <f>T("172.515")</f>
        <v>172.515</v>
      </c>
      <c r="AG1916" t="str">
        <f>T("2944")</f>
        <v>2944</v>
      </c>
      <c r="AH1916" t="str">
        <f>T("3")</f>
        <v>3</v>
      </c>
      <c r="AK1916" t="str">
        <f>T("304")</f>
        <v>304</v>
      </c>
    </row>
    <row r="1917" spans="1:37" x14ac:dyDescent="0.3">
      <c r="A1917" t="s">
        <v>5960</v>
      </c>
      <c r="B1917" t="s">
        <v>5961</v>
      </c>
      <c r="C1917" t="s">
        <v>5962</v>
      </c>
      <c r="D1917" t="s">
        <v>7</v>
      </c>
      <c r="K1917" t="str">
        <f>T("172.515")</f>
        <v>172.515</v>
      </c>
      <c r="AG1917" t="str">
        <f>T("2950")</f>
        <v>2950</v>
      </c>
      <c r="AH1917" t="str">
        <f>T("3")</f>
        <v>3</v>
      </c>
      <c r="AK1917" t="str">
        <f>T("308")</f>
        <v>308</v>
      </c>
    </row>
    <row r="1918" spans="1:37" x14ac:dyDescent="0.3">
      <c r="A1918" t="s">
        <v>5963</v>
      </c>
      <c r="B1918" t="s">
        <v>5964</v>
      </c>
      <c r="C1918" t="s">
        <v>5965</v>
      </c>
      <c r="D1918" t="s">
        <v>7</v>
      </c>
      <c r="AG1918" t="str">
        <f>T("4611")</f>
        <v>4611</v>
      </c>
      <c r="AH1918" t="str">
        <f>T("24")</f>
        <v>24</v>
      </c>
      <c r="AK1918" t="str">
        <f>T("1988")</f>
        <v>1988</v>
      </c>
    </row>
    <row r="1919" spans="1:37" x14ac:dyDescent="0.3">
      <c r="A1919" t="s">
        <v>5966</v>
      </c>
      <c r="B1919" t="s">
        <v>5967</v>
      </c>
      <c r="C1919" t="s">
        <v>5968</v>
      </c>
      <c r="D1919" t="s">
        <v>15</v>
      </c>
      <c r="K1919" t="str">
        <f>T("172.515")</f>
        <v>172.515</v>
      </c>
      <c r="AG1919" t="str">
        <f>T("2937")</f>
        <v>2937</v>
      </c>
      <c r="AH1919" t="str">
        <f>T("3")</f>
        <v>3</v>
      </c>
      <c r="AI1919" t="str">
        <f>T("25")</f>
        <v>25</v>
      </c>
      <c r="AK1919" t="str">
        <f>T("309")</f>
        <v>309</v>
      </c>
    </row>
    <row r="1920" spans="1:37" x14ac:dyDescent="0.3">
      <c r="A1920" t="s">
        <v>5969</v>
      </c>
      <c r="B1920" t="s">
        <v>5970</v>
      </c>
      <c r="C1920" t="s">
        <v>5971</v>
      </c>
      <c r="D1920" t="s">
        <v>7</v>
      </c>
      <c r="AG1920" t="str">
        <f>T("4425")</f>
        <v>4425</v>
      </c>
      <c r="AH1920" t="str">
        <f>T("23")</f>
        <v>23</v>
      </c>
      <c r="AK1920" t="str">
        <f>T("1888")</f>
        <v>1888</v>
      </c>
    </row>
    <row r="1921" spans="1:37" x14ac:dyDescent="0.3">
      <c r="A1921" t="s">
        <v>5972</v>
      </c>
      <c r="B1921" t="s">
        <v>5973</v>
      </c>
      <c r="C1921" t="s">
        <v>5974</v>
      </c>
      <c r="D1921" t="s">
        <v>7</v>
      </c>
      <c r="K1921" t="str">
        <f>T("172.515")</f>
        <v>172.515</v>
      </c>
      <c r="AG1921" t="str">
        <f>T("2961")</f>
        <v>2961</v>
      </c>
      <c r="AH1921" t="str">
        <f>T("3")</f>
        <v>3</v>
      </c>
      <c r="AI1921" t="str">
        <f>T("25")</f>
        <v>25</v>
      </c>
      <c r="AK1921" t="str">
        <f>T("310")</f>
        <v>310</v>
      </c>
    </row>
    <row r="1922" spans="1:37" x14ac:dyDescent="0.3">
      <c r="A1922" t="s">
        <v>5975</v>
      </c>
      <c r="B1922" t="s">
        <v>5976</v>
      </c>
      <c r="C1922" t="s">
        <v>5977</v>
      </c>
      <c r="D1922" t="s">
        <v>7</v>
      </c>
      <c r="AG1922" t="str">
        <f>T("4260")</f>
        <v>4260</v>
      </c>
      <c r="AH1922" t="str">
        <f>T("23")</f>
        <v>23</v>
      </c>
      <c r="AK1922" t="str">
        <f>T("1679")</f>
        <v>1679</v>
      </c>
    </row>
    <row r="1923" spans="1:37" x14ac:dyDescent="0.3">
      <c r="A1923" t="s">
        <v>5978</v>
      </c>
      <c r="B1923" t="s">
        <v>5979</v>
      </c>
      <c r="C1923" t="s">
        <v>5980</v>
      </c>
      <c r="D1923" t="s">
        <v>7</v>
      </c>
      <c r="AG1923" t="str">
        <f>T("3699")</f>
        <v>3699</v>
      </c>
      <c r="AH1923" t="str">
        <f>T("13")</f>
        <v>13</v>
      </c>
      <c r="AK1923" t="str">
        <f>T("210")</f>
        <v>210</v>
      </c>
    </row>
    <row r="1924" spans="1:37" x14ac:dyDescent="0.3">
      <c r="A1924" t="s">
        <v>5981</v>
      </c>
      <c r="B1924" t="s">
        <v>5982</v>
      </c>
      <c r="C1924" t="s">
        <v>5983</v>
      </c>
      <c r="D1924" t="s">
        <v>7</v>
      </c>
      <c r="AG1924" t="str">
        <f>T("3406")</f>
        <v>3406</v>
      </c>
      <c r="AH1924" t="str">
        <f>T("7")</f>
        <v>7</v>
      </c>
      <c r="AI1924" t="str">
        <f>T("25")</f>
        <v>25</v>
      </c>
      <c r="AK1924" t="str">
        <f>T("1215")</f>
        <v>1215</v>
      </c>
    </row>
    <row r="1925" spans="1:37" x14ac:dyDescent="0.3">
      <c r="A1925" t="s">
        <v>5984</v>
      </c>
      <c r="B1925" t="s">
        <v>5985</v>
      </c>
      <c r="C1925" t="s">
        <v>5986</v>
      </c>
      <c r="D1925" t="s">
        <v>7</v>
      </c>
      <c r="AG1925" t="str">
        <f>T("4331")</f>
        <v>4331</v>
      </c>
      <c r="AH1925" t="str">
        <f>T("23")</f>
        <v>23</v>
      </c>
      <c r="AK1925" t="str">
        <f>T("1840")</f>
        <v>1840</v>
      </c>
    </row>
    <row r="1926" spans="1:37" x14ac:dyDescent="0.3">
      <c r="A1926" t="s">
        <v>5987</v>
      </c>
      <c r="B1926" t="s">
        <v>5988</v>
      </c>
      <c r="C1926" t="s">
        <v>5989</v>
      </c>
      <c r="D1926" t="s">
        <v>7</v>
      </c>
      <c r="AG1926" t="str">
        <f>T("3555")</f>
        <v>3555</v>
      </c>
      <c r="AH1926" t="str">
        <f>T("11")</f>
        <v>11</v>
      </c>
      <c r="AK1926" t="str">
        <f>T("1037")</f>
        <v>1037</v>
      </c>
    </row>
    <row r="1927" spans="1:37" x14ac:dyDescent="0.3">
      <c r="A1927" t="s">
        <v>5990</v>
      </c>
      <c r="B1927" t="s">
        <v>5991</v>
      </c>
      <c r="C1927" t="s">
        <v>5992</v>
      </c>
      <c r="AG1927" t="str">
        <f>T("3556")</f>
        <v>3556</v>
      </c>
      <c r="AH1927" t="str">
        <f>T("11")</f>
        <v>11</v>
      </c>
      <c r="AK1927" t="str">
        <f>T("311")</f>
        <v>311</v>
      </c>
    </row>
    <row r="1928" spans="1:37" x14ac:dyDescent="0.3">
      <c r="A1928" t="s">
        <v>5993</v>
      </c>
      <c r="B1928" t="s">
        <v>5994</v>
      </c>
      <c r="C1928" t="s">
        <v>5995</v>
      </c>
    </row>
    <row r="1929" spans="1:37" x14ac:dyDescent="0.3">
      <c r="A1929" t="s">
        <v>5996</v>
      </c>
      <c r="B1929" t="s">
        <v>5997</v>
      </c>
      <c r="C1929" t="s">
        <v>5998</v>
      </c>
      <c r="D1929" t="s">
        <v>7</v>
      </c>
      <c r="AG1929" t="str">
        <f>T("3461")</f>
        <v>3461</v>
      </c>
      <c r="AH1929" t="str">
        <f>T("9")</f>
        <v>9</v>
      </c>
      <c r="AI1929" t="str">
        <f>T("25")</f>
        <v>25</v>
      </c>
      <c r="AK1929" t="str">
        <f>T("697")</f>
        <v>697</v>
      </c>
    </row>
    <row r="1930" spans="1:37" x14ac:dyDescent="0.3">
      <c r="A1930" t="s">
        <v>5999</v>
      </c>
      <c r="B1930" t="s">
        <v>6000</v>
      </c>
      <c r="C1930" t="s">
        <v>6001</v>
      </c>
      <c r="D1930" t="s">
        <v>7</v>
      </c>
      <c r="K1930" t="str">
        <f>T("172.515")</f>
        <v>172.515</v>
      </c>
      <c r="AG1930" t="str">
        <f>T("2954")</f>
        <v>2954</v>
      </c>
      <c r="AH1930" t="str">
        <f>T("3")</f>
        <v>3</v>
      </c>
      <c r="AK1930" t="str">
        <f>T("1024")</f>
        <v>1024</v>
      </c>
    </row>
    <row r="1931" spans="1:37" x14ac:dyDescent="0.3">
      <c r="A1931" t="s">
        <v>6002</v>
      </c>
      <c r="B1931" t="s">
        <v>6003</v>
      </c>
      <c r="C1931" t="s">
        <v>6004</v>
      </c>
      <c r="D1931" t="s">
        <v>7</v>
      </c>
      <c r="K1931" t="str">
        <f>T("172.515")</f>
        <v>172.515</v>
      </c>
      <c r="AG1931" t="str">
        <f>T("2956")</f>
        <v>2956</v>
      </c>
      <c r="AH1931" t="str">
        <f>T("3")</f>
        <v>3</v>
      </c>
      <c r="AK1931" t="str">
        <f>T("1011")</f>
        <v>1011</v>
      </c>
    </row>
    <row r="1932" spans="1:37" x14ac:dyDescent="0.3">
      <c r="A1932" t="s">
        <v>6005</v>
      </c>
      <c r="B1932" t="s">
        <v>6006</v>
      </c>
      <c r="C1932" t="s">
        <v>6007</v>
      </c>
      <c r="D1932" t="s">
        <v>7</v>
      </c>
      <c r="K1932" t="str">
        <f>T("172.515")</f>
        <v>172.515</v>
      </c>
      <c r="AG1932" t="str">
        <f>T("2957")</f>
        <v>2957</v>
      </c>
      <c r="AH1932" t="str">
        <f>T("3")</f>
        <v>3</v>
      </c>
      <c r="AK1932" t="str">
        <f>T("680")</f>
        <v>680</v>
      </c>
    </row>
    <row r="1933" spans="1:37" x14ac:dyDescent="0.3">
      <c r="A1933" t="s">
        <v>6008</v>
      </c>
      <c r="B1933" t="s">
        <v>6009</v>
      </c>
      <c r="C1933" t="s">
        <v>6010</v>
      </c>
      <c r="D1933" t="s">
        <v>7</v>
      </c>
      <c r="K1933" t="str">
        <f>T("172.515")</f>
        <v>172.515</v>
      </c>
      <c r="AG1933" t="str">
        <f>T("2959")</f>
        <v>2959</v>
      </c>
      <c r="AH1933" t="str">
        <f>T("3")</f>
        <v>3</v>
      </c>
      <c r="AK1933" t="str">
        <f>T("306")</f>
        <v>306</v>
      </c>
    </row>
    <row r="1934" spans="1:37" x14ac:dyDescent="0.3">
      <c r="A1934" t="s">
        <v>6011</v>
      </c>
      <c r="B1934" t="s">
        <v>6012</v>
      </c>
      <c r="C1934" t="s">
        <v>6013</v>
      </c>
      <c r="D1934" t="s">
        <v>7</v>
      </c>
      <c r="AG1934" t="str">
        <f>T("3940")</f>
        <v>3940</v>
      </c>
      <c r="AH1934" t="str">
        <f>T("19")</f>
        <v>19</v>
      </c>
      <c r="AK1934" t="str">
        <f>T("764")</f>
        <v>764</v>
      </c>
    </row>
    <row r="1935" spans="1:37" x14ac:dyDescent="0.3">
      <c r="A1935" t="s">
        <v>6014</v>
      </c>
      <c r="B1935" t="s">
        <v>6015</v>
      </c>
      <c r="C1935" t="s">
        <v>6016</v>
      </c>
      <c r="D1935" t="s">
        <v>7</v>
      </c>
      <c r="AG1935" t="str">
        <f>T("3229")</f>
        <v>3229</v>
      </c>
      <c r="AH1935" t="str">
        <f>T("4")</f>
        <v>4</v>
      </c>
      <c r="AK1935" t="str">
        <f>T("312")</f>
        <v>312</v>
      </c>
    </row>
    <row r="1936" spans="1:37" x14ac:dyDescent="0.3">
      <c r="A1936" t="s">
        <v>6017</v>
      </c>
      <c r="B1936" t="s">
        <v>6018</v>
      </c>
      <c r="C1936" t="s">
        <v>6019</v>
      </c>
      <c r="D1936" t="s">
        <v>7</v>
      </c>
      <c r="AG1936" t="str">
        <f>T("3804")</f>
        <v>3804</v>
      </c>
      <c r="AH1936" t="str">
        <f>T("17")</f>
        <v>17</v>
      </c>
      <c r="AK1936" t="str">
        <f>T("1595")</f>
        <v>1595</v>
      </c>
    </row>
    <row r="1937" spans="1:37" x14ac:dyDescent="0.3">
      <c r="A1937" t="s">
        <v>6020</v>
      </c>
      <c r="B1937" t="s">
        <v>6021</v>
      </c>
      <c r="C1937" t="s">
        <v>6022</v>
      </c>
      <c r="D1937" t="s">
        <v>7</v>
      </c>
      <c r="K1937" t="str">
        <f>T("172.515")</f>
        <v>172.515</v>
      </c>
      <c r="AG1937" t="str">
        <f>T("2962")</f>
        <v>2962</v>
      </c>
      <c r="AH1937" t="str">
        <f>T("3")</f>
        <v>3</v>
      </c>
      <c r="AI1937" t="str">
        <f>T("25")</f>
        <v>25</v>
      </c>
      <c r="AK1937" t="str">
        <f>T("755")</f>
        <v>755</v>
      </c>
    </row>
    <row r="1938" spans="1:37" x14ac:dyDescent="0.3">
      <c r="A1938" t="s">
        <v>6023</v>
      </c>
      <c r="B1938" t="s">
        <v>6024</v>
      </c>
      <c r="C1938" t="s">
        <v>6025</v>
      </c>
      <c r="D1938" t="s">
        <v>7</v>
      </c>
      <c r="K1938" t="str">
        <f>T("172.515")</f>
        <v>172.515</v>
      </c>
      <c r="AG1938" t="str">
        <f>T("2964")</f>
        <v>2964</v>
      </c>
      <c r="AH1938" t="str">
        <f>T("3")</f>
        <v>3</v>
      </c>
      <c r="AI1938" t="str">
        <f>T("25")</f>
        <v>25</v>
      </c>
      <c r="AK1938" t="str">
        <f>T("754")</f>
        <v>754</v>
      </c>
    </row>
    <row r="1939" spans="1:37" x14ac:dyDescent="0.3">
      <c r="A1939" t="s">
        <v>6026</v>
      </c>
      <c r="B1939" t="s">
        <v>6027</v>
      </c>
      <c r="C1939" t="s">
        <v>6028</v>
      </c>
      <c r="D1939" t="s">
        <v>7</v>
      </c>
      <c r="K1939" t="str">
        <f>T("172.515")</f>
        <v>172.515</v>
      </c>
      <c r="AG1939" t="str">
        <f>T("2965")</f>
        <v>2965</v>
      </c>
      <c r="AH1939" t="str">
        <f>T("3")</f>
        <v>3</v>
      </c>
      <c r="AI1939" t="str">
        <f>T("25")</f>
        <v>25</v>
      </c>
      <c r="AK1939" t="str">
        <f>T("756")</f>
        <v>756</v>
      </c>
    </row>
    <row r="1940" spans="1:37" x14ac:dyDescent="0.3">
      <c r="A1940" t="s">
        <v>6029</v>
      </c>
      <c r="B1940" t="s">
        <v>6030</v>
      </c>
      <c r="C1940" t="s">
        <v>6031</v>
      </c>
      <c r="D1940" t="s">
        <v>7</v>
      </c>
      <c r="AG1940" t="str">
        <f>T("4225")</f>
        <v>4225</v>
      </c>
      <c r="AH1940" t="str">
        <f>T("22")</f>
        <v>22</v>
      </c>
    </row>
    <row r="1941" spans="1:37" x14ac:dyDescent="0.3">
      <c r="A1941" t="s">
        <v>6032</v>
      </c>
      <c r="B1941" t="s">
        <v>6033</v>
      </c>
      <c r="C1941" t="s">
        <v>6034</v>
      </c>
      <c r="D1941" t="s">
        <v>7</v>
      </c>
      <c r="K1941" t="str">
        <f>T("172.515")</f>
        <v>172.515</v>
      </c>
      <c r="AG1941" t="str">
        <f>T("2978")</f>
        <v>2978</v>
      </c>
      <c r="AH1941" t="str">
        <f>T("3")</f>
        <v>3</v>
      </c>
      <c r="AK1941" t="str">
        <f>T("1303")</f>
        <v>1303</v>
      </c>
    </row>
    <row r="1942" spans="1:37" x14ac:dyDescent="0.3">
      <c r="A1942" t="s">
        <v>6035</v>
      </c>
      <c r="B1942" t="s">
        <v>6036</v>
      </c>
      <c r="C1942" t="s">
        <v>6037</v>
      </c>
      <c r="D1942" t="s">
        <v>7</v>
      </c>
      <c r="AG1942" t="str">
        <f>T("4371")</f>
        <v>4371</v>
      </c>
      <c r="AH1942" t="str">
        <f>T("23")</f>
        <v>23</v>
      </c>
      <c r="AK1942" t="str">
        <f>T("1730")</f>
        <v>1730</v>
      </c>
    </row>
    <row r="1943" spans="1:37" x14ac:dyDescent="0.3">
      <c r="A1943" t="s">
        <v>6038</v>
      </c>
      <c r="B1943" t="s">
        <v>6039</v>
      </c>
      <c r="C1943" t="s">
        <v>6040</v>
      </c>
      <c r="D1943" t="s">
        <v>7</v>
      </c>
      <c r="AG1943" t="str">
        <f>T("4380")</f>
        <v>4380</v>
      </c>
      <c r="AH1943" t="str">
        <f>T("23")</f>
        <v>23</v>
      </c>
      <c r="AK1943" t="str">
        <f>T("1733")</f>
        <v>1733</v>
      </c>
    </row>
    <row r="1944" spans="1:37" x14ac:dyDescent="0.3">
      <c r="A1944" t="s">
        <v>6041</v>
      </c>
      <c r="B1944" t="s">
        <v>6042</v>
      </c>
      <c r="C1944" t="s">
        <v>6043</v>
      </c>
      <c r="D1944" t="s">
        <v>7</v>
      </c>
      <c r="K1944" t="str">
        <f>T("172.515")</f>
        <v>172.515</v>
      </c>
      <c r="AG1944" t="str">
        <f>T("3102")</f>
        <v>3102</v>
      </c>
      <c r="AH1944" t="str">
        <f>T("3")</f>
        <v>3</v>
      </c>
      <c r="AK1944" t="str">
        <f>T("259")</f>
        <v>259</v>
      </c>
    </row>
    <row r="1945" spans="1:37" x14ac:dyDescent="0.3">
      <c r="A1945" t="s">
        <v>6044</v>
      </c>
      <c r="B1945" t="s">
        <v>6045</v>
      </c>
      <c r="C1945" t="s">
        <v>6046</v>
      </c>
      <c r="D1945" t="s">
        <v>7</v>
      </c>
      <c r="K1945" t="str">
        <f>T("172.510")</f>
        <v>172.510</v>
      </c>
    </row>
    <row r="1946" spans="1:37" x14ac:dyDescent="0.3">
      <c r="A1946" t="s">
        <v>6047</v>
      </c>
      <c r="B1946" t="s">
        <v>6048</v>
      </c>
      <c r="C1946" t="s">
        <v>6049</v>
      </c>
      <c r="D1946" t="s">
        <v>7</v>
      </c>
      <c r="K1946" t="str">
        <f>T("172.510")</f>
        <v>172.510</v>
      </c>
    </row>
    <row r="1947" spans="1:37" x14ac:dyDescent="0.3">
      <c r="A1947" t="s">
        <v>6050</v>
      </c>
      <c r="B1947" t="s">
        <v>6051</v>
      </c>
      <c r="C1947" t="s">
        <v>6052</v>
      </c>
      <c r="D1947" t="s">
        <v>7</v>
      </c>
      <c r="AG1947" t="str">
        <f>T("3783")</f>
        <v>3783</v>
      </c>
      <c r="AH1947" t="str">
        <f>T("16")</f>
        <v>16</v>
      </c>
      <c r="AI1947" t="str">
        <f>T("24")</f>
        <v>24</v>
      </c>
    </row>
    <row r="1948" spans="1:37" x14ac:dyDescent="0.3">
      <c r="A1948" t="s">
        <v>6053</v>
      </c>
      <c r="B1948" t="s">
        <v>6054</v>
      </c>
      <c r="C1948" t="s">
        <v>6055</v>
      </c>
      <c r="D1948" t="s">
        <v>6056</v>
      </c>
      <c r="E1948" t="str">
        <f>T("73.1")</f>
        <v>73.1</v>
      </c>
      <c r="K1948" t="str">
        <f>T("175.105")</f>
        <v>175.105</v>
      </c>
      <c r="L1948" t="str">
        <f>T("175.350")</f>
        <v>175.350</v>
      </c>
      <c r="M1948" t="str">
        <f>T("176.170")</f>
        <v>176.170</v>
      </c>
      <c r="N1948" t="str">
        <f>T("186.1555")</f>
        <v>186.1555</v>
      </c>
    </row>
    <row r="1949" spans="1:37" x14ac:dyDescent="0.3">
      <c r="A1949" t="s">
        <v>6057</v>
      </c>
      <c r="B1949" t="s">
        <v>6058</v>
      </c>
      <c r="C1949" t="s">
        <v>6059</v>
      </c>
      <c r="D1949" t="s">
        <v>7</v>
      </c>
      <c r="K1949" t="str">
        <f>T("182.20")</f>
        <v>182.20</v>
      </c>
      <c r="AG1949" t="str">
        <f>T("2598")</f>
        <v>2598</v>
      </c>
      <c r="AH1949" t="str">
        <f>T("3")</f>
        <v>3</v>
      </c>
    </row>
    <row r="1950" spans="1:37" x14ac:dyDescent="0.3">
      <c r="A1950" t="s">
        <v>6060</v>
      </c>
      <c r="B1950" t="s">
        <v>6061</v>
      </c>
      <c r="C1950" t="s">
        <v>6062</v>
      </c>
      <c r="D1950" t="s">
        <v>7</v>
      </c>
      <c r="K1950" t="str">
        <f>T("182.20")</f>
        <v>182.20</v>
      </c>
      <c r="AG1950" t="str">
        <f>T("2599")</f>
        <v>2599</v>
      </c>
      <c r="AH1950" t="str">
        <f>T("3")</f>
        <v>3</v>
      </c>
    </row>
    <row r="1951" spans="1:37" x14ac:dyDescent="0.3">
      <c r="A1951" t="s">
        <v>6063</v>
      </c>
      <c r="B1951" t="s">
        <v>6064</v>
      </c>
      <c r="C1951" t="s">
        <v>6065</v>
      </c>
      <c r="D1951" t="s">
        <v>7</v>
      </c>
      <c r="K1951" t="str">
        <f>T("182.20")</f>
        <v>182.20</v>
      </c>
      <c r="AG1951" t="str">
        <f>T("2600")</f>
        <v>2600</v>
      </c>
      <c r="AH1951" t="str">
        <f>T("3")</f>
        <v>3</v>
      </c>
    </row>
    <row r="1952" spans="1:37" x14ac:dyDescent="0.3">
      <c r="A1952" t="s">
        <v>6066</v>
      </c>
      <c r="B1952" t="s">
        <v>6067</v>
      </c>
      <c r="C1952" t="s">
        <v>6068</v>
      </c>
      <c r="D1952" t="s">
        <v>7</v>
      </c>
      <c r="K1952" t="str">
        <f>T("182.20")</f>
        <v>182.20</v>
      </c>
      <c r="AG1952" t="str">
        <f>T("2601")</f>
        <v>2601</v>
      </c>
      <c r="AH1952" t="str">
        <f>T("3")</f>
        <v>3</v>
      </c>
    </row>
    <row r="1953" spans="1:37" x14ac:dyDescent="0.3">
      <c r="A1953" t="s">
        <v>6069</v>
      </c>
      <c r="B1953" t="s">
        <v>6070</v>
      </c>
      <c r="C1953" t="s">
        <v>6071</v>
      </c>
      <c r="D1953" t="s">
        <v>7</v>
      </c>
      <c r="K1953" t="str">
        <f>T("172.515")</f>
        <v>172.515</v>
      </c>
      <c r="AG1953" t="str">
        <f>T("3196")</f>
        <v>3196</v>
      </c>
      <c r="AH1953" t="str">
        <f>T("4")</f>
        <v>4</v>
      </c>
      <c r="AI1953" t="str">
        <f>T("25")</f>
        <v>25</v>
      </c>
      <c r="AK1953" t="str">
        <f>T("1114")</f>
        <v>1114</v>
      </c>
    </row>
    <row r="1954" spans="1:37" x14ac:dyDescent="0.3">
      <c r="A1954" t="s">
        <v>6072</v>
      </c>
      <c r="B1954" t="s">
        <v>6073</v>
      </c>
      <c r="C1954" t="s">
        <v>6074</v>
      </c>
      <c r="D1954" t="s">
        <v>6075</v>
      </c>
      <c r="K1954" t="str">
        <f>T("172.615")</f>
        <v>172.615</v>
      </c>
    </row>
    <row r="1955" spans="1:37" x14ac:dyDescent="0.3">
      <c r="A1955" t="s">
        <v>6076</v>
      </c>
      <c r="B1955" t="s">
        <v>6077</v>
      </c>
      <c r="C1955" t="s">
        <v>6078</v>
      </c>
      <c r="D1955" t="s">
        <v>7</v>
      </c>
      <c r="AG1955" t="str">
        <f>T("2602")</f>
        <v>2602</v>
      </c>
      <c r="AH1955" t="str">
        <f>T("3")</f>
        <v>3</v>
      </c>
    </row>
    <row r="1956" spans="1:37" x14ac:dyDescent="0.3">
      <c r="A1956" t="s">
        <v>6079</v>
      </c>
      <c r="B1956" t="s">
        <v>6080</v>
      </c>
      <c r="C1956" t="s">
        <v>6081</v>
      </c>
      <c r="D1956" t="s">
        <v>7</v>
      </c>
      <c r="K1956" t="str">
        <f>T("182.20")</f>
        <v>182.20</v>
      </c>
      <c r="AG1956" t="str">
        <f>T("2603")</f>
        <v>2603</v>
      </c>
      <c r="AH1956" t="str">
        <f>T("3")</f>
        <v>3</v>
      </c>
    </row>
    <row r="1957" spans="1:37" x14ac:dyDescent="0.3">
      <c r="A1957" t="s">
        <v>6082</v>
      </c>
      <c r="B1957" t="s">
        <v>6083</v>
      </c>
      <c r="C1957" t="s">
        <v>6084</v>
      </c>
      <c r="D1957" t="s">
        <v>7</v>
      </c>
      <c r="K1957" t="str">
        <f>T("182.20")</f>
        <v>182.20</v>
      </c>
      <c r="AG1957" t="str">
        <f>T("2604")</f>
        <v>2604</v>
      </c>
      <c r="AH1957" t="str">
        <f>T("3")</f>
        <v>3</v>
      </c>
    </row>
    <row r="1958" spans="1:37" x14ac:dyDescent="0.3">
      <c r="A1958" t="s">
        <v>6085</v>
      </c>
      <c r="B1958" t="s">
        <v>6086</v>
      </c>
      <c r="C1958" t="s">
        <v>6087</v>
      </c>
      <c r="D1958" t="s">
        <v>7</v>
      </c>
      <c r="K1958" t="str">
        <f>T("172.365")</f>
        <v>172.365</v>
      </c>
      <c r="L1958" t="str">
        <f>T("184.1120")</f>
        <v>184.1120</v>
      </c>
      <c r="AG1958" t="str">
        <f>T("2606")</f>
        <v>2606</v>
      </c>
      <c r="AH1958" t="str">
        <f>T("3")</f>
        <v>3</v>
      </c>
    </row>
    <row r="1959" spans="1:37" x14ac:dyDescent="0.3">
      <c r="A1959" t="s">
        <v>6088</v>
      </c>
      <c r="B1959" t="s">
        <v>6089</v>
      </c>
      <c r="C1959" t="s">
        <v>6090</v>
      </c>
      <c r="D1959" t="s">
        <v>7</v>
      </c>
      <c r="AG1959" t="str">
        <f>T("3357")</f>
        <v>3357</v>
      </c>
      <c r="AH1959" t="str">
        <f>T("6")</f>
        <v>6</v>
      </c>
      <c r="AI1959" t="str">
        <f>T("25")</f>
        <v>25</v>
      </c>
      <c r="AK1959" t="str">
        <f>T("559")</f>
        <v>559</v>
      </c>
    </row>
    <row r="1960" spans="1:37" x14ac:dyDescent="0.3">
      <c r="A1960" t="s">
        <v>6091</v>
      </c>
      <c r="B1960" t="s">
        <v>6092</v>
      </c>
      <c r="C1960" t="s">
        <v>6093</v>
      </c>
      <c r="D1960" t="s">
        <v>15</v>
      </c>
      <c r="AG1960" t="str">
        <f>T("3723")</f>
        <v>3723</v>
      </c>
      <c r="AH1960" t="str">
        <f>T("13")</f>
        <v>13</v>
      </c>
      <c r="AK1960" t="str">
        <f>T("589")</f>
        <v>589</v>
      </c>
    </row>
    <row r="1961" spans="1:37" x14ac:dyDescent="0.3">
      <c r="A1961" t="s">
        <v>6094</v>
      </c>
      <c r="B1961" t="s">
        <v>6095</v>
      </c>
      <c r="C1961" t="s">
        <v>6096</v>
      </c>
      <c r="D1961" t="s">
        <v>7</v>
      </c>
      <c r="K1961" t="str">
        <f>T("182.20")</f>
        <v>182.20</v>
      </c>
      <c r="AG1961" t="str">
        <f>T("2607")</f>
        <v>2607</v>
      </c>
      <c r="AH1961" t="str">
        <f>T("3")</f>
        <v>3</v>
      </c>
    </row>
    <row r="1962" spans="1:37" x14ac:dyDescent="0.3">
      <c r="A1962" t="s">
        <v>6097</v>
      </c>
      <c r="B1962" t="s">
        <v>6098</v>
      </c>
      <c r="C1962" t="s">
        <v>6099</v>
      </c>
      <c r="D1962" t="s">
        <v>7</v>
      </c>
      <c r="K1962" t="str">
        <f>T("172.510")</f>
        <v>172.510</v>
      </c>
      <c r="AG1962" t="str">
        <f>T("2608")</f>
        <v>2608</v>
      </c>
      <c r="AH1962" t="str">
        <f>T("3")</f>
        <v>3</v>
      </c>
    </row>
    <row r="1963" spans="1:37" x14ac:dyDescent="0.3">
      <c r="A1963" t="s">
        <v>6100</v>
      </c>
      <c r="B1963" t="s">
        <v>6101</v>
      </c>
      <c r="C1963" t="s">
        <v>6102</v>
      </c>
      <c r="D1963" t="s">
        <v>7</v>
      </c>
      <c r="K1963" t="str">
        <f>T("172.510")</f>
        <v>172.510</v>
      </c>
      <c r="AG1963" t="str">
        <f>T("2609")</f>
        <v>2609</v>
      </c>
      <c r="AH1963" t="str">
        <f>T("3")</f>
        <v>3</v>
      </c>
    </row>
    <row r="1964" spans="1:37" x14ac:dyDescent="0.3">
      <c r="A1964" t="s">
        <v>6103</v>
      </c>
      <c r="B1964" t="s">
        <v>6104</v>
      </c>
      <c r="C1964" t="s">
        <v>6105</v>
      </c>
      <c r="D1964" t="s">
        <v>7</v>
      </c>
      <c r="K1964" t="str">
        <f>T("172.510")</f>
        <v>172.510</v>
      </c>
      <c r="AG1964" t="str">
        <f>T("2610")</f>
        <v>2610</v>
      </c>
      <c r="AH1964" t="str">
        <f>T("3")</f>
        <v>3</v>
      </c>
    </row>
    <row r="1965" spans="1:37" x14ac:dyDescent="0.3">
      <c r="A1965" t="s">
        <v>6106</v>
      </c>
      <c r="B1965" t="s">
        <v>6107</v>
      </c>
      <c r="C1965" t="s">
        <v>6108</v>
      </c>
      <c r="D1965" t="s">
        <v>6109</v>
      </c>
      <c r="AF1965" t="s">
        <v>5273</v>
      </c>
    </row>
    <row r="1966" spans="1:37" x14ac:dyDescent="0.3">
      <c r="A1966" t="s">
        <v>6110</v>
      </c>
      <c r="B1966" t="s">
        <v>6111</v>
      </c>
      <c r="C1966" t="s">
        <v>6112</v>
      </c>
    </row>
    <row r="1967" spans="1:37" x14ac:dyDescent="0.3">
      <c r="A1967" t="s">
        <v>6113</v>
      </c>
      <c r="B1967" t="s">
        <v>6114</v>
      </c>
      <c r="C1967" t="s">
        <v>6115</v>
      </c>
      <c r="D1967" t="s">
        <v>74</v>
      </c>
    </row>
    <row r="1968" spans="1:37" x14ac:dyDescent="0.3">
      <c r="A1968" t="s">
        <v>6116</v>
      </c>
      <c r="B1968" t="s">
        <v>6117</v>
      </c>
      <c r="C1968" t="s">
        <v>6118</v>
      </c>
      <c r="D1968" t="s">
        <v>74</v>
      </c>
      <c r="K1968" t="str">
        <f>T("184.1388")</f>
        <v>184.1388</v>
      </c>
    </row>
    <row r="1969" spans="1:37" x14ac:dyDescent="0.3">
      <c r="A1969" t="s">
        <v>6119</v>
      </c>
      <c r="B1969" t="s">
        <v>6120</v>
      </c>
      <c r="C1969" t="s">
        <v>6121</v>
      </c>
      <c r="D1969" t="s">
        <v>74</v>
      </c>
      <c r="K1969" t="str">
        <f>T("184.1387")</f>
        <v>184.1387</v>
      </c>
    </row>
    <row r="1970" spans="1:37" x14ac:dyDescent="0.3">
      <c r="A1970" t="s">
        <v>6122</v>
      </c>
      <c r="B1970" t="s">
        <v>6123</v>
      </c>
      <c r="C1970" t="s">
        <v>6124</v>
      </c>
      <c r="D1970" t="s">
        <v>6125</v>
      </c>
      <c r="AF1970" t="s">
        <v>6126</v>
      </c>
    </row>
    <row r="1971" spans="1:37" x14ac:dyDescent="0.3">
      <c r="A1971" t="s">
        <v>6127</v>
      </c>
      <c r="B1971" t="s">
        <v>6128</v>
      </c>
      <c r="C1971" t="s">
        <v>6129</v>
      </c>
      <c r="D1971" t="s">
        <v>5272</v>
      </c>
      <c r="AF1971" t="s">
        <v>6130</v>
      </c>
    </row>
    <row r="1972" spans="1:37" x14ac:dyDescent="0.3">
      <c r="A1972" t="s">
        <v>6131</v>
      </c>
      <c r="B1972" t="s">
        <v>6132</v>
      </c>
      <c r="C1972" t="s">
        <v>6133</v>
      </c>
      <c r="D1972" t="s">
        <v>7</v>
      </c>
      <c r="AG1972" t="str">
        <f>T("4256")</f>
        <v>4256</v>
      </c>
      <c r="AH1972" t="str">
        <f>T("23")</f>
        <v>23</v>
      </c>
      <c r="AI1972" t="str">
        <f>T("24")</f>
        <v>24</v>
      </c>
      <c r="AK1972" t="str">
        <f>T("1774")</f>
        <v>1774</v>
      </c>
    </row>
    <row r="1973" spans="1:37" x14ac:dyDescent="0.3">
      <c r="A1973" t="s">
        <v>6134</v>
      </c>
      <c r="B1973" t="s">
        <v>6135</v>
      </c>
      <c r="D1973" t="s">
        <v>7</v>
      </c>
      <c r="AG1973" t="str">
        <f>T("4257")</f>
        <v>4257</v>
      </c>
      <c r="AH1973" t="str">
        <f>T("23")</f>
        <v>23</v>
      </c>
      <c r="AK1973" t="str">
        <f>T("1775")</f>
        <v>1775</v>
      </c>
    </row>
    <row r="1974" spans="1:37" x14ac:dyDescent="0.3">
      <c r="A1974" t="s">
        <v>6136</v>
      </c>
      <c r="B1974" t="s">
        <v>6137</v>
      </c>
      <c r="C1974" t="s">
        <v>6138</v>
      </c>
      <c r="D1974" t="s">
        <v>6139</v>
      </c>
      <c r="K1974" t="str">
        <f>T("172.850")</f>
        <v>172.850</v>
      </c>
      <c r="AG1974" t="str">
        <f>T("4153")</f>
        <v>4153</v>
      </c>
      <c r="AH1974" t="str">
        <f>T("22")</f>
        <v>22</v>
      </c>
    </row>
    <row r="1975" spans="1:37" x14ac:dyDescent="0.3">
      <c r="A1975" t="s">
        <v>6140</v>
      </c>
      <c r="B1975" t="s">
        <v>6141</v>
      </c>
      <c r="C1975" t="s">
        <v>6142</v>
      </c>
      <c r="D1975" t="s">
        <v>6139</v>
      </c>
      <c r="K1975" t="str">
        <f>T("172.848")</f>
        <v>172.848</v>
      </c>
    </row>
    <row r="1976" spans="1:37" x14ac:dyDescent="0.3">
      <c r="A1976" t="s">
        <v>6143</v>
      </c>
      <c r="B1976" t="s">
        <v>6144</v>
      </c>
      <c r="C1976" t="s">
        <v>6145</v>
      </c>
      <c r="D1976" t="s">
        <v>1175</v>
      </c>
      <c r="K1976" t="str">
        <f>T("172.615")</f>
        <v>172.615</v>
      </c>
      <c r="L1976" t="str">
        <f>T("175.300")</f>
        <v>175.300</v>
      </c>
      <c r="M1976" t="str">
        <f>T("176.170")</f>
        <v>176.170</v>
      </c>
      <c r="N1976" t="str">
        <f>T("176.180")</f>
        <v>176.180</v>
      </c>
      <c r="O1976" t="str">
        <f>T("176.210")</f>
        <v>176.210</v>
      </c>
      <c r="P1976" t="str">
        <f>T("177.1200")</f>
        <v>177.1200</v>
      </c>
      <c r="Q1976" t="str">
        <f>T("177.2600")</f>
        <v>177.2600</v>
      </c>
      <c r="R1976" t="str">
        <f>T("178.3910")</f>
        <v>178.3910</v>
      </c>
    </row>
    <row r="1977" spans="1:37" x14ac:dyDescent="0.3">
      <c r="A1977" t="s">
        <v>6146</v>
      </c>
      <c r="B1977" t="s">
        <v>6147</v>
      </c>
      <c r="C1977" t="s">
        <v>6148</v>
      </c>
      <c r="D1977" t="s">
        <v>6149</v>
      </c>
      <c r="K1977" t="str">
        <f>T("182.70")</f>
        <v>182.70</v>
      </c>
    </row>
    <row r="1978" spans="1:37" x14ac:dyDescent="0.3">
      <c r="A1978" t="s">
        <v>6150</v>
      </c>
      <c r="B1978" t="s">
        <v>6151</v>
      </c>
      <c r="C1978" t="s">
        <v>6152</v>
      </c>
      <c r="D1978" t="s">
        <v>420</v>
      </c>
      <c r="K1978" t="str">
        <f>T("176.210")</f>
        <v>176.210</v>
      </c>
      <c r="L1978" t="str">
        <f>T("182.70")</f>
        <v>182.70</v>
      </c>
    </row>
    <row r="1979" spans="1:37" x14ac:dyDescent="0.3">
      <c r="A1979" t="s">
        <v>6153</v>
      </c>
      <c r="B1979" t="s">
        <v>6154</v>
      </c>
      <c r="C1979" t="s">
        <v>6155</v>
      </c>
      <c r="D1979" t="s">
        <v>7</v>
      </c>
      <c r="AG1979" t="str">
        <f>T("2612")</f>
        <v>2612</v>
      </c>
      <c r="AH1979" t="str">
        <f>T("3")</f>
        <v>3</v>
      </c>
    </row>
    <row r="1980" spans="1:37" x14ac:dyDescent="0.3">
      <c r="A1980" t="s">
        <v>6156</v>
      </c>
      <c r="B1980" t="s">
        <v>6157</v>
      </c>
      <c r="C1980" t="s">
        <v>6158</v>
      </c>
      <c r="D1980" t="s">
        <v>2584</v>
      </c>
      <c r="K1980" t="str">
        <f>T("172.210")</f>
        <v>172.210</v>
      </c>
      <c r="L1980" t="str">
        <f>T("172.860")</f>
        <v>172.860</v>
      </c>
      <c r="M1980" t="str">
        <f>T("173.340")</f>
        <v>173.340</v>
      </c>
      <c r="AG1980" t="str">
        <f>T("2614")</f>
        <v>2614</v>
      </c>
      <c r="AH1980" t="str">
        <f>T("3")</f>
        <v>3</v>
      </c>
      <c r="AI1980" t="str">
        <f>T("25")</f>
        <v>25</v>
      </c>
      <c r="AK1980" t="str">
        <f>T("111")</f>
        <v>111</v>
      </c>
    </row>
    <row r="1981" spans="1:37" x14ac:dyDescent="0.3">
      <c r="A1981" t="s">
        <v>6159</v>
      </c>
      <c r="B1981" t="s">
        <v>6160</v>
      </c>
      <c r="C1981" t="s">
        <v>6161</v>
      </c>
      <c r="D1981" t="s">
        <v>7</v>
      </c>
      <c r="K1981" t="str">
        <f>T("172.515")</f>
        <v>172.515</v>
      </c>
      <c r="AG1981" t="str">
        <f>T("2615")</f>
        <v>2615</v>
      </c>
      <c r="AH1981" t="str">
        <f>T("3")</f>
        <v>3</v>
      </c>
      <c r="AK1981" t="str">
        <f>T("110")</f>
        <v>110</v>
      </c>
    </row>
    <row r="1982" spans="1:37" x14ac:dyDescent="0.3">
      <c r="A1982" t="s">
        <v>6162</v>
      </c>
      <c r="B1982" t="s">
        <v>6163</v>
      </c>
      <c r="C1982" t="s">
        <v>6164</v>
      </c>
      <c r="D1982" t="s">
        <v>3667</v>
      </c>
      <c r="K1982" t="str">
        <f>T("173.315")</f>
        <v>173.315</v>
      </c>
      <c r="L1982" t="str">
        <f>T("176.180")</f>
        <v>176.180</v>
      </c>
      <c r="M1982" t="str">
        <f>T("178.3130")</f>
        <v>178.3130</v>
      </c>
    </row>
    <row r="1983" spans="1:37" x14ac:dyDescent="0.3">
      <c r="A1983" t="s">
        <v>6165</v>
      </c>
      <c r="B1983" t="s">
        <v>6166</v>
      </c>
      <c r="C1983" t="s">
        <v>6167</v>
      </c>
      <c r="D1983" t="s">
        <v>7</v>
      </c>
      <c r="K1983" t="str">
        <f>T("172.515")</f>
        <v>172.515</v>
      </c>
      <c r="AG1983" t="str">
        <f>T("2616")</f>
        <v>2616</v>
      </c>
      <c r="AH1983" t="str">
        <f>T("3")</f>
        <v>3</v>
      </c>
      <c r="AI1983" t="str">
        <f>T("25")</f>
        <v>25</v>
      </c>
      <c r="AK1983" t="str">
        <f>T("133")</f>
        <v>133</v>
      </c>
    </row>
    <row r="1984" spans="1:37" x14ac:dyDescent="0.3">
      <c r="A1984" t="s">
        <v>6168</v>
      </c>
      <c r="B1984" t="s">
        <v>6169</v>
      </c>
      <c r="C1984" t="s">
        <v>6170</v>
      </c>
      <c r="D1984" t="s">
        <v>7</v>
      </c>
      <c r="K1984" t="str">
        <f>T("172.515")</f>
        <v>172.515</v>
      </c>
      <c r="L1984" t="str">
        <f>T("172.864")</f>
        <v>172.864</v>
      </c>
      <c r="M1984" t="str">
        <f>T("175.105")</f>
        <v>175.105</v>
      </c>
      <c r="N1984" t="str">
        <f>T("175.300")</f>
        <v>175.300</v>
      </c>
      <c r="O1984" t="str">
        <f>T("177.1200")</f>
        <v>177.1200</v>
      </c>
      <c r="P1984" t="str">
        <f>T("177.1390")</f>
        <v>177.1390</v>
      </c>
      <c r="Q1984" t="str">
        <f>T("178.3480")</f>
        <v>178.3480</v>
      </c>
      <c r="AG1984" t="str">
        <f>T("2617")</f>
        <v>2617</v>
      </c>
      <c r="AH1984" t="str">
        <f>T("3")</f>
        <v>3</v>
      </c>
      <c r="AK1984" t="str">
        <f>T("109")</f>
        <v>109</v>
      </c>
    </row>
    <row r="1985" spans="1:34" x14ac:dyDescent="0.3">
      <c r="A1985" t="s">
        <v>6171</v>
      </c>
      <c r="B1985" t="s">
        <v>6172</v>
      </c>
      <c r="C1985" t="s">
        <v>6173</v>
      </c>
      <c r="K1985" t="str">
        <f>T("182.20")</f>
        <v>182.20</v>
      </c>
    </row>
    <row r="1986" spans="1:34" x14ac:dyDescent="0.3">
      <c r="A1986" t="s">
        <v>6174</v>
      </c>
      <c r="B1986" t="s">
        <v>6175</v>
      </c>
      <c r="C1986" t="s">
        <v>6176</v>
      </c>
      <c r="K1986" t="str">
        <f>T("182.20")</f>
        <v>182.20</v>
      </c>
    </row>
    <row r="1987" spans="1:34" x14ac:dyDescent="0.3">
      <c r="A1987" t="s">
        <v>6177</v>
      </c>
      <c r="B1987" t="s">
        <v>6178</v>
      </c>
      <c r="C1987" t="s">
        <v>6179</v>
      </c>
      <c r="D1987" t="s">
        <v>7</v>
      </c>
      <c r="K1987" t="str">
        <f>T("182.20")</f>
        <v>182.20</v>
      </c>
      <c r="AG1987" t="str">
        <f>T("2618")</f>
        <v>2618</v>
      </c>
      <c r="AH1987" t="str">
        <f>T("3")</f>
        <v>3</v>
      </c>
    </row>
    <row r="1988" spans="1:34" x14ac:dyDescent="0.3">
      <c r="A1988" t="s">
        <v>6180</v>
      </c>
      <c r="B1988" t="s">
        <v>6181</v>
      </c>
      <c r="C1988" t="s">
        <v>6182</v>
      </c>
      <c r="D1988" t="s">
        <v>7</v>
      </c>
      <c r="K1988" t="str">
        <f>T("182.20")</f>
        <v>182.20</v>
      </c>
      <c r="AG1988" t="str">
        <f>T("2620")</f>
        <v>2620</v>
      </c>
      <c r="AH1988" t="str">
        <f>T("3")</f>
        <v>3</v>
      </c>
    </row>
    <row r="1989" spans="1:34" x14ac:dyDescent="0.3">
      <c r="A1989" t="s">
        <v>6183</v>
      </c>
      <c r="B1989" t="s">
        <v>6184</v>
      </c>
      <c r="C1989" t="s">
        <v>6185</v>
      </c>
      <c r="D1989" t="s">
        <v>7</v>
      </c>
      <c r="K1989" t="str">
        <f>T("182.20")</f>
        <v>182.20</v>
      </c>
      <c r="AG1989" t="str">
        <f>T("2621")</f>
        <v>2621</v>
      </c>
      <c r="AH1989" t="str">
        <f>T("3")</f>
        <v>3</v>
      </c>
    </row>
    <row r="1990" spans="1:34" x14ac:dyDescent="0.3">
      <c r="A1990" t="s">
        <v>6186</v>
      </c>
      <c r="B1990" t="s">
        <v>6187</v>
      </c>
      <c r="C1990" t="s">
        <v>6188</v>
      </c>
      <c r="D1990" t="s">
        <v>7</v>
      </c>
      <c r="K1990" t="str">
        <f>T("182.10")</f>
        <v>182.10</v>
      </c>
      <c r="AG1990" t="str">
        <f>T("2619")</f>
        <v>2619</v>
      </c>
      <c r="AH1990" t="str">
        <f>T("3")</f>
        <v>3</v>
      </c>
    </row>
    <row r="1991" spans="1:34" x14ac:dyDescent="0.3">
      <c r="A1991" t="s">
        <v>6189</v>
      </c>
      <c r="B1991" t="s">
        <v>6190</v>
      </c>
      <c r="C1991" t="s">
        <v>6191</v>
      </c>
      <c r="D1991" t="s">
        <v>7</v>
      </c>
      <c r="K1991" t="str">
        <f>T("182.20")</f>
        <v>182.20</v>
      </c>
      <c r="AG1991" t="str">
        <f>T("2622")</f>
        <v>2622</v>
      </c>
      <c r="AH1991" t="str">
        <f>T("3")</f>
        <v>3</v>
      </c>
    </row>
    <row r="1992" spans="1:34" x14ac:dyDescent="0.3">
      <c r="A1992" t="s">
        <v>6192</v>
      </c>
      <c r="B1992" t="s">
        <v>6193</v>
      </c>
      <c r="C1992" t="s">
        <v>6194</v>
      </c>
      <c r="D1992" t="s">
        <v>7</v>
      </c>
      <c r="K1992" t="str">
        <f>T("182.20")</f>
        <v>182.20</v>
      </c>
    </row>
    <row r="1993" spans="1:34" x14ac:dyDescent="0.3">
      <c r="A1993" t="s">
        <v>6195</v>
      </c>
      <c r="B1993" t="s">
        <v>6196</v>
      </c>
      <c r="C1993" t="s">
        <v>6197</v>
      </c>
      <c r="D1993" t="s">
        <v>7</v>
      </c>
      <c r="K1993" t="str">
        <f>T("182.20")</f>
        <v>182.20</v>
      </c>
      <c r="AG1993" t="str">
        <f>T("3033")</f>
        <v>3033</v>
      </c>
      <c r="AH1993" t="str">
        <f>T("3")</f>
        <v>3</v>
      </c>
    </row>
    <row r="1994" spans="1:34" x14ac:dyDescent="0.3">
      <c r="A1994" t="s">
        <v>6198</v>
      </c>
      <c r="B1994" t="s">
        <v>6199</v>
      </c>
      <c r="C1994" t="s">
        <v>6200</v>
      </c>
      <c r="D1994" t="s">
        <v>1175</v>
      </c>
      <c r="K1994" t="str">
        <f>T("172.615")</f>
        <v>172.615</v>
      </c>
    </row>
    <row r="1995" spans="1:34" x14ac:dyDescent="0.3">
      <c r="A1995" t="s">
        <v>6201</v>
      </c>
      <c r="B1995" t="s">
        <v>6202</v>
      </c>
      <c r="C1995" t="s">
        <v>6203</v>
      </c>
      <c r="D1995" t="s">
        <v>1175</v>
      </c>
      <c r="K1995" t="str">
        <f>T("172.615")</f>
        <v>172.615</v>
      </c>
    </row>
    <row r="1996" spans="1:34" x14ac:dyDescent="0.3">
      <c r="A1996" t="s">
        <v>6204</v>
      </c>
      <c r="B1996" t="s">
        <v>6205</v>
      </c>
      <c r="C1996" t="s">
        <v>6206</v>
      </c>
      <c r="D1996" t="s">
        <v>6207</v>
      </c>
      <c r="K1996" t="str">
        <f>T("184.1400")</f>
        <v>184.1400</v>
      </c>
    </row>
    <row r="1997" spans="1:34" x14ac:dyDescent="0.3">
      <c r="A1997" t="s">
        <v>6208</v>
      </c>
      <c r="B1997" t="s">
        <v>6209</v>
      </c>
      <c r="C1997" t="s">
        <v>6210</v>
      </c>
      <c r="D1997" t="s">
        <v>2687</v>
      </c>
      <c r="K1997" t="str">
        <f>T("184.1063")</f>
        <v>184.1063</v>
      </c>
    </row>
    <row r="1998" spans="1:34" x14ac:dyDescent="0.3">
      <c r="A1998" t="s">
        <v>6211</v>
      </c>
      <c r="B1998" t="s">
        <v>6212</v>
      </c>
      <c r="C1998" t="s">
        <v>6213</v>
      </c>
      <c r="D1998" t="s">
        <v>6214</v>
      </c>
    </row>
    <row r="1999" spans="1:34" x14ac:dyDescent="0.3">
      <c r="A1999" t="s">
        <v>6215</v>
      </c>
      <c r="B1999" t="s">
        <v>6216</v>
      </c>
      <c r="C1999" t="s">
        <v>6217</v>
      </c>
      <c r="D1999" t="s">
        <v>6218</v>
      </c>
      <c r="K1999" t="str">
        <f>T("184.1400")</f>
        <v>184.1400</v>
      </c>
    </row>
    <row r="2000" spans="1:34" x14ac:dyDescent="0.3">
      <c r="A2000" t="s">
        <v>6219</v>
      </c>
      <c r="B2000" t="s">
        <v>6220</v>
      </c>
      <c r="C2000" t="s">
        <v>6221</v>
      </c>
      <c r="D2000" t="s">
        <v>7</v>
      </c>
    </row>
    <row r="2001" spans="1:37" x14ac:dyDescent="0.3">
      <c r="A2001" t="s">
        <v>6222</v>
      </c>
      <c r="B2001" t="s">
        <v>6223</v>
      </c>
      <c r="C2001" t="s">
        <v>6224</v>
      </c>
      <c r="D2001" t="s">
        <v>7</v>
      </c>
      <c r="K2001" t="str">
        <f>T("182.20")</f>
        <v>182.20</v>
      </c>
      <c r="AF2001" t="str">
        <f>T("146.114")</f>
        <v>146.114</v>
      </c>
    </row>
    <row r="2002" spans="1:37" x14ac:dyDescent="0.3">
      <c r="A2002" t="s">
        <v>6225</v>
      </c>
      <c r="B2002" t="s">
        <v>6226</v>
      </c>
      <c r="C2002" t="s">
        <v>6227</v>
      </c>
      <c r="D2002" t="s">
        <v>7</v>
      </c>
      <c r="K2002" t="str">
        <f>T("182.20")</f>
        <v>182.20</v>
      </c>
      <c r="AG2002" t="str">
        <f>T("2623")</f>
        <v>2623</v>
      </c>
      <c r="AH2002" t="str">
        <f>T("3")</f>
        <v>3</v>
      </c>
    </row>
    <row r="2003" spans="1:37" x14ac:dyDescent="0.3">
      <c r="A2003" t="s">
        <v>6228</v>
      </c>
      <c r="B2003" t="s">
        <v>6229</v>
      </c>
      <c r="C2003" t="s">
        <v>6230</v>
      </c>
      <c r="D2003" t="s">
        <v>7</v>
      </c>
      <c r="K2003" t="str">
        <f>T("182.20")</f>
        <v>182.20</v>
      </c>
      <c r="AG2003" t="str">
        <f>T("2624")</f>
        <v>2624</v>
      </c>
      <c r="AH2003" t="str">
        <f>T("3")</f>
        <v>3</v>
      </c>
      <c r="AI2003" t="str">
        <f>T("22")</f>
        <v>22</v>
      </c>
    </row>
    <row r="2004" spans="1:37" x14ac:dyDescent="0.3">
      <c r="A2004" t="s">
        <v>6231</v>
      </c>
      <c r="B2004" t="s">
        <v>6232</v>
      </c>
      <c r="C2004" t="s">
        <v>6233</v>
      </c>
      <c r="D2004" t="s">
        <v>7</v>
      </c>
      <c r="K2004" t="str">
        <f>T("172.230")</f>
        <v>172.230</v>
      </c>
      <c r="L2004" t="str">
        <f>T("173.240")</f>
        <v>173.240</v>
      </c>
      <c r="M2004" t="str">
        <f>T("182.20")</f>
        <v>182.20</v>
      </c>
      <c r="AF2004" t="s">
        <v>6234</v>
      </c>
      <c r="AG2004" t="str">
        <f>T("2625")</f>
        <v>2625</v>
      </c>
      <c r="AH2004" t="str">
        <f>T("3")</f>
        <v>3</v>
      </c>
    </row>
    <row r="2005" spans="1:37" x14ac:dyDescent="0.3">
      <c r="A2005" t="s">
        <v>6235</v>
      </c>
      <c r="B2005" t="s">
        <v>6236</v>
      </c>
      <c r="C2005" t="s">
        <v>6237</v>
      </c>
      <c r="D2005" t="s">
        <v>7</v>
      </c>
      <c r="K2005" t="str">
        <f>T("182.20")</f>
        <v>182.20</v>
      </c>
      <c r="AG2005" t="str">
        <f>T("2626")</f>
        <v>2626</v>
      </c>
      <c r="AH2005" t="str">
        <f>T("3")</f>
        <v>3</v>
      </c>
    </row>
    <row r="2006" spans="1:37" x14ac:dyDescent="0.3">
      <c r="A2006" t="s">
        <v>6238</v>
      </c>
      <c r="B2006" t="s">
        <v>6239</v>
      </c>
      <c r="C2006" t="s">
        <v>6240</v>
      </c>
      <c r="D2006" t="s">
        <v>7</v>
      </c>
      <c r="K2006" t="str">
        <f>T("182.20")</f>
        <v>182.20</v>
      </c>
    </row>
    <row r="2007" spans="1:37" x14ac:dyDescent="0.3">
      <c r="A2007" t="s">
        <v>6241</v>
      </c>
      <c r="B2007" t="s">
        <v>6242</v>
      </c>
      <c r="C2007" t="s">
        <v>6243</v>
      </c>
      <c r="D2007" t="s">
        <v>7</v>
      </c>
    </row>
    <row r="2008" spans="1:37" x14ac:dyDescent="0.3">
      <c r="A2008" t="s">
        <v>6244</v>
      </c>
      <c r="B2008" t="s">
        <v>6245</v>
      </c>
      <c r="C2008" t="s">
        <v>6246</v>
      </c>
    </row>
    <row r="2009" spans="1:37" x14ac:dyDescent="0.3">
      <c r="A2009" t="s">
        <v>6247</v>
      </c>
      <c r="B2009" t="s">
        <v>6248</v>
      </c>
      <c r="C2009" t="s">
        <v>6249</v>
      </c>
      <c r="D2009" t="s">
        <v>7</v>
      </c>
      <c r="K2009" t="str">
        <f>T("172.510")</f>
        <v>172.510</v>
      </c>
    </row>
    <row r="2010" spans="1:37" x14ac:dyDescent="0.3">
      <c r="A2010" t="s">
        <v>6250</v>
      </c>
      <c r="B2010" t="s">
        <v>6251</v>
      </c>
      <c r="C2010" t="s">
        <v>6252</v>
      </c>
      <c r="D2010" t="s">
        <v>7</v>
      </c>
      <c r="K2010" t="str">
        <f>T("172.510")</f>
        <v>172.510</v>
      </c>
    </row>
    <row r="2011" spans="1:37" x14ac:dyDescent="0.3">
      <c r="A2011" t="s">
        <v>6253</v>
      </c>
      <c r="B2011" t="s">
        <v>6254</v>
      </c>
      <c r="C2011" t="s">
        <v>6255</v>
      </c>
      <c r="K2011" t="str">
        <f>T("172.515")</f>
        <v>172.515</v>
      </c>
    </row>
    <row r="2012" spans="1:37" x14ac:dyDescent="0.3">
      <c r="A2012" t="s">
        <v>6256</v>
      </c>
      <c r="B2012" t="s">
        <v>6257</v>
      </c>
      <c r="C2012" t="s">
        <v>6258</v>
      </c>
      <c r="D2012" t="s">
        <v>213</v>
      </c>
      <c r="K2012" t="str">
        <f>T("172.320")</f>
        <v>172.320</v>
      </c>
      <c r="L2012" t="str">
        <f>T("172.804")</f>
        <v>172.804</v>
      </c>
      <c r="AG2012" t="str">
        <f>T("3297")</f>
        <v>3297</v>
      </c>
      <c r="AH2012" t="str">
        <f>T("5")</f>
        <v>5</v>
      </c>
      <c r="AK2012" t="str">
        <f>T("1423")</f>
        <v>1423</v>
      </c>
    </row>
    <row r="2013" spans="1:37" x14ac:dyDescent="0.3">
      <c r="A2013" t="s">
        <v>6259</v>
      </c>
      <c r="B2013" t="s">
        <v>6260</v>
      </c>
      <c r="C2013" t="s">
        <v>6261</v>
      </c>
      <c r="D2013" t="s">
        <v>15</v>
      </c>
      <c r="K2013" t="str">
        <f>T("172.515")</f>
        <v>172.515</v>
      </c>
      <c r="AG2013" t="str">
        <f>T("2627")</f>
        <v>2627</v>
      </c>
      <c r="AH2013" t="str">
        <f>T("3")</f>
        <v>3</v>
      </c>
      <c r="AK2013" t="str">
        <f>T("606")</f>
        <v>606</v>
      </c>
    </row>
    <row r="2014" spans="1:37" x14ac:dyDescent="0.3">
      <c r="A2014" t="s">
        <v>6262</v>
      </c>
      <c r="B2014" t="s">
        <v>6263</v>
      </c>
      <c r="C2014" t="s">
        <v>6264</v>
      </c>
      <c r="D2014" t="s">
        <v>6265</v>
      </c>
      <c r="AF2014" t="s">
        <v>6266</v>
      </c>
    </row>
    <row r="2015" spans="1:37" x14ac:dyDescent="0.3">
      <c r="A2015" t="s">
        <v>6267</v>
      </c>
      <c r="B2015" t="s">
        <v>6268</v>
      </c>
      <c r="C2015" t="s">
        <v>6269</v>
      </c>
      <c r="D2015" t="s">
        <v>7</v>
      </c>
      <c r="AG2015" t="str">
        <f>T("4519")</f>
        <v>4519</v>
      </c>
      <c r="AH2015" t="str">
        <f>T("24")</f>
        <v>24</v>
      </c>
      <c r="AK2015" t="str">
        <f>T("2200")</f>
        <v>2200</v>
      </c>
    </row>
    <row r="2016" spans="1:37" x14ac:dyDescent="0.3">
      <c r="A2016" t="s">
        <v>6270</v>
      </c>
      <c r="B2016" t="s">
        <v>6271</v>
      </c>
      <c r="C2016" t="s">
        <v>6272</v>
      </c>
      <c r="D2016" t="s">
        <v>7</v>
      </c>
      <c r="K2016" t="str">
        <f>T("184.1408")</f>
        <v>184.1408</v>
      </c>
      <c r="AG2016" t="str">
        <f>T("2628")</f>
        <v>2628</v>
      </c>
      <c r="AH2016" t="str">
        <f>T("3")</f>
        <v>3</v>
      </c>
    </row>
    <row r="2017" spans="1:37" x14ac:dyDescent="0.3">
      <c r="A2017" t="s">
        <v>6273</v>
      </c>
      <c r="B2017" t="s">
        <v>6274</v>
      </c>
      <c r="C2017" t="s">
        <v>6275</v>
      </c>
      <c r="D2017" t="s">
        <v>6276</v>
      </c>
      <c r="K2017" t="str">
        <f>T("184.1408")</f>
        <v>184.1408</v>
      </c>
      <c r="AG2017" t="str">
        <f>T("2629")</f>
        <v>2629</v>
      </c>
      <c r="AH2017" t="str">
        <f>T("3")</f>
        <v>3</v>
      </c>
    </row>
    <row r="2018" spans="1:37" x14ac:dyDescent="0.3">
      <c r="A2018" t="s">
        <v>6277</v>
      </c>
      <c r="B2018" t="s">
        <v>6278</v>
      </c>
      <c r="C2018" t="s">
        <v>6279</v>
      </c>
      <c r="D2018" t="s">
        <v>15</v>
      </c>
      <c r="K2018" t="str">
        <f>T("184.1408")</f>
        <v>184.1408</v>
      </c>
      <c r="AG2018" t="str">
        <f>T("2630")</f>
        <v>2630</v>
      </c>
      <c r="AH2018" t="str">
        <f>T("3")</f>
        <v>3</v>
      </c>
    </row>
    <row r="2019" spans="1:37" x14ac:dyDescent="0.3">
      <c r="A2019" t="s">
        <v>6280</v>
      </c>
      <c r="B2019" t="s">
        <v>6281</v>
      </c>
      <c r="C2019" t="s">
        <v>6282</v>
      </c>
    </row>
    <row r="2020" spans="1:37" x14ac:dyDescent="0.3">
      <c r="A2020" t="s">
        <v>6283</v>
      </c>
      <c r="B2020" t="s">
        <v>6284</v>
      </c>
      <c r="C2020" t="s">
        <v>6285</v>
      </c>
      <c r="D2020" t="s">
        <v>192</v>
      </c>
      <c r="K2020" t="str">
        <f>T("173.310")</f>
        <v>173.310</v>
      </c>
      <c r="L2020" t="str">
        <f>T("175.105")</f>
        <v>175.105</v>
      </c>
      <c r="M2020" t="str">
        <f>T("176.170")</f>
        <v>176.170</v>
      </c>
      <c r="N2020" t="str">
        <f>T("176.180")</f>
        <v>176.180</v>
      </c>
      <c r="O2020" t="str">
        <f>T("176.210")</f>
        <v>176.210</v>
      </c>
      <c r="P2020" t="str">
        <f>T("177.1210")</f>
        <v>177.1210</v>
      </c>
    </row>
    <row r="2021" spans="1:37" x14ac:dyDescent="0.3">
      <c r="A2021" t="s">
        <v>6286</v>
      </c>
      <c r="B2021" t="s">
        <v>6287</v>
      </c>
      <c r="C2021" t="s">
        <v>6288</v>
      </c>
      <c r="D2021" t="s">
        <v>192</v>
      </c>
      <c r="K2021" t="str">
        <f>T("173.310")</f>
        <v>173.310</v>
      </c>
    </row>
    <row r="2022" spans="1:37" x14ac:dyDescent="0.3">
      <c r="A2022" t="s">
        <v>6289</v>
      </c>
      <c r="B2022" t="s">
        <v>6290</v>
      </c>
      <c r="C2022" t="s">
        <v>6291</v>
      </c>
      <c r="K2022" t="str">
        <f>T("182.20")</f>
        <v>182.20</v>
      </c>
    </row>
    <row r="2023" spans="1:37" x14ac:dyDescent="0.3">
      <c r="A2023" t="s">
        <v>6292</v>
      </c>
      <c r="B2023" t="s">
        <v>6293</v>
      </c>
      <c r="C2023" t="s">
        <v>6294</v>
      </c>
      <c r="D2023" t="s">
        <v>7</v>
      </c>
      <c r="K2023" t="str">
        <f>T("182.20")</f>
        <v>182.20</v>
      </c>
    </row>
    <row r="2024" spans="1:37" x14ac:dyDescent="0.3">
      <c r="A2024" t="s">
        <v>6295</v>
      </c>
      <c r="B2024" t="s">
        <v>6296</v>
      </c>
      <c r="C2024" t="s">
        <v>6297</v>
      </c>
      <c r="D2024" t="s">
        <v>7</v>
      </c>
      <c r="K2024" t="str">
        <f>T("172.230")</f>
        <v>172.230</v>
      </c>
      <c r="L2024" t="str">
        <f>T("182.20")</f>
        <v>182.20</v>
      </c>
      <c r="AG2024" t="str">
        <f>T("2631")</f>
        <v>2631</v>
      </c>
      <c r="AH2024" t="str">
        <f>T("3")</f>
        <v>3</v>
      </c>
    </row>
    <row r="2025" spans="1:37" x14ac:dyDescent="0.3">
      <c r="A2025" t="s">
        <v>6298</v>
      </c>
      <c r="B2025" t="s">
        <v>6299</v>
      </c>
      <c r="C2025" t="s">
        <v>6300</v>
      </c>
      <c r="D2025" t="s">
        <v>7</v>
      </c>
      <c r="K2025" t="str">
        <f>T("182.20")</f>
        <v>182.20</v>
      </c>
    </row>
    <row r="2026" spans="1:37" x14ac:dyDescent="0.3">
      <c r="A2026" t="s">
        <v>6301</v>
      </c>
      <c r="B2026" t="s">
        <v>6302</v>
      </c>
      <c r="C2026" t="s">
        <v>6303</v>
      </c>
      <c r="D2026" t="s">
        <v>7</v>
      </c>
      <c r="K2026" t="str">
        <f>T("182.20")</f>
        <v>182.20</v>
      </c>
      <c r="AG2026" t="str">
        <f>T("2632")</f>
        <v>2632</v>
      </c>
      <c r="AH2026" t="str">
        <f>T("3")</f>
        <v>3</v>
      </c>
    </row>
    <row r="2027" spans="1:37" x14ac:dyDescent="0.3">
      <c r="A2027" t="s">
        <v>6304</v>
      </c>
      <c r="B2027" t="s">
        <v>6305</v>
      </c>
      <c r="C2027" t="s">
        <v>6306</v>
      </c>
      <c r="D2027" t="s">
        <v>7</v>
      </c>
      <c r="K2027" t="str">
        <f>T("182.60")</f>
        <v>182.60</v>
      </c>
      <c r="AG2027" t="str">
        <f>T("2633")</f>
        <v>2633</v>
      </c>
      <c r="AH2027" t="str">
        <f>T("3")</f>
        <v>3</v>
      </c>
      <c r="AI2027" t="str">
        <f>T("15")</f>
        <v>15</v>
      </c>
      <c r="AK2027" t="str">
        <f>T("1326")</f>
        <v>1326</v>
      </c>
    </row>
    <row r="2028" spans="1:37" x14ac:dyDescent="0.3">
      <c r="A2028" t="s">
        <v>6307</v>
      </c>
      <c r="B2028" t="s">
        <v>6308</v>
      </c>
      <c r="C2028" t="s">
        <v>6309</v>
      </c>
      <c r="K2028" t="str">
        <f>T("175.300")</f>
        <v>175.300</v>
      </c>
      <c r="L2028" t="str">
        <f>T("175.320")</f>
        <v>175.320</v>
      </c>
      <c r="M2028" t="str">
        <f>T("182.60")</f>
        <v>182.60</v>
      </c>
    </row>
    <row r="2029" spans="1:37" x14ac:dyDescent="0.3">
      <c r="A2029" t="s">
        <v>6310</v>
      </c>
      <c r="B2029" t="s">
        <v>6311</v>
      </c>
      <c r="C2029" t="s">
        <v>6312</v>
      </c>
      <c r="D2029" t="s">
        <v>7</v>
      </c>
      <c r="K2029" t="str">
        <f>T("182.60")</f>
        <v>182.60</v>
      </c>
    </row>
    <row r="2030" spans="1:37" x14ac:dyDescent="0.3">
      <c r="A2030" t="s">
        <v>6313</v>
      </c>
      <c r="B2030" t="s">
        <v>6314</v>
      </c>
      <c r="C2030" t="s">
        <v>6315</v>
      </c>
      <c r="D2030" t="s">
        <v>7</v>
      </c>
      <c r="K2030" t="str">
        <f>T("172.510")</f>
        <v>172.510</v>
      </c>
      <c r="AG2030" t="str">
        <f>T("2634")</f>
        <v>2634</v>
      </c>
      <c r="AH2030" t="str">
        <f>T("3")</f>
        <v>3</v>
      </c>
    </row>
    <row r="2031" spans="1:37" x14ac:dyDescent="0.3">
      <c r="A2031" t="s">
        <v>6316</v>
      </c>
      <c r="B2031" t="s">
        <v>6317</v>
      </c>
      <c r="C2031" t="s">
        <v>6318</v>
      </c>
      <c r="D2031" t="s">
        <v>7</v>
      </c>
      <c r="K2031" t="str">
        <f>T("182.60")</f>
        <v>182.60</v>
      </c>
      <c r="AG2031" t="str">
        <f>T("2635")</f>
        <v>2635</v>
      </c>
      <c r="AH2031" t="str">
        <f>T("3")</f>
        <v>3</v>
      </c>
      <c r="AK2031" t="str">
        <f>T("356")</f>
        <v>356</v>
      </c>
    </row>
    <row r="2032" spans="1:37" x14ac:dyDescent="0.3">
      <c r="A2032" t="s">
        <v>6319</v>
      </c>
      <c r="B2032" t="s">
        <v>6320</v>
      </c>
      <c r="C2032" t="s">
        <v>6321</v>
      </c>
      <c r="D2032" t="s">
        <v>7</v>
      </c>
      <c r="K2032" t="str">
        <f>T("172.515")</f>
        <v>172.515</v>
      </c>
      <c r="AG2032" t="str">
        <f>T("3746")</f>
        <v>3746</v>
      </c>
      <c r="AH2032" t="str">
        <f>T("14")</f>
        <v>14</v>
      </c>
      <c r="AI2032" t="str">
        <f>T("25")</f>
        <v>25</v>
      </c>
      <c r="AK2032" t="str">
        <f>T("1454")</f>
        <v>1454</v>
      </c>
    </row>
    <row r="2033" spans="1:37" x14ac:dyDescent="0.3">
      <c r="A2033" t="s">
        <v>6322</v>
      </c>
      <c r="B2033" t="s">
        <v>6323</v>
      </c>
      <c r="C2033" t="s">
        <v>6324</v>
      </c>
      <c r="D2033" t="s">
        <v>7</v>
      </c>
      <c r="AG2033" t="str">
        <f>T("4593")</f>
        <v>4593</v>
      </c>
      <c r="AH2033" t="str">
        <f>T("24")</f>
        <v>24</v>
      </c>
      <c r="AK2033" t="str">
        <f>T("2135")</f>
        <v>2135</v>
      </c>
    </row>
    <row r="2034" spans="1:37" x14ac:dyDescent="0.3">
      <c r="A2034" t="s">
        <v>6325</v>
      </c>
      <c r="B2034" t="s">
        <v>6326</v>
      </c>
      <c r="C2034" t="s">
        <v>6327</v>
      </c>
      <c r="D2034" t="s">
        <v>7</v>
      </c>
      <c r="K2034" t="str">
        <f>T("182.60")</f>
        <v>182.60</v>
      </c>
      <c r="AG2034" t="str">
        <f>T("2636")</f>
        <v>2636</v>
      </c>
      <c r="AH2034" t="str">
        <f t="shared" ref="AH2034:AH2043" si="22">T("3")</f>
        <v>3</v>
      </c>
      <c r="AK2034" t="str">
        <f>T("359")</f>
        <v>359</v>
      </c>
    </row>
    <row r="2035" spans="1:37" x14ac:dyDescent="0.3">
      <c r="A2035" t="s">
        <v>6328</v>
      </c>
      <c r="B2035" t="s">
        <v>6329</v>
      </c>
      <c r="C2035" t="s">
        <v>6330</v>
      </c>
      <c r="D2035" t="s">
        <v>7</v>
      </c>
      <c r="K2035" t="str">
        <f t="shared" ref="K2035:K2043" si="23">T("172.515")</f>
        <v>172.515</v>
      </c>
      <c r="AG2035" t="str">
        <f>T("2637")</f>
        <v>2637</v>
      </c>
      <c r="AH2035" t="str">
        <f t="shared" si="22"/>
        <v>3</v>
      </c>
      <c r="AK2035" t="str">
        <f>T("1540")</f>
        <v>1540</v>
      </c>
    </row>
    <row r="2036" spans="1:37" x14ac:dyDescent="0.3">
      <c r="A2036" t="s">
        <v>6331</v>
      </c>
      <c r="B2036" t="s">
        <v>6332</v>
      </c>
      <c r="C2036" t="s">
        <v>6333</v>
      </c>
      <c r="D2036" t="s">
        <v>7</v>
      </c>
      <c r="K2036" t="str">
        <f t="shared" si="23"/>
        <v>172.515</v>
      </c>
      <c r="AG2036" t="str">
        <f>T("2638")</f>
        <v>2638</v>
      </c>
      <c r="AH2036" t="str">
        <f t="shared" si="22"/>
        <v>3</v>
      </c>
      <c r="AK2036" t="str">
        <f>T("859")</f>
        <v>859</v>
      </c>
    </row>
    <row r="2037" spans="1:37" x14ac:dyDescent="0.3">
      <c r="A2037" t="s">
        <v>6334</v>
      </c>
      <c r="B2037" t="s">
        <v>6335</v>
      </c>
      <c r="C2037" t="s">
        <v>6336</v>
      </c>
      <c r="D2037" t="s">
        <v>7</v>
      </c>
      <c r="K2037" t="str">
        <f t="shared" si="23"/>
        <v>172.515</v>
      </c>
      <c r="AG2037" t="str">
        <f>T("2639")</f>
        <v>2639</v>
      </c>
      <c r="AH2037" t="str">
        <f t="shared" si="22"/>
        <v>3</v>
      </c>
      <c r="AK2037" t="str">
        <f>T("361")</f>
        <v>361</v>
      </c>
    </row>
    <row r="2038" spans="1:37" x14ac:dyDescent="0.3">
      <c r="A2038" t="s">
        <v>6337</v>
      </c>
      <c r="B2038" t="s">
        <v>6338</v>
      </c>
      <c r="C2038" t="s">
        <v>6339</v>
      </c>
      <c r="D2038" t="s">
        <v>7</v>
      </c>
      <c r="K2038" t="str">
        <f t="shared" si="23"/>
        <v>172.515</v>
      </c>
      <c r="AG2038" t="str">
        <f>T("2641")</f>
        <v>2641</v>
      </c>
      <c r="AH2038" t="str">
        <f t="shared" si="22"/>
        <v>3</v>
      </c>
      <c r="AK2038" t="str">
        <f>T("668")</f>
        <v>668</v>
      </c>
    </row>
    <row r="2039" spans="1:37" x14ac:dyDescent="0.3">
      <c r="A2039" t="s">
        <v>6340</v>
      </c>
      <c r="B2039" t="s">
        <v>6341</v>
      </c>
      <c r="C2039" t="s">
        <v>6342</v>
      </c>
      <c r="D2039" t="s">
        <v>7</v>
      </c>
      <c r="K2039" t="str">
        <f t="shared" si="23"/>
        <v>172.515</v>
      </c>
      <c r="AG2039" t="str">
        <f>T("2642")</f>
        <v>2642</v>
      </c>
      <c r="AH2039" t="str">
        <f t="shared" si="22"/>
        <v>3</v>
      </c>
      <c r="AK2039" t="str">
        <f>T("358")</f>
        <v>358</v>
      </c>
    </row>
    <row r="2040" spans="1:37" x14ac:dyDescent="0.3">
      <c r="A2040" t="s">
        <v>6343</v>
      </c>
      <c r="B2040" t="s">
        <v>6344</v>
      </c>
      <c r="C2040" t="s">
        <v>6345</v>
      </c>
      <c r="D2040" t="s">
        <v>7</v>
      </c>
      <c r="K2040" t="str">
        <f t="shared" si="23"/>
        <v>172.515</v>
      </c>
      <c r="AG2040" t="str">
        <f>T("2643")</f>
        <v>2643</v>
      </c>
      <c r="AH2040" t="str">
        <f t="shared" si="22"/>
        <v>3</v>
      </c>
      <c r="AK2040" t="str">
        <f>T("364")</f>
        <v>364</v>
      </c>
    </row>
    <row r="2041" spans="1:37" x14ac:dyDescent="0.3">
      <c r="A2041" t="s">
        <v>6346</v>
      </c>
      <c r="B2041" t="s">
        <v>6347</v>
      </c>
      <c r="C2041" t="s">
        <v>6348</v>
      </c>
      <c r="D2041" t="s">
        <v>7</v>
      </c>
      <c r="K2041" t="str">
        <f t="shared" si="23"/>
        <v>172.515</v>
      </c>
      <c r="AG2041" t="str">
        <f>T("2640")</f>
        <v>2640</v>
      </c>
      <c r="AH2041" t="str">
        <f t="shared" si="22"/>
        <v>3</v>
      </c>
      <c r="AI2041" t="str">
        <f>T("25")</f>
        <v>25</v>
      </c>
      <c r="AK2041" t="str">
        <f>T("362")</f>
        <v>362</v>
      </c>
    </row>
    <row r="2042" spans="1:37" x14ac:dyDescent="0.3">
      <c r="A2042" t="s">
        <v>6349</v>
      </c>
      <c r="B2042" t="s">
        <v>6350</v>
      </c>
      <c r="C2042" t="s">
        <v>6351</v>
      </c>
      <c r="D2042" t="s">
        <v>7</v>
      </c>
      <c r="K2042" t="str">
        <f t="shared" si="23"/>
        <v>172.515</v>
      </c>
      <c r="AG2042" t="str">
        <f>T("2646")</f>
        <v>2646</v>
      </c>
      <c r="AH2042" t="str">
        <f t="shared" si="22"/>
        <v>3</v>
      </c>
      <c r="AI2042" t="str">
        <f>T("25")</f>
        <v>25</v>
      </c>
      <c r="AK2042" t="str">
        <f>T("363")</f>
        <v>363</v>
      </c>
    </row>
    <row r="2043" spans="1:37" x14ac:dyDescent="0.3">
      <c r="A2043" t="s">
        <v>6352</v>
      </c>
      <c r="B2043" t="s">
        <v>6353</v>
      </c>
      <c r="C2043" t="s">
        <v>6354</v>
      </c>
      <c r="D2043" t="s">
        <v>7</v>
      </c>
      <c r="K2043" t="str">
        <f t="shared" si="23"/>
        <v>172.515</v>
      </c>
      <c r="AG2043" t="str">
        <f>T("2644")</f>
        <v>2644</v>
      </c>
      <c r="AH2043" t="str">
        <f t="shared" si="22"/>
        <v>3</v>
      </c>
      <c r="AK2043" t="str">
        <f>T("365")</f>
        <v>365</v>
      </c>
    </row>
    <row r="2044" spans="1:37" x14ac:dyDescent="0.3">
      <c r="A2044" t="s">
        <v>6355</v>
      </c>
      <c r="B2044" t="s">
        <v>6356</v>
      </c>
      <c r="C2044" t="s">
        <v>6357</v>
      </c>
      <c r="D2044" t="s">
        <v>15</v>
      </c>
      <c r="AG2044" t="str">
        <f>T("3501")</f>
        <v>3501</v>
      </c>
      <c r="AH2044" t="str">
        <f>T("10")</f>
        <v>10</v>
      </c>
      <c r="AK2044" t="str">
        <f>T("1019")</f>
        <v>1019</v>
      </c>
    </row>
    <row r="2045" spans="1:37" x14ac:dyDescent="0.3">
      <c r="A2045" t="s">
        <v>6358</v>
      </c>
      <c r="B2045" t="s">
        <v>6359</v>
      </c>
      <c r="C2045" t="s">
        <v>6360</v>
      </c>
      <c r="D2045" t="s">
        <v>7</v>
      </c>
      <c r="K2045" t="str">
        <f>T("172.515")</f>
        <v>172.515</v>
      </c>
      <c r="AG2045" t="str">
        <f>T("2645")</f>
        <v>2645</v>
      </c>
      <c r="AH2045" t="str">
        <f>T("3")</f>
        <v>3</v>
      </c>
      <c r="AI2045" t="str">
        <f>T("25")</f>
        <v>25</v>
      </c>
      <c r="AK2045" t="str">
        <f>T("360")</f>
        <v>360</v>
      </c>
    </row>
    <row r="2046" spans="1:37" x14ac:dyDescent="0.3">
      <c r="A2046" t="s">
        <v>6361</v>
      </c>
      <c r="B2046" t="s">
        <v>6362</v>
      </c>
      <c r="C2046" t="s">
        <v>6363</v>
      </c>
      <c r="D2046" t="s">
        <v>7</v>
      </c>
      <c r="K2046" t="str">
        <f>T("182.20")</f>
        <v>182.20</v>
      </c>
    </row>
    <row r="2047" spans="1:37" x14ac:dyDescent="0.3">
      <c r="A2047" t="s">
        <v>6364</v>
      </c>
      <c r="B2047" t="s">
        <v>6365</v>
      </c>
      <c r="C2047" t="s">
        <v>6366</v>
      </c>
      <c r="D2047" t="s">
        <v>7</v>
      </c>
      <c r="K2047" t="str">
        <f>T("182.10")</f>
        <v>182.10</v>
      </c>
      <c r="AG2047" t="str">
        <f>T("2647")</f>
        <v>2647</v>
      </c>
      <c r="AH2047" t="str">
        <f>T("3")</f>
        <v>3</v>
      </c>
    </row>
    <row r="2048" spans="1:37" x14ac:dyDescent="0.3">
      <c r="A2048" t="s">
        <v>6367</v>
      </c>
      <c r="B2048" t="s">
        <v>6368</v>
      </c>
      <c r="C2048" t="s">
        <v>6369</v>
      </c>
      <c r="D2048" t="s">
        <v>7</v>
      </c>
      <c r="K2048" t="str">
        <f>T("172.510")</f>
        <v>172.510</v>
      </c>
    </row>
    <row r="2049" spans="1:37" x14ac:dyDescent="0.3">
      <c r="A2049" t="s">
        <v>6370</v>
      </c>
      <c r="B2049" t="s">
        <v>6371</v>
      </c>
      <c r="C2049" t="s">
        <v>6372</v>
      </c>
      <c r="D2049" t="s">
        <v>7</v>
      </c>
      <c r="K2049" t="str">
        <f>T("184.1065")</f>
        <v>184.1065</v>
      </c>
    </row>
    <row r="2050" spans="1:37" x14ac:dyDescent="0.3">
      <c r="A2050" t="s">
        <v>6373</v>
      </c>
      <c r="B2050" t="s">
        <v>6374</v>
      </c>
      <c r="C2050" t="s">
        <v>6375</v>
      </c>
      <c r="D2050" t="s">
        <v>4262</v>
      </c>
    </row>
    <row r="2051" spans="1:37" x14ac:dyDescent="0.3">
      <c r="A2051" t="s">
        <v>6376</v>
      </c>
      <c r="B2051" t="s">
        <v>6377</v>
      </c>
      <c r="C2051" t="s">
        <v>6378</v>
      </c>
      <c r="D2051" t="s">
        <v>74</v>
      </c>
      <c r="K2051" t="str">
        <f>T("184.1415")</f>
        <v>184.1415</v>
      </c>
    </row>
    <row r="2052" spans="1:37" x14ac:dyDescent="0.3">
      <c r="A2052" t="s">
        <v>6379</v>
      </c>
      <c r="B2052" t="s">
        <v>6380</v>
      </c>
      <c r="C2052" t="s">
        <v>6381</v>
      </c>
      <c r="D2052" t="s">
        <v>74</v>
      </c>
    </row>
    <row r="2053" spans="1:37" x14ac:dyDescent="0.3">
      <c r="A2053" t="s">
        <v>6382</v>
      </c>
      <c r="B2053" t="s">
        <v>6383</v>
      </c>
      <c r="C2053" t="s">
        <v>6384</v>
      </c>
      <c r="D2053" t="s">
        <v>3431</v>
      </c>
    </row>
    <row r="2054" spans="1:37" x14ac:dyDescent="0.3">
      <c r="A2054" t="s">
        <v>6385</v>
      </c>
      <c r="B2054" t="s">
        <v>6386</v>
      </c>
      <c r="C2054" t="s">
        <v>6387</v>
      </c>
      <c r="D2054" t="s">
        <v>74</v>
      </c>
      <c r="K2054" t="str">
        <f>T("184.1420")</f>
        <v>184.1420</v>
      </c>
    </row>
    <row r="2055" spans="1:37" x14ac:dyDescent="0.3">
      <c r="A2055" t="s">
        <v>6388</v>
      </c>
      <c r="B2055" t="s">
        <v>6389</v>
      </c>
      <c r="C2055" t="s">
        <v>6390</v>
      </c>
      <c r="D2055" t="s">
        <v>184</v>
      </c>
      <c r="K2055" t="str">
        <f>T("172.785")</f>
        <v>172.785</v>
      </c>
    </row>
    <row r="2056" spans="1:37" x14ac:dyDescent="0.3">
      <c r="A2056" t="s">
        <v>6391</v>
      </c>
      <c r="B2056" t="s">
        <v>6392</v>
      </c>
      <c r="C2056" t="s">
        <v>6393</v>
      </c>
      <c r="D2056" t="s">
        <v>7</v>
      </c>
      <c r="AG2056" t="str">
        <f>T("3846")</f>
        <v>3846</v>
      </c>
      <c r="AH2056" t="str">
        <f>T("18")</f>
        <v>18</v>
      </c>
    </row>
    <row r="2057" spans="1:37" x14ac:dyDescent="0.3">
      <c r="A2057" t="s">
        <v>6394</v>
      </c>
      <c r="B2057" t="s">
        <v>6395</v>
      </c>
      <c r="C2057" t="s">
        <v>6396</v>
      </c>
      <c r="D2057" t="s">
        <v>7</v>
      </c>
      <c r="AG2057" t="str">
        <f>T("4524")</f>
        <v>4524</v>
      </c>
      <c r="AH2057" t="str">
        <f>T("24")</f>
        <v>24</v>
      </c>
    </row>
    <row r="2058" spans="1:37" x14ac:dyDescent="0.3">
      <c r="A2058" t="s">
        <v>6397</v>
      </c>
      <c r="B2058" t="s">
        <v>6398</v>
      </c>
      <c r="C2058" t="s">
        <v>6399</v>
      </c>
      <c r="D2058" t="s">
        <v>7</v>
      </c>
      <c r="K2058" t="str">
        <f>T("172.510")</f>
        <v>172.510</v>
      </c>
      <c r="AG2058" t="str">
        <f>T("2650")</f>
        <v>2650</v>
      </c>
      <c r="AH2058" t="str">
        <f>T("3")</f>
        <v>3</v>
      </c>
    </row>
    <row r="2059" spans="1:37" x14ac:dyDescent="0.3">
      <c r="A2059" t="s">
        <v>6400</v>
      </c>
      <c r="B2059" t="s">
        <v>6401</v>
      </c>
      <c r="C2059" t="s">
        <v>6402</v>
      </c>
      <c r="D2059" t="s">
        <v>7</v>
      </c>
      <c r="K2059" t="str">
        <f>T("172.510")</f>
        <v>172.510</v>
      </c>
      <c r="AG2059" t="str">
        <f>T("2649")</f>
        <v>2649</v>
      </c>
      <c r="AH2059" t="str">
        <f>T("3")</f>
        <v>3</v>
      </c>
    </row>
    <row r="2060" spans="1:37" x14ac:dyDescent="0.3">
      <c r="A2060" t="s">
        <v>6403</v>
      </c>
      <c r="B2060" t="s">
        <v>6404</v>
      </c>
      <c r="C2060" t="s">
        <v>6405</v>
      </c>
      <c r="D2060" t="s">
        <v>7</v>
      </c>
      <c r="K2060" t="str">
        <f>T("172.510")</f>
        <v>172.510</v>
      </c>
      <c r="AG2060" t="str">
        <f>T("2651")</f>
        <v>2651</v>
      </c>
      <c r="AH2060" t="str">
        <f>T("3")</f>
        <v>3</v>
      </c>
    </row>
    <row r="2061" spans="1:37" x14ac:dyDescent="0.3">
      <c r="A2061" t="s">
        <v>6406</v>
      </c>
      <c r="B2061" t="s">
        <v>6407</v>
      </c>
      <c r="C2061" t="s">
        <v>6408</v>
      </c>
      <c r="D2061" t="s">
        <v>7</v>
      </c>
      <c r="AG2061" t="str">
        <f>T("4656")</f>
        <v>4656</v>
      </c>
      <c r="AH2061" t="str">
        <f>T("24")</f>
        <v>24</v>
      </c>
      <c r="AK2061" t="str">
        <f>T("2146")</f>
        <v>2146</v>
      </c>
    </row>
    <row r="2062" spans="1:37" x14ac:dyDescent="0.3">
      <c r="A2062" t="s">
        <v>6409</v>
      </c>
      <c r="B2062" t="s">
        <v>6410</v>
      </c>
      <c r="C2062" t="s">
        <v>6411</v>
      </c>
      <c r="K2062" t="str">
        <f>T("172.510")</f>
        <v>172.510</v>
      </c>
    </row>
    <row r="2063" spans="1:37" x14ac:dyDescent="0.3">
      <c r="A2063" t="s">
        <v>6412</v>
      </c>
      <c r="B2063" t="s">
        <v>6413</v>
      </c>
      <c r="C2063" t="s">
        <v>6414</v>
      </c>
      <c r="D2063" t="s">
        <v>7</v>
      </c>
      <c r="AG2063" t="str">
        <f>T("4711")</f>
        <v>4711</v>
      </c>
      <c r="AH2063" t="str">
        <f>T("25")</f>
        <v>25</v>
      </c>
      <c r="AI2063" t="str">
        <f>T("27")</f>
        <v>27</v>
      </c>
    </row>
    <row r="2064" spans="1:37" x14ac:dyDescent="0.3">
      <c r="A2064" t="s">
        <v>6415</v>
      </c>
      <c r="B2064" t="s">
        <v>6416</v>
      </c>
      <c r="C2064" t="s">
        <v>6417</v>
      </c>
      <c r="D2064" t="s">
        <v>7</v>
      </c>
    </row>
    <row r="2065" spans="1:37" x14ac:dyDescent="0.3">
      <c r="A2065" t="s">
        <v>6418</v>
      </c>
      <c r="B2065" t="s">
        <v>6419</v>
      </c>
      <c r="C2065" t="s">
        <v>6420</v>
      </c>
      <c r="D2065" t="s">
        <v>137</v>
      </c>
      <c r="K2065" t="str">
        <f>T("172.320")</f>
        <v>172.320</v>
      </c>
      <c r="AG2065" t="str">
        <f>T("3847")</f>
        <v>3847</v>
      </c>
      <c r="AH2065" t="str">
        <f>T("18")</f>
        <v>18</v>
      </c>
      <c r="AI2065" t="str">
        <f>T("25")</f>
        <v>25</v>
      </c>
      <c r="AK2065" t="str">
        <f>T("1439")</f>
        <v>1439</v>
      </c>
    </row>
    <row r="2066" spans="1:37" x14ac:dyDescent="0.3">
      <c r="A2066" t="s">
        <v>6421</v>
      </c>
      <c r="B2066" t="s">
        <v>6422</v>
      </c>
      <c r="C2066" t="s">
        <v>6423</v>
      </c>
      <c r="D2066" t="s">
        <v>6424</v>
      </c>
      <c r="K2066" t="str">
        <f>T("182.10")</f>
        <v>182.10</v>
      </c>
      <c r="AF2066" t="str">
        <f>T("101.22")</f>
        <v>101.22</v>
      </c>
      <c r="AG2066" t="str">
        <f>T("2652")</f>
        <v>2652</v>
      </c>
      <c r="AH2066" t="str">
        <f>T("3")</f>
        <v>3</v>
      </c>
    </row>
    <row r="2067" spans="1:37" x14ac:dyDescent="0.3">
      <c r="A2067" t="s">
        <v>6425</v>
      </c>
      <c r="B2067" t="s">
        <v>6426</v>
      </c>
      <c r="C2067" t="s">
        <v>6427</v>
      </c>
      <c r="D2067" t="s">
        <v>7</v>
      </c>
      <c r="K2067" t="str">
        <f>T("182.20")</f>
        <v>182.20</v>
      </c>
      <c r="AG2067" t="str">
        <f>T("2653")</f>
        <v>2653</v>
      </c>
      <c r="AH2067" t="str">
        <f>T("3")</f>
        <v>3</v>
      </c>
    </row>
    <row r="2068" spans="1:37" x14ac:dyDescent="0.3">
      <c r="A2068" t="s">
        <v>6428</v>
      </c>
      <c r="B2068" t="s">
        <v>6429</v>
      </c>
      <c r="C2068" t="s">
        <v>6430</v>
      </c>
      <c r="D2068" t="s">
        <v>7</v>
      </c>
      <c r="K2068" t="str">
        <f>T("182.20")</f>
        <v>182.20</v>
      </c>
      <c r="AG2068" t="str">
        <f>T("2654")</f>
        <v>2654</v>
      </c>
      <c r="AH2068" t="str">
        <f>T("3")</f>
        <v>3</v>
      </c>
    </row>
    <row r="2069" spans="1:37" x14ac:dyDescent="0.3">
      <c r="A2069" t="s">
        <v>6431</v>
      </c>
      <c r="B2069" t="s">
        <v>6432</v>
      </c>
      <c r="C2069" t="s">
        <v>6433</v>
      </c>
      <c r="D2069" t="s">
        <v>1417</v>
      </c>
      <c r="K2069" t="str">
        <f>T("172.863")</f>
        <v>172.863</v>
      </c>
      <c r="L2069" t="str">
        <f>T("175.300")</f>
        <v>175.300</v>
      </c>
    </row>
    <row r="2070" spans="1:37" x14ac:dyDescent="0.3">
      <c r="A2070" t="s">
        <v>6434</v>
      </c>
      <c r="B2070" t="s">
        <v>6435</v>
      </c>
      <c r="C2070" t="s">
        <v>6436</v>
      </c>
      <c r="D2070" t="s">
        <v>1417</v>
      </c>
      <c r="K2070" t="str">
        <f>T("172.863")</f>
        <v>172.863</v>
      </c>
      <c r="L2070" t="str">
        <f>T("175.300")</f>
        <v>175.300</v>
      </c>
    </row>
    <row r="2071" spans="1:37" x14ac:dyDescent="0.3">
      <c r="A2071" t="s">
        <v>6437</v>
      </c>
      <c r="B2071" t="s">
        <v>6438</v>
      </c>
      <c r="C2071" t="s">
        <v>6439</v>
      </c>
      <c r="D2071" t="s">
        <v>6440</v>
      </c>
      <c r="K2071" t="str">
        <f>T("177.2600")</f>
        <v>177.2600</v>
      </c>
      <c r="L2071" t="str">
        <f>T("184.1425")</f>
        <v>184.1425</v>
      </c>
      <c r="AF2071" t="s">
        <v>6441</v>
      </c>
    </row>
    <row r="2072" spans="1:37" x14ac:dyDescent="0.3">
      <c r="A2072" t="s">
        <v>6442</v>
      </c>
      <c r="B2072" t="s">
        <v>6443</v>
      </c>
      <c r="C2072" t="s">
        <v>6444</v>
      </c>
      <c r="D2072" t="s">
        <v>6445</v>
      </c>
      <c r="K2072" t="str">
        <f>T("172.560")</f>
        <v>172.560</v>
      </c>
      <c r="L2072" t="str">
        <f>T("177.1650")</f>
        <v>177.1650</v>
      </c>
      <c r="M2072" t="str">
        <f>T("184.1426")</f>
        <v>184.1426</v>
      </c>
    </row>
    <row r="2073" spans="1:37" x14ac:dyDescent="0.3">
      <c r="A2073" t="s">
        <v>6446</v>
      </c>
      <c r="B2073" t="s">
        <v>6447</v>
      </c>
      <c r="C2073" t="s">
        <v>6448</v>
      </c>
      <c r="D2073" t="s">
        <v>11</v>
      </c>
      <c r="AD2073" t="str">
        <f>T("189.135")</f>
        <v>189.135</v>
      </c>
    </row>
    <row r="2074" spans="1:37" x14ac:dyDescent="0.3">
      <c r="A2074" t="s">
        <v>6449</v>
      </c>
      <c r="B2074" t="s">
        <v>6450</v>
      </c>
      <c r="C2074" t="s">
        <v>6451</v>
      </c>
      <c r="D2074" t="s">
        <v>137</v>
      </c>
      <c r="K2074" t="str">
        <f>T("172.350")</f>
        <v>172.350</v>
      </c>
    </row>
    <row r="2075" spans="1:37" x14ac:dyDescent="0.3">
      <c r="A2075" t="s">
        <v>6452</v>
      </c>
      <c r="B2075" t="s">
        <v>6453</v>
      </c>
      <c r="C2075" t="s">
        <v>6454</v>
      </c>
      <c r="D2075" t="s">
        <v>137</v>
      </c>
    </row>
    <row r="2076" spans="1:37" x14ac:dyDescent="0.3">
      <c r="A2076" t="s">
        <v>6455</v>
      </c>
      <c r="B2076" t="s">
        <v>6456</v>
      </c>
      <c r="C2076" t="s">
        <v>6457</v>
      </c>
      <c r="D2076" t="s">
        <v>4712</v>
      </c>
      <c r="K2076" t="str">
        <f>T("175.105")</f>
        <v>175.105</v>
      </c>
      <c r="L2076" t="str">
        <f>T("175.300")</f>
        <v>175.300</v>
      </c>
      <c r="M2076" t="str">
        <f>T("181.29")</f>
        <v>181.29</v>
      </c>
    </row>
    <row r="2077" spans="1:37" x14ac:dyDescent="0.3">
      <c r="A2077" t="s">
        <v>6458</v>
      </c>
      <c r="B2077" t="s">
        <v>6459</v>
      </c>
      <c r="C2077" t="s">
        <v>6460</v>
      </c>
      <c r="D2077" t="s">
        <v>6461</v>
      </c>
      <c r="K2077" t="str">
        <f>T("176.180")</f>
        <v>176.180</v>
      </c>
      <c r="L2077" t="str">
        <f>T("176.210")</f>
        <v>176.210</v>
      </c>
      <c r="M2077" t="str">
        <f>T("184.1428")</f>
        <v>184.1428</v>
      </c>
      <c r="AF2077" t="str">
        <f>T("155.17")</f>
        <v>155.17</v>
      </c>
    </row>
    <row r="2078" spans="1:37" x14ac:dyDescent="0.3">
      <c r="A2078" t="s">
        <v>6462</v>
      </c>
      <c r="B2078" t="s">
        <v>6463</v>
      </c>
      <c r="C2078" t="s">
        <v>6464</v>
      </c>
      <c r="D2078" t="s">
        <v>1417</v>
      </c>
      <c r="K2078" t="str">
        <f>T("172.863")</f>
        <v>172.863</v>
      </c>
    </row>
    <row r="2079" spans="1:37" x14ac:dyDescent="0.3">
      <c r="A2079" t="s">
        <v>6465</v>
      </c>
      <c r="B2079" t="s">
        <v>6466</v>
      </c>
      <c r="C2079" t="s">
        <v>6467</v>
      </c>
      <c r="D2079" t="s">
        <v>1417</v>
      </c>
      <c r="K2079" t="str">
        <f>T("172.863")</f>
        <v>172.863</v>
      </c>
    </row>
    <row r="2080" spans="1:37" x14ac:dyDescent="0.3">
      <c r="A2080" t="s">
        <v>6468</v>
      </c>
      <c r="B2080" t="s">
        <v>6469</v>
      </c>
      <c r="C2080" t="s">
        <v>6470</v>
      </c>
      <c r="D2080" t="s">
        <v>1417</v>
      </c>
      <c r="K2080" t="str">
        <f>T("172.863")</f>
        <v>172.863</v>
      </c>
      <c r="L2080" t="str">
        <f>T("175.300")</f>
        <v>175.300</v>
      </c>
    </row>
    <row r="2081" spans="1:37" x14ac:dyDescent="0.3">
      <c r="A2081" t="s">
        <v>6471</v>
      </c>
      <c r="B2081" t="s">
        <v>6472</v>
      </c>
      <c r="C2081" t="s">
        <v>6473</v>
      </c>
      <c r="D2081" t="s">
        <v>6474</v>
      </c>
      <c r="K2081" t="str">
        <f>T("175.300")</f>
        <v>175.300</v>
      </c>
      <c r="L2081" t="str">
        <f>T("176.170")</f>
        <v>176.170</v>
      </c>
      <c r="M2081" t="str">
        <f>T("177.1680")</f>
        <v>177.1680</v>
      </c>
      <c r="N2081" t="str">
        <f>T("177.2260")</f>
        <v>177.2260</v>
      </c>
      <c r="O2081" t="str">
        <f>T("177.2400")</f>
        <v>177.2400</v>
      </c>
      <c r="P2081" t="str">
        <f>T("177.2600")</f>
        <v>177.2600</v>
      </c>
      <c r="Q2081" t="str">
        <f>T("178.1010")</f>
        <v>178.1010</v>
      </c>
      <c r="R2081" t="str">
        <f>T("178.3297")</f>
        <v>178.3297</v>
      </c>
      <c r="S2081" t="str">
        <f>T("184.1431")</f>
        <v>184.1431</v>
      </c>
      <c r="AF2081" t="s">
        <v>6475</v>
      </c>
    </row>
    <row r="2082" spans="1:37" x14ac:dyDescent="0.3">
      <c r="A2082" t="s">
        <v>6476</v>
      </c>
      <c r="B2082" t="s">
        <v>6477</v>
      </c>
      <c r="C2082" t="s">
        <v>6478</v>
      </c>
      <c r="D2082" t="s">
        <v>1417</v>
      </c>
      <c r="K2082" t="str">
        <f>T("172.863")</f>
        <v>172.863</v>
      </c>
      <c r="L2082" t="str">
        <f>T("175.300")</f>
        <v>175.300</v>
      </c>
    </row>
    <row r="2083" spans="1:37" x14ac:dyDescent="0.3">
      <c r="A2083" t="s">
        <v>6479</v>
      </c>
      <c r="B2083" t="s">
        <v>6480</v>
      </c>
      <c r="C2083" t="s">
        <v>6481</v>
      </c>
      <c r="D2083" t="s">
        <v>6482</v>
      </c>
      <c r="K2083" t="str">
        <f>T("175.300")</f>
        <v>175.300</v>
      </c>
      <c r="L2083" t="str">
        <f>T("181.29")</f>
        <v>181.29</v>
      </c>
      <c r="M2083" t="str">
        <f>T("184.1434")</f>
        <v>184.1434</v>
      </c>
    </row>
    <row r="2084" spans="1:37" x14ac:dyDescent="0.3">
      <c r="A2084" t="s">
        <v>6483</v>
      </c>
      <c r="B2084" t="s">
        <v>6484</v>
      </c>
      <c r="C2084" t="s">
        <v>6485</v>
      </c>
      <c r="D2084" t="s">
        <v>6482</v>
      </c>
      <c r="K2084" t="str">
        <f>T("175.300")</f>
        <v>175.300</v>
      </c>
      <c r="L2084" t="str">
        <f>T("184.1434")</f>
        <v>184.1434</v>
      </c>
    </row>
    <row r="2085" spans="1:37" x14ac:dyDescent="0.3">
      <c r="A2085" t="s">
        <v>6486</v>
      </c>
      <c r="B2085" t="s">
        <v>6487</v>
      </c>
      <c r="C2085" t="s">
        <v>6488</v>
      </c>
      <c r="D2085" t="s">
        <v>1417</v>
      </c>
      <c r="K2085" t="str">
        <f>T("172.863")</f>
        <v>172.863</v>
      </c>
      <c r="L2085" t="str">
        <f>T("175.105")</f>
        <v>175.105</v>
      </c>
      <c r="M2085" t="str">
        <f>T("178.3910")</f>
        <v>178.3910</v>
      </c>
    </row>
    <row r="2086" spans="1:37" x14ac:dyDescent="0.3">
      <c r="A2086" t="s">
        <v>6489</v>
      </c>
      <c r="B2086" t="s">
        <v>6490</v>
      </c>
      <c r="C2086" t="s">
        <v>6491</v>
      </c>
      <c r="D2086" t="s">
        <v>6492</v>
      </c>
      <c r="K2086" t="str">
        <f>T("182.2437")</f>
        <v>182.2437</v>
      </c>
      <c r="AF2086" t="str">
        <f>T("169.179")</f>
        <v>169.179</v>
      </c>
    </row>
    <row r="2087" spans="1:37" x14ac:dyDescent="0.3">
      <c r="A2087" t="s">
        <v>6493</v>
      </c>
      <c r="B2087" t="s">
        <v>6494</v>
      </c>
      <c r="C2087" t="s">
        <v>6495</v>
      </c>
      <c r="D2087" t="s">
        <v>6496</v>
      </c>
      <c r="K2087" t="str">
        <f>T("172.863")</f>
        <v>172.863</v>
      </c>
      <c r="L2087" t="str">
        <f>T("173.340")</f>
        <v>173.340</v>
      </c>
      <c r="M2087" t="str">
        <f>T("175.300")</f>
        <v>175.300</v>
      </c>
      <c r="N2087" t="str">
        <f>T("179.45")</f>
        <v>179.45</v>
      </c>
      <c r="O2087" t="str">
        <f>T("181.29")</f>
        <v>181.29</v>
      </c>
      <c r="P2087" t="str">
        <f>T("184.1440")</f>
        <v>184.1440</v>
      </c>
    </row>
    <row r="2088" spans="1:37" x14ac:dyDescent="0.3">
      <c r="A2088" t="s">
        <v>6497</v>
      </c>
      <c r="B2088" t="s">
        <v>6498</v>
      </c>
      <c r="C2088" t="s">
        <v>6499</v>
      </c>
      <c r="D2088" t="s">
        <v>6500</v>
      </c>
      <c r="K2088" t="str">
        <f>T("184.1443")</f>
        <v>184.1443</v>
      </c>
    </row>
    <row r="2089" spans="1:37" x14ac:dyDescent="0.3">
      <c r="A2089" t="s">
        <v>6501</v>
      </c>
      <c r="B2089" t="s">
        <v>6502</v>
      </c>
      <c r="C2089" t="s">
        <v>6503</v>
      </c>
      <c r="D2089" t="s">
        <v>7</v>
      </c>
      <c r="AG2089" t="str">
        <f>T("4559")</f>
        <v>4559</v>
      </c>
      <c r="AH2089" t="str">
        <f>T("24")</f>
        <v>24</v>
      </c>
      <c r="AK2089" t="str">
        <f>T("2023")</f>
        <v>2023</v>
      </c>
    </row>
    <row r="2090" spans="1:37" x14ac:dyDescent="0.3">
      <c r="A2090" t="s">
        <v>6504</v>
      </c>
      <c r="B2090" t="s">
        <v>6505</v>
      </c>
      <c r="C2090" t="s">
        <v>6506</v>
      </c>
      <c r="D2090" t="s">
        <v>7</v>
      </c>
      <c r="K2090" t="str">
        <f>T("172.510")</f>
        <v>172.510</v>
      </c>
    </row>
    <row r="2091" spans="1:37" x14ac:dyDescent="0.3">
      <c r="A2091" t="s">
        <v>6507</v>
      </c>
      <c r="B2091" t="s">
        <v>6508</v>
      </c>
      <c r="C2091" t="s">
        <v>6509</v>
      </c>
      <c r="D2091" t="s">
        <v>6510</v>
      </c>
      <c r="K2091" t="str">
        <f>T("184.1069")</f>
        <v>184.1069</v>
      </c>
    </row>
    <row r="2092" spans="1:37" x14ac:dyDescent="0.3">
      <c r="A2092" t="s">
        <v>6511</v>
      </c>
      <c r="B2092" t="s">
        <v>6512</v>
      </c>
      <c r="C2092" t="s">
        <v>6513</v>
      </c>
      <c r="D2092" t="s">
        <v>74</v>
      </c>
      <c r="K2092" t="str">
        <f>T("172.725")</f>
        <v>172.725</v>
      </c>
    </row>
    <row r="2093" spans="1:37" x14ac:dyDescent="0.3">
      <c r="A2093" t="s">
        <v>6514</v>
      </c>
      <c r="B2093" t="s">
        <v>6515</v>
      </c>
      <c r="C2093" t="s">
        <v>6516</v>
      </c>
      <c r="D2093" t="s">
        <v>6517</v>
      </c>
      <c r="K2093" t="str">
        <f>T("184.1444")</f>
        <v>184.1444</v>
      </c>
    </row>
    <row r="2094" spans="1:37" x14ac:dyDescent="0.3">
      <c r="A2094" t="s">
        <v>6518</v>
      </c>
      <c r="B2094" t="s">
        <v>6519</v>
      </c>
      <c r="C2094" t="s">
        <v>6520</v>
      </c>
      <c r="D2094" t="s">
        <v>6521</v>
      </c>
      <c r="K2094" t="str">
        <f>T("172.515")</f>
        <v>172.515</v>
      </c>
      <c r="AG2094" t="str">
        <f>T("2656")</f>
        <v>2656</v>
      </c>
      <c r="AH2094" t="str">
        <f>T("3")</f>
        <v>3</v>
      </c>
      <c r="AK2094" t="str">
        <f>T("1480")</f>
        <v>1480</v>
      </c>
    </row>
    <row r="2095" spans="1:37" x14ac:dyDescent="0.3">
      <c r="A2095" t="s">
        <v>6522</v>
      </c>
      <c r="B2095" t="s">
        <v>6523</v>
      </c>
      <c r="C2095" t="s">
        <v>6524</v>
      </c>
      <c r="D2095" t="s">
        <v>7</v>
      </c>
      <c r="AG2095" t="str">
        <f>T("3941")</f>
        <v>3941</v>
      </c>
      <c r="AH2095" t="str">
        <f>T("19")</f>
        <v>19</v>
      </c>
      <c r="AK2095" t="str">
        <f>T("1483")</f>
        <v>1483</v>
      </c>
    </row>
    <row r="2096" spans="1:37" x14ac:dyDescent="0.3">
      <c r="A2096" t="s">
        <v>6525</v>
      </c>
      <c r="B2096" t="s">
        <v>6526</v>
      </c>
      <c r="C2096" t="s">
        <v>6527</v>
      </c>
      <c r="D2096" t="s">
        <v>5272</v>
      </c>
      <c r="AF2096" t="s">
        <v>6528</v>
      </c>
    </row>
    <row r="2097" spans="1:37" x14ac:dyDescent="0.3">
      <c r="A2097" t="s">
        <v>6529</v>
      </c>
      <c r="B2097" t="s">
        <v>6530</v>
      </c>
      <c r="C2097" t="s">
        <v>6531</v>
      </c>
      <c r="D2097" t="s">
        <v>6532</v>
      </c>
      <c r="E2097" t="str">
        <f>T("73.85")</f>
        <v>73.85</v>
      </c>
      <c r="K2097" t="str">
        <f>T("184.1445")</f>
        <v>184.1445</v>
      </c>
      <c r="AF2097" t="s">
        <v>6533</v>
      </c>
    </row>
    <row r="2098" spans="1:37" x14ac:dyDescent="0.3">
      <c r="A2098" t="s">
        <v>6534</v>
      </c>
      <c r="B2098" t="s">
        <v>6535</v>
      </c>
      <c r="C2098" t="s">
        <v>6536</v>
      </c>
      <c r="D2098" t="s">
        <v>7</v>
      </c>
      <c r="AG2098" t="str">
        <f>T("3462")</f>
        <v>3462</v>
      </c>
      <c r="AH2098" t="str">
        <f>T("9")</f>
        <v>9</v>
      </c>
      <c r="AK2098" t="str">
        <f>T("1482")</f>
        <v>1482</v>
      </c>
    </row>
    <row r="2099" spans="1:37" x14ac:dyDescent="0.3">
      <c r="A2099" t="s">
        <v>6537</v>
      </c>
      <c r="B2099" t="s">
        <v>6538</v>
      </c>
      <c r="C2099" t="s">
        <v>6539</v>
      </c>
      <c r="D2099" t="s">
        <v>7</v>
      </c>
      <c r="K2099" t="str">
        <f>T("182.20")</f>
        <v>182.20</v>
      </c>
      <c r="AG2099" t="str">
        <f>T("2657")</f>
        <v>2657</v>
      </c>
      <c r="AH2099" t="str">
        <f>T("3")</f>
        <v>3</v>
      </c>
    </row>
    <row r="2100" spans="1:37" x14ac:dyDescent="0.3">
      <c r="A2100" t="s">
        <v>6540</v>
      </c>
      <c r="B2100" t="s">
        <v>6541</v>
      </c>
      <c r="C2100" t="s">
        <v>6542</v>
      </c>
      <c r="D2100" t="s">
        <v>137</v>
      </c>
      <c r="K2100" t="str">
        <f>T("184.1446")</f>
        <v>184.1446</v>
      </c>
    </row>
    <row r="2101" spans="1:37" x14ac:dyDescent="0.3">
      <c r="A2101" t="s">
        <v>6543</v>
      </c>
      <c r="B2101" t="s">
        <v>6544</v>
      </c>
      <c r="C2101" t="s">
        <v>6545</v>
      </c>
      <c r="D2101" t="s">
        <v>1067</v>
      </c>
      <c r="K2101" t="str">
        <f>T("184.1449")</f>
        <v>184.1449</v>
      </c>
    </row>
    <row r="2102" spans="1:37" x14ac:dyDescent="0.3">
      <c r="A2102" t="s">
        <v>6546</v>
      </c>
      <c r="B2102" t="s">
        <v>6547</v>
      </c>
      <c r="C2102" t="s">
        <v>6548</v>
      </c>
      <c r="D2102" t="s">
        <v>6549</v>
      </c>
      <c r="K2102" t="str">
        <f>T("184.1452")</f>
        <v>184.1452</v>
      </c>
    </row>
    <row r="2103" spans="1:37" x14ac:dyDescent="0.3">
      <c r="A2103" t="s">
        <v>6550</v>
      </c>
      <c r="B2103" t="s">
        <v>6551</v>
      </c>
      <c r="C2103" t="s">
        <v>6552</v>
      </c>
      <c r="D2103" t="s">
        <v>137</v>
      </c>
    </row>
    <row r="2104" spans="1:37" x14ac:dyDescent="0.3">
      <c r="A2104" t="s">
        <v>6553</v>
      </c>
      <c r="B2104" t="s">
        <v>6554</v>
      </c>
      <c r="C2104" t="s">
        <v>6555</v>
      </c>
      <c r="D2104" t="s">
        <v>137</v>
      </c>
    </row>
    <row r="2105" spans="1:37" x14ac:dyDescent="0.3">
      <c r="A2105" t="s">
        <v>6556</v>
      </c>
      <c r="B2105" t="s">
        <v>6557</v>
      </c>
      <c r="C2105" t="s">
        <v>6558</v>
      </c>
      <c r="D2105" t="s">
        <v>137</v>
      </c>
      <c r="K2105" t="str">
        <f>T("184.1461")</f>
        <v>184.1461</v>
      </c>
    </row>
    <row r="2106" spans="1:37" x14ac:dyDescent="0.3">
      <c r="A2106" t="s">
        <v>6559</v>
      </c>
      <c r="B2106" t="s">
        <v>6560</v>
      </c>
      <c r="C2106" t="s">
        <v>6561</v>
      </c>
      <c r="D2106" t="s">
        <v>137</v>
      </c>
    </row>
    <row r="2107" spans="1:37" x14ac:dyDescent="0.3">
      <c r="A2107" t="s">
        <v>6562</v>
      </c>
      <c r="B2107" t="s">
        <v>6563</v>
      </c>
      <c r="C2107" t="s">
        <v>6564</v>
      </c>
      <c r="D2107" t="s">
        <v>6565</v>
      </c>
      <c r="K2107" t="str">
        <f>T("175.300")</f>
        <v>175.300</v>
      </c>
      <c r="L2107" t="str">
        <f>T("175.320")</f>
        <v>175.320</v>
      </c>
      <c r="M2107" t="str">
        <f>T("177.1390")</f>
        <v>177.1390</v>
      </c>
      <c r="N2107" t="str">
        <f>T("177.2420")</f>
        <v>177.2420</v>
      </c>
      <c r="O2107" t="str">
        <f>T("180.25")</f>
        <v>180.25</v>
      </c>
      <c r="AF2107" t="s">
        <v>6566</v>
      </c>
    </row>
    <row r="2108" spans="1:37" x14ac:dyDescent="0.3">
      <c r="A2108" t="s">
        <v>6567</v>
      </c>
      <c r="B2108" t="s">
        <v>6568</v>
      </c>
      <c r="C2108" t="s">
        <v>6569</v>
      </c>
      <c r="D2108" t="s">
        <v>7</v>
      </c>
      <c r="K2108" t="str">
        <f>T("182.10")</f>
        <v>182.10</v>
      </c>
      <c r="AG2108" t="str">
        <f>T("2658")</f>
        <v>2658</v>
      </c>
      <c r="AH2108" t="str">
        <f t="shared" ref="AH2108:AH2113" si="24">T("3")</f>
        <v>3</v>
      </c>
    </row>
    <row r="2109" spans="1:37" x14ac:dyDescent="0.3">
      <c r="A2109" t="s">
        <v>6570</v>
      </c>
      <c r="B2109" t="s">
        <v>6571</v>
      </c>
      <c r="C2109" t="s">
        <v>6572</v>
      </c>
      <c r="D2109" t="s">
        <v>7</v>
      </c>
      <c r="K2109" t="str">
        <f>T("182.20")</f>
        <v>182.20</v>
      </c>
      <c r="AG2109" t="str">
        <f>T("2659")</f>
        <v>2659</v>
      </c>
      <c r="AH2109" t="str">
        <f t="shared" si="24"/>
        <v>3</v>
      </c>
    </row>
    <row r="2110" spans="1:37" x14ac:dyDescent="0.3">
      <c r="A2110" t="s">
        <v>6573</v>
      </c>
      <c r="B2110" t="s">
        <v>6574</v>
      </c>
      <c r="C2110" t="s">
        <v>6575</v>
      </c>
      <c r="D2110" t="s">
        <v>7</v>
      </c>
      <c r="K2110" t="str">
        <f>T("182.10")</f>
        <v>182.10</v>
      </c>
      <c r="AG2110" t="str">
        <f>T("2660")</f>
        <v>2660</v>
      </c>
      <c r="AH2110" t="str">
        <f t="shared" si="24"/>
        <v>3</v>
      </c>
    </row>
    <row r="2111" spans="1:37" x14ac:dyDescent="0.3">
      <c r="A2111" t="s">
        <v>6576</v>
      </c>
      <c r="B2111" t="s">
        <v>6577</v>
      </c>
      <c r="C2111" t="s">
        <v>6578</v>
      </c>
      <c r="D2111" t="s">
        <v>7</v>
      </c>
      <c r="K2111" t="str">
        <f>T("182.10")</f>
        <v>182.10</v>
      </c>
      <c r="AG2111" t="str">
        <f>T("2661")</f>
        <v>2661</v>
      </c>
      <c r="AH2111" t="str">
        <f t="shared" si="24"/>
        <v>3</v>
      </c>
    </row>
    <row r="2112" spans="1:37" x14ac:dyDescent="0.3">
      <c r="A2112" t="s">
        <v>6579</v>
      </c>
      <c r="B2112" t="s">
        <v>6580</v>
      </c>
      <c r="C2112" t="s">
        <v>6581</v>
      </c>
      <c r="D2112" t="s">
        <v>7</v>
      </c>
      <c r="K2112" t="str">
        <f>T("182.10")</f>
        <v>182.10</v>
      </c>
      <c r="AF2112" t="str">
        <f>T("101.22")</f>
        <v>101.22</v>
      </c>
      <c r="AG2112" t="str">
        <f>T("2662")</f>
        <v>2662</v>
      </c>
      <c r="AH2112" t="str">
        <f t="shared" si="24"/>
        <v>3</v>
      </c>
    </row>
    <row r="2113" spans="1:37" x14ac:dyDescent="0.3">
      <c r="A2113" t="s">
        <v>6582</v>
      </c>
      <c r="B2113" t="s">
        <v>6583</v>
      </c>
      <c r="C2113" t="s">
        <v>6584</v>
      </c>
      <c r="D2113" t="s">
        <v>7</v>
      </c>
      <c r="K2113" t="str">
        <f>T("182.20")</f>
        <v>182.20</v>
      </c>
      <c r="AG2113" t="str">
        <f>T("2663")</f>
        <v>2663</v>
      </c>
      <c r="AH2113" t="str">
        <f t="shared" si="24"/>
        <v>3</v>
      </c>
    </row>
    <row r="2114" spans="1:37" x14ac:dyDescent="0.3">
      <c r="A2114" t="s">
        <v>6585</v>
      </c>
      <c r="B2114" t="s">
        <v>6586</v>
      </c>
      <c r="C2114" t="s">
        <v>6587</v>
      </c>
      <c r="D2114" t="s">
        <v>1175</v>
      </c>
      <c r="K2114" t="str">
        <f>T("172.615")</f>
        <v>172.615</v>
      </c>
    </row>
    <row r="2115" spans="1:37" x14ac:dyDescent="0.3">
      <c r="A2115" t="s">
        <v>6588</v>
      </c>
      <c r="B2115" t="s">
        <v>6589</v>
      </c>
      <c r="C2115" t="s">
        <v>6590</v>
      </c>
      <c r="D2115" t="s">
        <v>1175</v>
      </c>
      <c r="K2115" t="str">
        <f>T("172.615")</f>
        <v>172.615</v>
      </c>
    </row>
    <row r="2116" spans="1:37" x14ac:dyDescent="0.3">
      <c r="A2116" t="s">
        <v>6591</v>
      </c>
      <c r="B2116" t="s">
        <v>6592</v>
      </c>
      <c r="C2116" t="s">
        <v>6593</v>
      </c>
      <c r="D2116" t="s">
        <v>1175</v>
      </c>
      <c r="K2116" t="str">
        <f>T("172.615")</f>
        <v>172.615</v>
      </c>
    </row>
    <row r="2117" spans="1:37" x14ac:dyDescent="0.3">
      <c r="A2117" t="s">
        <v>6594</v>
      </c>
      <c r="B2117" t="s">
        <v>6595</v>
      </c>
      <c r="C2117" t="s">
        <v>6596</v>
      </c>
      <c r="D2117" t="s">
        <v>7</v>
      </c>
      <c r="AG2117" t="str">
        <f>T("3747")</f>
        <v>3747</v>
      </c>
      <c r="AH2117" t="str">
        <f>T("14")</f>
        <v>14</v>
      </c>
    </row>
    <row r="2118" spans="1:37" x14ac:dyDescent="0.3">
      <c r="A2118" t="s">
        <v>6597</v>
      </c>
      <c r="B2118" t="s">
        <v>6598</v>
      </c>
      <c r="C2118" t="s">
        <v>6599</v>
      </c>
      <c r="D2118" t="s">
        <v>7</v>
      </c>
    </row>
    <row r="2119" spans="1:37" x14ac:dyDescent="0.3">
      <c r="A2119" t="s">
        <v>6600</v>
      </c>
      <c r="B2119" t="s">
        <v>6601</v>
      </c>
      <c r="C2119" t="s">
        <v>6602</v>
      </c>
      <c r="D2119" t="s">
        <v>7</v>
      </c>
      <c r="K2119" t="str">
        <f>T("182.20")</f>
        <v>182.20</v>
      </c>
    </row>
    <row r="2120" spans="1:37" x14ac:dyDescent="0.3">
      <c r="A2120" t="s">
        <v>6603</v>
      </c>
      <c r="B2120" t="s">
        <v>6604</v>
      </c>
      <c r="C2120" t="s">
        <v>6605</v>
      </c>
    </row>
    <row r="2121" spans="1:37" x14ac:dyDescent="0.3">
      <c r="A2121" t="s">
        <v>6606</v>
      </c>
      <c r="B2121" t="s">
        <v>6607</v>
      </c>
      <c r="C2121" t="s">
        <v>6608</v>
      </c>
    </row>
    <row r="2122" spans="1:37" x14ac:dyDescent="0.3">
      <c r="A2122" t="s">
        <v>6609</v>
      </c>
      <c r="B2122" t="s">
        <v>6610</v>
      </c>
      <c r="C2122" t="s">
        <v>6611</v>
      </c>
      <c r="K2122" t="str">
        <f>T("184.1472")</f>
        <v>184.1472</v>
      </c>
    </row>
    <row r="2123" spans="1:37" x14ac:dyDescent="0.3">
      <c r="A2123" t="s">
        <v>6612</v>
      </c>
      <c r="B2123" t="s">
        <v>6613</v>
      </c>
      <c r="C2123" t="s">
        <v>6614</v>
      </c>
      <c r="K2123" t="str">
        <f>T("184.1472")</f>
        <v>184.1472</v>
      </c>
    </row>
    <row r="2124" spans="1:37" x14ac:dyDescent="0.3">
      <c r="A2124" t="s">
        <v>6615</v>
      </c>
      <c r="B2124" t="s">
        <v>6616</v>
      </c>
      <c r="C2124" t="s">
        <v>6617</v>
      </c>
      <c r="K2124" t="str">
        <f>T("184.1472")</f>
        <v>184.1472</v>
      </c>
    </row>
    <row r="2125" spans="1:37" x14ac:dyDescent="0.3">
      <c r="A2125" t="s">
        <v>6618</v>
      </c>
      <c r="B2125" t="s">
        <v>6619</v>
      </c>
      <c r="C2125" t="s">
        <v>6620</v>
      </c>
      <c r="D2125" t="s">
        <v>6621</v>
      </c>
      <c r="K2125" t="str">
        <f>T("172.515")</f>
        <v>172.515</v>
      </c>
    </row>
    <row r="2126" spans="1:37" x14ac:dyDescent="0.3">
      <c r="A2126" t="s">
        <v>6622</v>
      </c>
      <c r="B2126" t="s">
        <v>6623</v>
      </c>
      <c r="C2126" t="s">
        <v>6624</v>
      </c>
      <c r="D2126" t="s">
        <v>7</v>
      </c>
      <c r="AG2126" t="str">
        <f>T("4411")</f>
        <v>4411</v>
      </c>
      <c r="AH2126" t="str">
        <f>T("23")</f>
        <v>23</v>
      </c>
      <c r="AK2126" t="str">
        <f>T("1861")</f>
        <v>1861</v>
      </c>
    </row>
    <row r="2127" spans="1:37" x14ac:dyDescent="0.3">
      <c r="A2127" t="s">
        <v>6625</v>
      </c>
      <c r="B2127" t="s">
        <v>6626</v>
      </c>
      <c r="C2127" t="s">
        <v>6627</v>
      </c>
      <c r="D2127" t="s">
        <v>7</v>
      </c>
      <c r="K2127" t="str">
        <f>T("172.515")</f>
        <v>172.515</v>
      </c>
      <c r="AG2127" t="str">
        <f>T("2664")</f>
        <v>2664</v>
      </c>
      <c r="AH2127" t="str">
        <f>T("3")</f>
        <v>3</v>
      </c>
      <c r="AK2127" t="str">
        <f>T("974")</f>
        <v>974</v>
      </c>
    </row>
    <row r="2128" spans="1:37" x14ac:dyDescent="0.3">
      <c r="A2128" t="s">
        <v>6628</v>
      </c>
      <c r="B2128" t="s">
        <v>6629</v>
      </c>
      <c r="C2128" t="s">
        <v>6630</v>
      </c>
      <c r="D2128" t="s">
        <v>7</v>
      </c>
      <c r="K2128" t="str">
        <f>T("172.515")</f>
        <v>172.515</v>
      </c>
      <c r="AG2128" t="str">
        <f>T("3848")</f>
        <v>3848</v>
      </c>
      <c r="AH2128" t="str">
        <f>T("18")</f>
        <v>18</v>
      </c>
      <c r="AK2128" t="str">
        <f>T("1098")</f>
        <v>1098</v>
      </c>
    </row>
    <row r="2129" spans="1:37" x14ac:dyDescent="0.3">
      <c r="A2129" t="s">
        <v>6631</v>
      </c>
      <c r="B2129" t="s">
        <v>6632</v>
      </c>
      <c r="C2129" t="s">
        <v>6633</v>
      </c>
      <c r="D2129" t="s">
        <v>7</v>
      </c>
      <c r="AG2129" t="str">
        <f>T("3176")</f>
        <v>3176</v>
      </c>
      <c r="AH2129" t="str">
        <f>T("4")</f>
        <v>4</v>
      </c>
      <c r="AI2129" t="str">
        <f>T("25")</f>
        <v>25</v>
      </c>
      <c r="AK2129" t="str">
        <f>T("375")</f>
        <v>375</v>
      </c>
    </row>
    <row r="2130" spans="1:37" x14ac:dyDescent="0.3">
      <c r="A2130" t="s">
        <v>6634</v>
      </c>
      <c r="B2130" t="s">
        <v>6635</v>
      </c>
      <c r="C2130" t="s">
        <v>6636</v>
      </c>
      <c r="D2130" t="s">
        <v>7</v>
      </c>
      <c r="AG2130" t="str">
        <f>T("3177")</f>
        <v>3177</v>
      </c>
      <c r="AH2130" t="str">
        <f>T("4")</f>
        <v>4</v>
      </c>
      <c r="AI2130" t="str">
        <f>T("25")</f>
        <v>25</v>
      </c>
      <c r="AK2130" t="str">
        <f>T("561")</f>
        <v>561</v>
      </c>
    </row>
    <row r="2131" spans="1:37" x14ac:dyDescent="0.3">
      <c r="A2131" t="s">
        <v>6637</v>
      </c>
      <c r="B2131" t="s">
        <v>6638</v>
      </c>
      <c r="C2131" t="s">
        <v>6639</v>
      </c>
      <c r="D2131" t="s">
        <v>7</v>
      </c>
      <c r="AG2131" t="str">
        <f>T("3178")</f>
        <v>3178</v>
      </c>
      <c r="AH2131" t="str">
        <f>T("4")</f>
        <v>4</v>
      </c>
      <c r="AK2131" t="str">
        <f>T("971")</f>
        <v>971</v>
      </c>
    </row>
    <row r="2132" spans="1:37" x14ac:dyDescent="0.3">
      <c r="A2132" t="s">
        <v>6640</v>
      </c>
      <c r="B2132" t="s">
        <v>6641</v>
      </c>
      <c r="C2132" t="s">
        <v>6642</v>
      </c>
      <c r="D2132" t="s">
        <v>7</v>
      </c>
      <c r="AG2132" t="str">
        <f>T("4409")</f>
        <v>4409</v>
      </c>
      <c r="AH2132" t="str">
        <f>T("23")</f>
        <v>23</v>
      </c>
      <c r="AK2132" t="str">
        <f>T("1860")</f>
        <v>1860</v>
      </c>
    </row>
    <row r="2133" spans="1:37" x14ac:dyDescent="0.3">
      <c r="A2133" t="s">
        <v>6643</v>
      </c>
      <c r="B2133" t="s">
        <v>6644</v>
      </c>
      <c r="C2133" t="s">
        <v>6645</v>
      </c>
      <c r="D2133" t="s">
        <v>7</v>
      </c>
      <c r="AG2133" t="str">
        <f>T("3700")</f>
        <v>3700</v>
      </c>
      <c r="AH2133" t="str">
        <f>T("13")</f>
        <v>13</v>
      </c>
      <c r="AI2133" t="str">
        <f>T("26")</f>
        <v>26</v>
      </c>
      <c r="AK2133" t="str">
        <f>T("523")</f>
        <v>523</v>
      </c>
    </row>
    <row r="2134" spans="1:37" x14ac:dyDescent="0.3">
      <c r="A2134" t="s">
        <v>6646</v>
      </c>
      <c r="B2134" t="s">
        <v>6647</v>
      </c>
      <c r="C2134" t="s">
        <v>6648</v>
      </c>
      <c r="D2134" t="s">
        <v>7</v>
      </c>
      <c r="AG2134" t="str">
        <f>T("3179")</f>
        <v>3179</v>
      </c>
      <c r="AH2134" t="str">
        <f>T("4")</f>
        <v>4</v>
      </c>
      <c r="AK2134" t="str">
        <f>T("434")</f>
        <v>434</v>
      </c>
    </row>
    <row r="2135" spans="1:37" x14ac:dyDescent="0.3">
      <c r="A2135" t="s">
        <v>6649</v>
      </c>
      <c r="B2135" t="s">
        <v>6650</v>
      </c>
      <c r="C2135" t="s">
        <v>6651</v>
      </c>
      <c r="D2135" t="s">
        <v>7</v>
      </c>
      <c r="K2135" t="str">
        <f>T("172.515")</f>
        <v>172.515</v>
      </c>
      <c r="AG2135" t="str">
        <f>T("3563")</f>
        <v>3563</v>
      </c>
      <c r="AH2135" t="str">
        <f>T("11")</f>
        <v>11</v>
      </c>
      <c r="AK2135" t="str">
        <f>T("373")</f>
        <v>373</v>
      </c>
    </row>
    <row r="2136" spans="1:37" x14ac:dyDescent="0.3">
      <c r="A2136" t="s">
        <v>6652</v>
      </c>
      <c r="B2136" t="s">
        <v>6653</v>
      </c>
      <c r="C2136" t="s">
        <v>6654</v>
      </c>
      <c r="D2136" t="s">
        <v>7</v>
      </c>
      <c r="K2136" t="str">
        <f>T("172.515")</f>
        <v>172.515</v>
      </c>
      <c r="AG2136" t="str">
        <f>T("3566")</f>
        <v>3566</v>
      </c>
      <c r="AH2136" t="str">
        <f>T("11")</f>
        <v>11</v>
      </c>
      <c r="AK2136" t="str">
        <f>T("972")</f>
        <v>972</v>
      </c>
    </row>
    <row r="2137" spans="1:37" x14ac:dyDescent="0.3">
      <c r="A2137" t="s">
        <v>6655</v>
      </c>
      <c r="B2137" t="s">
        <v>6656</v>
      </c>
      <c r="C2137" t="s">
        <v>6657</v>
      </c>
      <c r="D2137" t="s">
        <v>7</v>
      </c>
      <c r="K2137" t="str">
        <f>T("172.515")</f>
        <v>172.515</v>
      </c>
      <c r="L2137" t="str">
        <f>T("182.20")</f>
        <v>182.20</v>
      </c>
      <c r="AG2137" t="str">
        <f>T("2665")</f>
        <v>2665</v>
      </c>
      <c r="AH2137" t="str">
        <f>T("3")</f>
        <v>3</v>
      </c>
      <c r="AK2137" t="str">
        <f>T("427")</f>
        <v>427</v>
      </c>
    </row>
    <row r="2138" spans="1:37" x14ac:dyDescent="0.3">
      <c r="A2138" t="s">
        <v>6658</v>
      </c>
      <c r="B2138" t="s">
        <v>6659</v>
      </c>
      <c r="C2138" t="s">
        <v>6660</v>
      </c>
      <c r="D2138" t="s">
        <v>7</v>
      </c>
      <c r="K2138" t="str">
        <f>T("172.515")</f>
        <v>172.515</v>
      </c>
      <c r="AG2138" t="str">
        <f>T("2667")</f>
        <v>2667</v>
      </c>
      <c r="AH2138" t="str">
        <f>T("3")</f>
        <v>3</v>
      </c>
      <c r="AI2138" t="str">
        <f>T("25")</f>
        <v>25</v>
      </c>
      <c r="AK2138" t="str">
        <f>T("429")</f>
        <v>429</v>
      </c>
    </row>
    <row r="2139" spans="1:37" x14ac:dyDescent="0.3">
      <c r="A2139" t="s">
        <v>6661</v>
      </c>
      <c r="B2139" t="s">
        <v>6662</v>
      </c>
      <c r="C2139" t="s">
        <v>6663</v>
      </c>
      <c r="D2139" t="s">
        <v>7</v>
      </c>
      <c r="AG2139" t="str">
        <f>T("3808")</f>
        <v>3808</v>
      </c>
      <c r="AH2139" t="str">
        <f>T("17")</f>
        <v>17</v>
      </c>
      <c r="AK2139" t="str">
        <f>T("445")</f>
        <v>445</v>
      </c>
    </row>
    <row r="2140" spans="1:37" x14ac:dyDescent="0.3">
      <c r="A2140" t="s">
        <v>6664</v>
      </c>
      <c r="B2140" t="s">
        <v>6665</v>
      </c>
      <c r="C2140" t="s">
        <v>6666</v>
      </c>
      <c r="D2140" t="s">
        <v>7</v>
      </c>
      <c r="AG2140" t="str">
        <f>T("3807")</f>
        <v>3807</v>
      </c>
      <c r="AH2140" t="str">
        <f>T("17")</f>
        <v>17</v>
      </c>
      <c r="AK2140" t="str">
        <f>T("446")</f>
        <v>446</v>
      </c>
    </row>
    <row r="2141" spans="1:37" x14ac:dyDescent="0.3">
      <c r="A2141" t="s">
        <v>6667</v>
      </c>
      <c r="B2141" t="s">
        <v>6668</v>
      </c>
      <c r="C2141" t="s">
        <v>6669</v>
      </c>
      <c r="D2141" t="s">
        <v>7</v>
      </c>
      <c r="AG2141" t="str">
        <f>T("3809")</f>
        <v>3809</v>
      </c>
      <c r="AH2141" t="str">
        <f>T("17")</f>
        <v>17</v>
      </c>
      <c r="AK2141" t="str">
        <f>T("506")</f>
        <v>506</v>
      </c>
    </row>
    <row r="2142" spans="1:37" x14ac:dyDescent="0.3">
      <c r="A2142" t="s">
        <v>6670</v>
      </c>
      <c r="B2142" t="s">
        <v>6671</v>
      </c>
      <c r="C2142" t="s">
        <v>6672</v>
      </c>
      <c r="D2142" t="s">
        <v>7</v>
      </c>
      <c r="AG2142" t="str">
        <f>T("4154")</f>
        <v>4154</v>
      </c>
      <c r="AH2142" t="str">
        <f>T("22")</f>
        <v>22</v>
      </c>
      <c r="AK2142" t="str">
        <f>T("1853")</f>
        <v>1853</v>
      </c>
    </row>
    <row r="2143" spans="1:37" x14ac:dyDescent="0.3">
      <c r="A2143" t="s">
        <v>6673</v>
      </c>
      <c r="B2143" t="s">
        <v>6674</v>
      </c>
      <c r="C2143" t="s">
        <v>6675</v>
      </c>
      <c r="D2143" t="s">
        <v>7</v>
      </c>
      <c r="AG2143" t="str">
        <f>T("3849")</f>
        <v>3849</v>
      </c>
      <c r="AH2143" t="str">
        <f>T("18")</f>
        <v>18</v>
      </c>
      <c r="AK2143" t="str">
        <f>T("1411")</f>
        <v>1411</v>
      </c>
    </row>
    <row r="2144" spans="1:37" x14ac:dyDescent="0.3">
      <c r="A2144" t="s">
        <v>6676</v>
      </c>
      <c r="B2144" t="s">
        <v>6677</v>
      </c>
      <c r="C2144" t="s">
        <v>6678</v>
      </c>
      <c r="D2144" t="s">
        <v>7</v>
      </c>
      <c r="AG2144" t="str">
        <f>T("3784")</f>
        <v>3784</v>
      </c>
      <c r="AH2144" t="str">
        <f>T("16")</f>
        <v>16</v>
      </c>
      <c r="AI2144" t="str">
        <f>T("25")</f>
        <v>25</v>
      </c>
      <c r="AK2144" t="str">
        <f>T("1408")</f>
        <v>1408</v>
      </c>
    </row>
    <row r="2145" spans="1:37" x14ac:dyDescent="0.3">
      <c r="A2145" t="s">
        <v>6679</v>
      </c>
      <c r="B2145" t="s">
        <v>6680</v>
      </c>
      <c r="D2145" t="s">
        <v>7</v>
      </c>
      <c r="K2145" t="str">
        <f>T("172.515")</f>
        <v>172.515</v>
      </c>
      <c r="L2145" t="str">
        <f>T("182.20")</f>
        <v>182.20</v>
      </c>
      <c r="AG2145" t="str">
        <f>T("2668")</f>
        <v>2668</v>
      </c>
      <c r="AH2145" t="str">
        <f>T("3")</f>
        <v>3</v>
      </c>
      <c r="AI2145" t="str">
        <f>T("25")</f>
        <v>25</v>
      </c>
      <c r="AK2145" t="str">
        <f>T("431")</f>
        <v>431</v>
      </c>
    </row>
    <row r="2146" spans="1:37" x14ac:dyDescent="0.3">
      <c r="A2146" t="s">
        <v>6681</v>
      </c>
      <c r="B2146" t="s">
        <v>6682</v>
      </c>
      <c r="C2146" t="s">
        <v>6683</v>
      </c>
      <c r="D2146" t="s">
        <v>7</v>
      </c>
      <c r="AG2146" t="str">
        <f>T("4327")</f>
        <v>4327</v>
      </c>
      <c r="AH2146" t="str">
        <f>T("23")</f>
        <v>23</v>
      </c>
      <c r="AK2146" t="str">
        <f>T("1854")</f>
        <v>1854</v>
      </c>
    </row>
    <row r="2147" spans="1:37" x14ac:dyDescent="0.3">
      <c r="A2147" t="s">
        <v>6684</v>
      </c>
      <c r="B2147" t="s">
        <v>6685</v>
      </c>
      <c r="C2147" t="s">
        <v>6686</v>
      </c>
      <c r="D2147" t="s">
        <v>7</v>
      </c>
      <c r="AG2147" t="str">
        <f>T("3805")</f>
        <v>3805</v>
      </c>
      <c r="AH2147" t="str">
        <f>T("17")</f>
        <v>17</v>
      </c>
      <c r="AI2147" t="str">
        <f>T("18")</f>
        <v>18</v>
      </c>
      <c r="AK2147" t="str">
        <f>T("443")</f>
        <v>443</v>
      </c>
    </row>
    <row r="2148" spans="1:37" x14ac:dyDescent="0.3">
      <c r="A2148" t="s">
        <v>6687</v>
      </c>
      <c r="B2148" t="s">
        <v>6688</v>
      </c>
      <c r="C2148" t="s">
        <v>6689</v>
      </c>
      <c r="D2148" t="s">
        <v>7</v>
      </c>
      <c r="AG2148" t="str">
        <f>T("4509")</f>
        <v>4509</v>
      </c>
      <c r="AH2148" t="str">
        <f>T("24")</f>
        <v>24</v>
      </c>
    </row>
    <row r="2149" spans="1:37" x14ac:dyDescent="0.3">
      <c r="A2149" t="s">
        <v>6690</v>
      </c>
      <c r="B2149" t="s">
        <v>6691</v>
      </c>
      <c r="C2149" t="s">
        <v>6692</v>
      </c>
      <c r="D2149" t="s">
        <v>7</v>
      </c>
      <c r="AG2149" t="str">
        <f>T("4308")</f>
        <v>4308</v>
      </c>
      <c r="AH2149" t="str">
        <f>T("23")</f>
        <v>23</v>
      </c>
      <c r="AK2149" t="str">
        <f>T("1855")</f>
        <v>1855</v>
      </c>
    </row>
    <row r="2150" spans="1:37" x14ac:dyDescent="0.3">
      <c r="A2150" t="s">
        <v>6693</v>
      </c>
      <c r="B2150" t="s">
        <v>6694</v>
      </c>
      <c r="C2150" t="s">
        <v>6695</v>
      </c>
      <c r="D2150" t="s">
        <v>7</v>
      </c>
      <c r="K2150" t="str">
        <f>T("172.515")</f>
        <v>172.515</v>
      </c>
      <c r="AG2150" t="str">
        <f>T("2669")</f>
        <v>2669</v>
      </c>
      <c r="AH2150" t="str">
        <f>T("3")</f>
        <v>3</v>
      </c>
      <c r="AK2150" t="str">
        <f>T("432")</f>
        <v>432</v>
      </c>
    </row>
    <row r="2151" spans="1:37" x14ac:dyDescent="0.3">
      <c r="A2151" t="s">
        <v>6696</v>
      </c>
      <c r="B2151" t="s">
        <v>6697</v>
      </c>
      <c r="C2151" t="s">
        <v>6698</v>
      </c>
      <c r="D2151" t="s">
        <v>7</v>
      </c>
      <c r="AG2151" t="str">
        <f>T("3748")</f>
        <v>3748</v>
      </c>
      <c r="AH2151" t="str">
        <f>T("14")</f>
        <v>14</v>
      </c>
      <c r="AI2151" t="str">
        <f>T("18")</f>
        <v>18</v>
      </c>
      <c r="AK2151" t="str">
        <f>T("433")</f>
        <v>433</v>
      </c>
    </row>
    <row r="2152" spans="1:37" x14ac:dyDescent="0.3">
      <c r="A2152" t="s">
        <v>6699</v>
      </c>
      <c r="B2152" t="s">
        <v>6700</v>
      </c>
      <c r="C2152" t="s">
        <v>6701</v>
      </c>
      <c r="D2152" t="s">
        <v>7</v>
      </c>
      <c r="AG2152" t="str">
        <f>T("4054")</f>
        <v>4054</v>
      </c>
      <c r="AH2152" t="str">
        <f>T("21")</f>
        <v>21</v>
      </c>
      <c r="AK2152" t="str">
        <f>T("1415")</f>
        <v>1415</v>
      </c>
    </row>
    <row r="2153" spans="1:37" x14ac:dyDescent="0.3">
      <c r="A2153" t="s">
        <v>6702</v>
      </c>
      <c r="B2153" t="s">
        <v>6703</v>
      </c>
      <c r="C2153" t="s">
        <v>6704</v>
      </c>
      <c r="D2153" t="s">
        <v>7</v>
      </c>
      <c r="AG2153" t="str">
        <f>T("4718")</f>
        <v>4718</v>
      </c>
      <c r="AH2153" t="str">
        <f>T("25")</f>
        <v>25</v>
      </c>
    </row>
    <row r="2154" spans="1:37" x14ac:dyDescent="0.3">
      <c r="A2154" t="s">
        <v>6705</v>
      </c>
      <c r="B2154" t="s">
        <v>6706</v>
      </c>
      <c r="C2154" t="s">
        <v>6707</v>
      </c>
      <c r="D2154" t="s">
        <v>7</v>
      </c>
      <c r="AG2154" t="str">
        <f>T("4510")</f>
        <v>4510</v>
      </c>
      <c r="AH2154" t="str">
        <f>T("24")</f>
        <v>24</v>
      </c>
    </row>
    <row r="2155" spans="1:37" x14ac:dyDescent="0.3">
      <c r="A2155" t="s">
        <v>6708</v>
      </c>
      <c r="B2155" t="s">
        <v>6709</v>
      </c>
      <c r="C2155" t="s">
        <v>6710</v>
      </c>
      <c r="D2155" t="s">
        <v>7</v>
      </c>
      <c r="AG2155" t="str">
        <f>T("3992")</f>
        <v>3992</v>
      </c>
      <c r="AH2155" t="str">
        <f>T("20")</f>
        <v>20</v>
      </c>
      <c r="AK2155" t="str">
        <f>T("1413")</f>
        <v>1413</v>
      </c>
    </row>
    <row r="2156" spans="1:37" x14ac:dyDescent="0.3">
      <c r="A2156" t="s">
        <v>6711</v>
      </c>
      <c r="B2156" t="s">
        <v>6712</v>
      </c>
      <c r="C2156" t="s">
        <v>6713</v>
      </c>
      <c r="D2156" t="s">
        <v>7</v>
      </c>
      <c r="AG2156" t="str">
        <f>T("3806")</f>
        <v>3806</v>
      </c>
      <c r="AH2156" t="str">
        <f>T("17")</f>
        <v>17</v>
      </c>
      <c r="AI2156" t="str">
        <f>T("18")</f>
        <v>18</v>
      </c>
      <c r="AK2156" t="str">
        <f>T("444")</f>
        <v>444</v>
      </c>
    </row>
    <row r="2157" spans="1:37" x14ac:dyDescent="0.3">
      <c r="A2157" t="s">
        <v>6714</v>
      </c>
      <c r="B2157" t="s">
        <v>6715</v>
      </c>
      <c r="C2157" t="s">
        <v>6716</v>
      </c>
      <c r="AG2157" t="str">
        <f>T("4155")</f>
        <v>4155</v>
      </c>
      <c r="AH2157" t="str">
        <f>T("22")</f>
        <v>22</v>
      </c>
      <c r="AK2157" t="str">
        <f>T("1858")</f>
        <v>1858</v>
      </c>
    </row>
    <row r="2158" spans="1:37" x14ac:dyDescent="0.3">
      <c r="A2158" t="s">
        <v>6717</v>
      </c>
      <c r="B2158" t="s">
        <v>6718</v>
      </c>
      <c r="C2158" t="s">
        <v>6719</v>
      </c>
      <c r="D2158" t="s">
        <v>7</v>
      </c>
      <c r="AG2158" t="str">
        <f>T("4156")</f>
        <v>4156</v>
      </c>
      <c r="AH2158" t="str">
        <f>T("22")</f>
        <v>22</v>
      </c>
      <c r="AK2158" t="str">
        <f>T("1852")</f>
        <v>1852</v>
      </c>
    </row>
    <row r="2159" spans="1:37" x14ac:dyDescent="0.3">
      <c r="A2159" t="s">
        <v>6720</v>
      </c>
      <c r="B2159" t="s">
        <v>6721</v>
      </c>
      <c r="C2159" t="s">
        <v>6722</v>
      </c>
      <c r="D2159" t="s">
        <v>7</v>
      </c>
      <c r="AG2159" t="str">
        <f>T("4159")</f>
        <v>4159</v>
      </c>
      <c r="AH2159" t="str">
        <f>T("22")</f>
        <v>22</v>
      </c>
      <c r="AK2159" t="str">
        <f>T("1666")</f>
        <v>1666</v>
      </c>
    </row>
    <row r="2160" spans="1:37" x14ac:dyDescent="0.3">
      <c r="A2160" t="s">
        <v>6723</v>
      </c>
      <c r="B2160" t="s">
        <v>6724</v>
      </c>
      <c r="C2160" t="s">
        <v>6725</v>
      </c>
      <c r="D2160" t="s">
        <v>7</v>
      </c>
      <c r="AG2160" t="str">
        <f>T("3502")</f>
        <v>3502</v>
      </c>
      <c r="AH2160" t="str">
        <f>T("10")</f>
        <v>10</v>
      </c>
      <c r="AK2160" t="str">
        <f>T("546")</f>
        <v>546</v>
      </c>
    </row>
    <row r="2161" spans="1:37" x14ac:dyDescent="0.3">
      <c r="A2161" t="s">
        <v>6726</v>
      </c>
      <c r="B2161" t="s">
        <v>6727</v>
      </c>
      <c r="C2161" t="s">
        <v>6728</v>
      </c>
      <c r="D2161" t="s">
        <v>7</v>
      </c>
      <c r="AG2161" t="str">
        <f>T("3298")</f>
        <v>3298</v>
      </c>
      <c r="AH2161" t="str">
        <f>T("5")</f>
        <v>5</v>
      </c>
      <c r="AK2161" t="str">
        <f>T("558")</f>
        <v>558</v>
      </c>
    </row>
    <row r="2162" spans="1:37" x14ac:dyDescent="0.3">
      <c r="A2162" t="s">
        <v>6729</v>
      </c>
      <c r="B2162" t="s">
        <v>6730</v>
      </c>
      <c r="C2162" t="s">
        <v>6731</v>
      </c>
      <c r="D2162" t="s">
        <v>7</v>
      </c>
      <c r="AG2162" t="str">
        <f>T("4325")</f>
        <v>4325</v>
      </c>
      <c r="AH2162" t="str">
        <f>T("23")</f>
        <v>23</v>
      </c>
      <c r="AK2162" t="str">
        <f>T("1705")</f>
        <v>1705</v>
      </c>
    </row>
    <row r="2163" spans="1:37" x14ac:dyDescent="0.3">
      <c r="A2163" t="s">
        <v>6732</v>
      </c>
      <c r="B2163" t="s">
        <v>6733</v>
      </c>
      <c r="C2163" t="s">
        <v>6734</v>
      </c>
      <c r="D2163" t="s">
        <v>7</v>
      </c>
      <c r="K2163" t="str">
        <f>T("177.1020")</f>
        <v>177.1020</v>
      </c>
      <c r="L2163" t="str">
        <f>T("177.1030")</f>
        <v>177.1030</v>
      </c>
      <c r="M2163" t="str">
        <f>T("178.2010")</f>
        <v>178.2010</v>
      </c>
      <c r="AG2163" t="str">
        <f>T("4582")</f>
        <v>4582</v>
      </c>
      <c r="AH2163" t="str">
        <f>T("24")</f>
        <v>24</v>
      </c>
      <c r="AK2163" t="str">
        <f>T("1925")</f>
        <v>1925</v>
      </c>
    </row>
    <row r="2164" spans="1:37" x14ac:dyDescent="0.3">
      <c r="A2164" t="s">
        <v>6735</v>
      </c>
      <c r="B2164" t="s">
        <v>6736</v>
      </c>
      <c r="C2164" t="s">
        <v>6737</v>
      </c>
      <c r="D2164" t="s">
        <v>7</v>
      </c>
      <c r="AG2164" t="str">
        <f>T("4289")</f>
        <v>4289</v>
      </c>
      <c r="AH2164" t="str">
        <f>T("23")</f>
        <v>23</v>
      </c>
      <c r="AK2164" t="str">
        <f>T("1708")</f>
        <v>1708</v>
      </c>
    </row>
    <row r="2165" spans="1:37" x14ac:dyDescent="0.3">
      <c r="A2165" t="s">
        <v>6738</v>
      </c>
      <c r="B2165" t="s">
        <v>6739</v>
      </c>
      <c r="C2165" t="s">
        <v>6740</v>
      </c>
      <c r="D2165" t="s">
        <v>7</v>
      </c>
      <c r="AG2165" t="str">
        <f>T("4585")</f>
        <v>4585</v>
      </c>
      <c r="AH2165" t="str">
        <f>T("24")</f>
        <v>24</v>
      </c>
      <c r="AK2165" t="str">
        <f>T("1929")</f>
        <v>1929</v>
      </c>
    </row>
    <row r="2166" spans="1:37" x14ac:dyDescent="0.3">
      <c r="A2166" t="s">
        <v>6741</v>
      </c>
      <c r="B2166" t="s">
        <v>6742</v>
      </c>
      <c r="C2166" t="s">
        <v>6743</v>
      </c>
      <c r="D2166" t="s">
        <v>7</v>
      </c>
      <c r="AG2166" t="str">
        <f>T("3850")</f>
        <v>3850</v>
      </c>
      <c r="AH2166" t="str">
        <f>T("18")</f>
        <v>18</v>
      </c>
      <c r="AK2166" t="str">
        <f>T("545")</f>
        <v>545</v>
      </c>
    </row>
    <row r="2167" spans="1:37" x14ac:dyDescent="0.3">
      <c r="A2167" t="s">
        <v>6744</v>
      </c>
      <c r="B2167" t="s">
        <v>6745</v>
      </c>
      <c r="C2167" t="s">
        <v>6746</v>
      </c>
      <c r="D2167" t="s">
        <v>7</v>
      </c>
      <c r="AG2167" t="str">
        <f>T("3851")</f>
        <v>3851</v>
      </c>
      <c r="AH2167" t="str">
        <f>T("18")</f>
        <v>18</v>
      </c>
      <c r="AK2167" t="str">
        <f>T("554")</f>
        <v>554</v>
      </c>
    </row>
    <row r="2168" spans="1:37" x14ac:dyDescent="0.3">
      <c r="A2168" t="s">
        <v>6747</v>
      </c>
      <c r="B2168" t="s">
        <v>6748</v>
      </c>
      <c r="C2168" t="s">
        <v>6749</v>
      </c>
      <c r="D2168" t="s">
        <v>7</v>
      </c>
      <c r="AG2168" t="str">
        <f>T("3852")</f>
        <v>3852</v>
      </c>
      <c r="AH2168" t="str">
        <f>T("18")</f>
        <v>18</v>
      </c>
      <c r="AK2168" t="str">
        <f>T("555")</f>
        <v>555</v>
      </c>
    </row>
    <row r="2169" spans="1:37" x14ac:dyDescent="0.3">
      <c r="A2169" t="s">
        <v>6750</v>
      </c>
      <c r="B2169" t="s">
        <v>6751</v>
      </c>
      <c r="C2169" t="s">
        <v>6752</v>
      </c>
      <c r="D2169" t="s">
        <v>7</v>
      </c>
      <c r="AG2169" t="str">
        <f>T("3853")</f>
        <v>3853</v>
      </c>
      <c r="AH2169" t="str">
        <f>T("18")</f>
        <v>18</v>
      </c>
      <c r="AK2169" t="str">
        <f>T("556")</f>
        <v>556</v>
      </c>
    </row>
    <row r="2170" spans="1:37" x14ac:dyDescent="0.3">
      <c r="A2170" t="s">
        <v>6753</v>
      </c>
      <c r="B2170" t="s">
        <v>6754</v>
      </c>
      <c r="C2170" t="s">
        <v>6755</v>
      </c>
      <c r="D2170" t="s">
        <v>7</v>
      </c>
      <c r="AG2170" t="str">
        <f>T("3993")</f>
        <v>3993</v>
      </c>
      <c r="AH2170" t="str">
        <f>T("20")</f>
        <v>20</v>
      </c>
      <c r="AK2170" t="str">
        <f>T("1289")</f>
        <v>1289</v>
      </c>
    </row>
    <row r="2171" spans="1:37" x14ac:dyDescent="0.3">
      <c r="A2171" t="s">
        <v>6756</v>
      </c>
      <c r="B2171" t="s">
        <v>6757</v>
      </c>
      <c r="C2171" t="s">
        <v>6758</v>
      </c>
      <c r="D2171" t="s">
        <v>7</v>
      </c>
      <c r="AG2171" t="str">
        <f>T("3854")</f>
        <v>3854</v>
      </c>
      <c r="AH2171" t="str">
        <f>T("18")</f>
        <v>18</v>
      </c>
      <c r="AK2171" t="str">
        <f>T("544")</f>
        <v>544</v>
      </c>
    </row>
    <row r="2172" spans="1:37" x14ac:dyDescent="0.3">
      <c r="A2172" t="s">
        <v>6759</v>
      </c>
      <c r="B2172" t="s">
        <v>6760</v>
      </c>
      <c r="C2172" t="s">
        <v>6761</v>
      </c>
      <c r="D2172" t="s">
        <v>7</v>
      </c>
      <c r="AG2172" t="str">
        <f>T("4698")</f>
        <v>4698</v>
      </c>
      <c r="AH2172" t="str">
        <f>T("25")</f>
        <v>25</v>
      </c>
      <c r="AK2172" t="str">
        <f>T("2084")</f>
        <v>2084</v>
      </c>
    </row>
    <row r="2173" spans="1:37" x14ac:dyDescent="0.3">
      <c r="A2173" t="s">
        <v>6762</v>
      </c>
      <c r="B2173" t="s">
        <v>6763</v>
      </c>
      <c r="C2173" t="s">
        <v>6764</v>
      </c>
      <c r="D2173" t="s">
        <v>7</v>
      </c>
      <c r="AG2173" t="str">
        <f>T("4324")</f>
        <v>4324</v>
      </c>
      <c r="AH2173" t="str">
        <f>T("23")</f>
        <v>23</v>
      </c>
      <c r="AK2173" t="str">
        <f>T("1706")</f>
        <v>1706</v>
      </c>
    </row>
    <row r="2174" spans="1:37" x14ac:dyDescent="0.3">
      <c r="A2174" t="s">
        <v>6765</v>
      </c>
      <c r="B2174" t="s">
        <v>6766</v>
      </c>
      <c r="C2174" t="s">
        <v>6767</v>
      </c>
      <c r="D2174" t="s">
        <v>7</v>
      </c>
      <c r="AG2174" t="str">
        <f>T("3855")</f>
        <v>3855</v>
      </c>
      <c r="AH2174" t="str">
        <f>T("18")</f>
        <v>18</v>
      </c>
      <c r="AK2174" t="str">
        <f>T("549")</f>
        <v>549</v>
      </c>
    </row>
    <row r="2175" spans="1:37" x14ac:dyDescent="0.3">
      <c r="A2175" t="s">
        <v>6768</v>
      </c>
      <c r="B2175" t="s">
        <v>6769</v>
      </c>
      <c r="C2175" t="s">
        <v>6770</v>
      </c>
      <c r="D2175" t="s">
        <v>7</v>
      </c>
      <c r="AG2175" t="str">
        <f>T("4584")</f>
        <v>4584</v>
      </c>
      <c r="AH2175" t="str">
        <f>T("24")</f>
        <v>24</v>
      </c>
      <c r="AK2175" t="str">
        <f>T("1927")</f>
        <v>1927</v>
      </c>
    </row>
    <row r="2176" spans="1:37" x14ac:dyDescent="0.3">
      <c r="A2176" t="s">
        <v>6771</v>
      </c>
      <c r="B2176" t="s">
        <v>6772</v>
      </c>
      <c r="C2176" t="s">
        <v>6773</v>
      </c>
      <c r="D2176" t="s">
        <v>7</v>
      </c>
      <c r="AG2176" t="str">
        <f>T("4583")</f>
        <v>4583</v>
      </c>
      <c r="AH2176" t="str">
        <f>T("24")</f>
        <v>24</v>
      </c>
      <c r="AK2176" t="str">
        <f>T("1926")</f>
        <v>1926</v>
      </c>
    </row>
    <row r="2177" spans="1:37" x14ac:dyDescent="0.3">
      <c r="A2177" t="s">
        <v>6774</v>
      </c>
      <c r="B2177" t="s">
        <v>6775</v>
      </c>
      <c r="C2177" t="s">
        <v>6776</v>
      </c>
      <c r="D2177" t="s">
        <v>7</v>
      </c>
      <c r="AG2177" t="str">
        <f>T("3994")</f>
        <v>3994</v>
      </c>
      <c r="AH2177" t="str">
        <f>T("20")</f>
        <v>20</v>
      </c>
      <c r="AK2177" t="str">
        <f>T("1292")</f>
        <v>1292</v>
      </c>
    </row>
    <row r="2178" spans="1:37" x14ac:dyDescent="0.3">
      <c r="A2178" t="s">
        <v>6777</v>
      </c>
      <c r="B2178" t="s">
        <v>6778</v>
      </c>
      <c r="C2178" t="s">
        <v>6779</v>
      </c>
      <c r="D2178" t="s">
        <v>7</v>
      </c>
      <c r="AG2178" t="str">
        <f>T("3995")</f>
        <v>3995</v>
      </c>
      <c r="AH2178" t="str">
        <f>T("20")</f>
        <v>20</v>
      </c>
      <c r="AK2178" t="str">
        <f>T("1290")</f>
        <v>1290</v>
      </c>
    </row>
    <row r="2179" spans="1:37" x14ac:dyDescent="0.3">
      <c r="A2179" t="s">
        <v>6780</v>
      </c>
      <c r="B2179" t="s">
        <v>6781</v>
      </c>
      <c r="C2179" t="s">
        <v>6782</v>
      </c>
      <c r="D2179" t="s">
        <v>7</v>
      </c>
      <c r="AG2179" t="str">
        <f>T("3996")</f>
        <v>3996</v>
      </c>
      <c r="AH2179" t="str">
        <f>T("20")</f>
        <v>20</v>
      </c>
      <c r="AK2179" t="str">
        <f>T("1291")</f>
        <v>1291</v>
      </c>
    </row>
    <row r="2180" spans="1:37" x14ac:dyDescent="0.3">
      <c r="A2180" t="s">
        <v>6783</v>
      </c>
      <c r="B2180" t="s">
        <v>6784</v>
      </c>
      <c r="C2180" t="s">
        <v>6785</v>
      </c>
      <c r="D2180" t="s">
        <v>7</v>
      </c>
      <c r="AG2180" t="str">
        <f>T("4158")</f>
        <v>4158</v>
      </c>
      <c r="AH2180" t="str">
        <f>T("22")</f>
        <v>22</v>
      </c>
      <c r="AK2180" t="str">
        <f>T("1669")</f>
        <v>1669</v>
      </c>
    </row>
    <row r="2181" spans="1:37" x14ac:dyDescent="0.3">
      <c r="A2181" t="s">
        <v>6786</v>
      </c>
      <c r="B2181" t="s">
        <v>6787</v>
      </c>
      <c r="C2181" t="s">
        <v>6788</v>
      </c>
      <c r="D2181" t="s">
        <v>7</v>
      </c>
      <c r="AG2181" t="str">
        <f>T("3997")</f>
        <v>3997</v>
      </c>
      <c r="AH2181" t="str">
        <f>T("20")</f>
        <v>20</v>
      </c>
      <c r="AK2181" t="str">
        <f>T("1293")</f>
        <v>1293</v>
      </c>
    </row>
    <row r="2182" spans="1:37" x14ac:dyDescent="0.3">
      <c r="A2182" t="s">
        <v>6789</v>
      </c>
      <c r="B2182" t="s">
        <v>6790</v>
      </c>
      <c r="C2182" t="s">
        <v>6791</v>
      </c>
      <c r="D2182" t="s">
        <v>7</v>
      </c>
      <c r="AG2182" t="str">
        <f>T("3299")</f>
        <v>3299</v>
      </c>
      <c r="AH2182" t="str">
        <f>T("5")</f>
        <v>5</v>
      </c>
      <c r="AK2182" t="str">
        <f>T("794")</f>
        <v>794</v>
      </c>
    </row>
    <row r="2183" spans="1:37" x14ac:dyDescent="0.3">
      <c r="A2183" t="s">
        <v>6792</v>
      </c>
      <c r="B2183" t="s">
        <v>6793</v>
      </c>
      <c r="C2183" t="s">
        <v>6794</v>
      </c>
      <c r="D2183" t="s">
        <v>7</v>
      </c>
      <c r="AG2183" t="str">
        <f>T("3300")</f>
        <v>3300</v>
      </c>
      <c r="AH2183" t="str">
        <f>T("5")</f>
        <v>5</v>
      </c>
      <c r="AK2183" t="str">
        <f>T("560")</f>
        <v>560</v>
      </c>
    </row>
    <row r="2184" spans="1:37" x14ac:dyDescent="0.3">
      <c r="A2184" t="s">
        <v>6795</v>
      </c>
      <c r="B2184" t="s">
        <v>6796</v>
      </c>
      <c r="C2184" t="s">
        <v>6797</v>
      </c>
      <c r="D2184" t="s">
        <v>7</v>
      </c>
      <c r="AG2184" t="str">
        <f>T("4157")</f>
        <v>4157</v>
      </c>
      <c r="AH2184" t="str">
        <f>T("22")</f>
        <v>22</v>
      </c>
      <c r="AK2184" t="str">
        <f>T("1670")</f>
        <v>1670</v>
      </c>
    </row>
    <row r="2185" spans="1:37" x14ac:dyDescent="0.3">
      <c r="A2185" t="s">
        <v>6798</v>
      </c>
      <c r="B2185" t="s">
        <v>6799</v>
      </c>
      <c r="C2185" t="s">
        <v>6800</v>
      </c>
      <c r="D2185" t="s">
        <v>7</v>
      </c>
      <c r="AG2185" t="str">
        <f>T("3503")</f>
        <v>3503</v>
      </c>
      <c r="AH2185" t="str">
        <f>T("10")</f>
        <v>10</v>
      </c>
      <c r="AK2185" t="str">
        <f>T("520")</f>
        <v>520</v>
      </c>
    </row>
    <row r="2186" spans="1:37" x14ac:dyDescent="0.3">
      <c r="A2186" t="s">
        <v>6801</v>
      </c>
      <c r="B2186" t="s">
        <v>6802</v>
      </c>
      <c r="C2186" t="s">
        <v>6803</v>
      </c>
      <c r="D2186" t="s">
        <v>7</v>
      </c>
      <c r="AG2186" t="str">
        <f>T("3856")</f>
        <v>3856</v>
      </c>
      <c r="AH2186" t="str">
        <f>T("18")</f>
        <v>18</v>
      </c>
      <c r="AK2186" t="str">
        <f>T("557")</f>
        <v>557</v>
      </c>
    </row>
    <row r="2187" spans="1:37" x14ac:dyDescent="0.3">
      <c r="A2187" t="s">
        <v>6804</v>
      </c>
      <c r="B2187" t="s">
        <v>6805</v>
      </c>
      <c r="C2187" t="s">
        <v>6806</v>
      </c>
      <c r="D2187" t="s">
        <v>7</v>
      </c>
      <c r="AG2187" t="str">
        <f>T("3180")</f>
        <v>3180</v>
      </c>
      <c r="AH2187" t="str">
        <f>T("4")</f>
        <v>4</v>
      </c>
      <c r="AI2187" t="str">
        <f>T("25")</f>
        <v>25</v>
      </c>
      <c r="AK2187" t="str">
        <f>T("551")</f>
        <v>551</v>
      </c>
    </row>
    <row r="2188" spans="1:37" x14ac:dyDescent="0.3">
      <c r="A2188" t="s">
        <v>6807</v>
      </c>
      <c r="B2188" t="s">
        <v>6808</v>
      </c>
      <c r="C2188" t="s">
        <v>6809</v>
      </c>
      <c r="D2188" t="s">
        <v>7</v>
      </c>
      <c r="AG2188" t="str">
        <f>T("4587")</f>
        <v>4587</v>
      </c>
      <c r="AH2188" t="str">
        <f>T("24")</f>
        <v>24</v>
      </c>
      <c r="AK2188" t="str">
        <f>T("1936")</f>
        <v>1936</v>
      </c>
    </row>
    <row r="2189" spans="1:37" x14ac:dyDescent="0.3">
      <c r="A2189" t="s">
        <v>6810</v>
      </c>
      <c r="B2189" t="s">
        <v>6811</v>
      </c>
      <c r="C2189" t="s">
        <v>6812</v>
      </c>
      <c r="D2189" t="s">
        <v>7</v>
      </c>
      <c r="AG2189" t="str">
        <f>T("3942")</f>
        <v>3942</v>
      </c>
      <c r="AH2189" t="str">
        <f>T("19")</f>
        <v>19</v>
      </c>
    </row>
    <row r="2190" spans="1:37" x14ac:dyDescent="0.3">
      <c r="A2190" t="s">
        <v>6813</v>
      </c>
      <c r="B2190" t="s">
        <v>6814</v>
      </c>
      <c r="C2190" t="s">
        <v>6815</v>
      </c>
      <c r="D2190" t="s">
        <v>846</v>
      </c>
      <c r="K2190" t="str">
        <f>T("172.775")</f>
        <v>172.775</v>
      </c>
      <c r="L2190" t="str">
        <f>T("173.25")</f>
        <v>173.25</v>
      </c>
      <c r="M2190" t="str">
        <f>T("175.105")</f>
        <v>175.105</v>
      </c>
      <c r="N2190" t="str">
        <f>T("176.180")</f>
        <v>176.180</v>
      </c>
    </row>
    <row r="2191" spans="1:37" x14ac:dyDescent="0.3">
      <c r="A2191" t="s">
        <v>6816</v>
      </c>
      <c r="B2191" t="s">
        <v>6817</v>
      </c>
      <c r="C2191" t="s">
        <v>6818</v>
      </c>
      <c r="D2191" t="s">
        <v>7</v>
      </c>
      <c r="AG2191" t="str">
        <f>T("4590")</f>
        <v>4590</v>
      </c>
      <c r="AH2191" t="str">
        <f>T("24")</f>
        <v>24</v>
      </c>
      <c r="AK2191" t="str">
        <f>T("1940")</f>
        <v>1940</v>
      </c>
    </row>
    <row r="2192" spans="1:37" x14ac:dyDescent="0.3">
      <c r="A2192" t="s">
        <v>6819</v>
      </c>
      <c r="B2192" t="s">
        <v>6820</v>
      </c>
      <c r="C2192" t="s">
        <v>6821</v>
      </c>
      <c r="D2192" t="s">
        <v>213</v>
      </c>
      <c r="K2192" t="str">
        <f>T("172.320")</f>
        <v>172.320</v>
      </c>
      <c r="AG2192" t="str">
        <f>T("3301")</f>
        <v>3301</v>
      </c>
      <c r="AH2192" t="str">
        <f>T("5")</f>
        <v>5</v>
      </c>
      <c r="AK2192" t="str">
        <f>T("1424")</f>
        <v>1424</v>
      </c>
    </row>
    <row r="2193" spans="1:37" x14ac:dyDescent="0.3">
      <c r="A2193" t="s">
        <v>6822</v>
      </c>
      <c r="B2193" t="s">
        <v>6823</v>
      </c>
      <c r="C2193" t="s">
        <v>6824</v>
      </c>
      <c r="D2193" t="s">
        <v>213</v>
      </c>
      <c r="K2193" t="str">
        <f>T("172.320")</f>
        <v>172.320</v>
      </c>
    </row>
    <row r="2194" spans="1:37" x14ac:dyDescent="0.3">
      <c r="A2194" t="s">
        <v>6825</v>
      </c>
      <c r="B2194" t="s">
        <v>6826</v>
      </c>
      <c r="C2194" t="s">
        <v>6827</v>
      </c>
      <c r="D2194" t="s">
        <v>7</v>
      </c>
      <c r="AG2194" t="str">
        <f>T("4160")</f>
        <v>4160</v>
      </c>
      <c r="AH2194" t="str">
        <f>T("22")</f>
        <v>22</v>
      </c>
      <c r="AK2194" t="str">
        <f>T("1668")</f>
        <v>1668</v>
      </c>
    </row>
    <row r="2195" spans="1:37" x14ac:dyDescent="0.3">
      <c r="A2195" t="s">
        <v>6828</v>
      </c>
      <c r="B2195" t="s">
        <v>6829</v>
      </c>
      <c r="C2195" t="s">
        <v>6830</v>
      </c>
      <c r="D2195" t="s">
        <v>7</v>
      </c>
      <c r="AG2195" t="str">
        <f>T("4692")</f>
        <v>4692</v>
      </c>
      <c r="AH2195" t="str">
        <f>T("25")</f>
        <v>25</v>
      </c>
      <c r="AK2195" t="str">
        <f>T("2122")</f>
        <v>2122</v>
      </c>
    </row>
    <row r="2196" spans="1:37" x14ac:dyDescent="0.3">
      <c r="A2196" t="s">
        <v>6831</v>
      </c>
      <c r="B2196" t="s">
        <v>6832</v>
      </c>
      <c r="C2196" t="s">
        <v>6833</v>
      </c>
      <c r="D2196" t="s">
        <v>7</v>
      </c>
      <c r="AG2196" t="str">
        <f>T("4163")</f>
        <v>4163</v>
      </c>
      <c r="AH2196" t="str">
        <f>T("22")</f>
        <v>22</v>
      </c>
      <c r="AK2196" t="str">
        <f>T("2042")</f>
        <v>2042</v>
      </c>
    </row>
    <row r="2197" spans="1:37" x14ac:dyDescent="0.3">
      <c r="A2197" t="s">
        <v>6834</v>
      </c>
      <c r="B2197" t="s">
        <v>6835</v>
      </c>
      <c r="C2197" t="s">
        <v>6836</v>
      </c>
      <c r="D2197" t="s">
        <v>7</v>
      </c>
      <c r="AG2197" t="str">
        <f>T("3182")</f>
        <v>3182</v>
      </c>
      <c r="AH2197" t="str">
        <f>T("4")</f>
        <v>4</v>
      </c>
      <c r="AK2197" t="str">
        <f>T("689")</f>
        <v>689</v>
      </c>
    </row>
    <row r="2198" spans="1:37" x14ac:dyDescent="0.3">
      <c r="A2198" t="s">
        <v>6837</v>
      </c>
      <c r="B2198" t="s">
        <v>6838</v>
      </c>
      <c r="C2198" t="s">
        <v>6839</v>
      </c>
      <c r="D2198" t="s">
        <v>7</v>
      </c>
      <c r="K2198" t="str">
        <f>T("172.515")</f>
        <v>172.515</v>
      </c>
      <c r="AG2198" t="str">
        <f>T("4077")</f>
        <v>4077</v>
      </c>
      <c r="AH2198" t="str">
        <f>T("22")</f>
        <v>22</v>
      </c>
      <c r="AK2198" t="str">
        <f>T("2062")</f>
        <v>2062</v>
      </c>
    </row>
    <row r="2199" spans="1:37" x14ac:dyDescent="0.3">
      <c r="A2199" t="s">
        <v>6840</v>
      </c>
      <c r="B2199" t="s">
        <v>6841</v>
      </c>
      <c r="C2199" t="s">
        <v>6842</v>
      </c>
      <c r="D2199" t="s">
        <v>7</v>
      </c>
      <c r="K2199" t="str">
        <f>T("172.515")</f>
        <v>172.515</v>
      </c>
      <c r="AG2199" t="str">
        <f>T("2670")</f>
        <v>2670</v>
      </c>
      <c r="AH2199" t="str">
        <f>T("3")</f>
        <v>3</v>
      </c>
      <c r="AK2199" t="str">
        <f>T("878")</f>
        <v>878</v>
      </c>
    </row>
    <row r="2200" spans="1:37" x14ac:dyDescent="0.3">
      <c r="A2200" t="s">
        <v>6843</v>
      </c>
      <c r="B2200" t="s">
        <v>6844</v>
      </c>
      <c r="C2200" t="s">
        <v>6845</v>
      </c>
      <c r="D2200" t="s">
        <v>7</v>
      </c>
      <c r="AG2200" t="str">
        <f>T("3943")</f>
        <v>3943</v>
      </c>
      <c r="AH2200" t="str">
        <f>T("19")</f>
        <v>19</v>
      </c>
      <c r="AK2200" t="str">
        <f>T("881")</f>
        <v>881</v>
      </c>
    </row>
    <row r="2201" spans="1:37" x14ac:dyDescent="0.3">
      <c r="A2201" t="s">
        <v>6846</v>
      </c>
      <c r="B2201" t="s">
        <v>6847</v>
      </c>
      <c r="C2201" t="s">
        <v>6848</v>
      </c>
      <c r="D2201" t="s">
        <v>7</v>
      </c>
      <c r="AG2201" t="str">
        <f>T("3944")</f>
        <v>3944</v>
      </c>
      <c r="AH2201" t="str">
        <f>T("19")</f>
        <v>19</v>
      </c>
      <c r="AK2201" t="str">
        <f>T("882")</f>
        <v>882</v>
      </c>
    </row>
    <row r="2202" spans="1:37" x14ac:dyDescent="0.3">
      <c r="A2202" t="s">
        <v>6849</v>
      </c>
      <c r="B2202" t="s">
        <v>6850</v>
      </c>
      <c r="C2202" t="s">
        <v>6851</v>
      </c>
      <c r="D2202" t="s">
        <v>7</v>
      </c>
      <c r="AG2202" t="str">
        <f>T("3945")</f>
        <v>3945</v>
      </c>
      <c r="AH2202" t="str">
        <f>T("19")</f>
        <v>19</v>
      </c>
      <c r="AK2202" t="str">
        <f>T("883")</f>
        <v>883</v>
      </c>
    </row>
    <row r="2203" spans="1:37" x14ac:dyDescent="0.3">
      <c r="A2203" t="s">
        <v>6852</v>
      </c>
      <c r="B2203" t="s">
        <v>6853</v>
      </c>
      <c r="C2203" t="s">
        <v>6854</v>
      </c>
      <c r="D2203" t="s">
        <v>7</v>
      </c>
      <c r="K2203" t="str">
        <f>T("172.515")</f>
        <v>172.515</v>
      </c>
      <c r="AG2203" t="str">
        <f>T("3181")</f>
        <v>3181</v>
      </c>
      <c r="AH2203" t="str">
        <f>T("4")</f>
        <v>4</v>
      </c>
      <c r="AI2203" t="str">
        <f>T("25")</f>
        <v>25</v>
      </c>
      <c r="AK2203" t="str">
        <f>T("688")</f>
        <v>688</v>
      </c>
    </row>
    <row r="2204" spans="1:37" x14ac:dyDescent="0.3">
      <c r="A2204" t="s">
        <v>6855</v>
      </c>
      <c r="B2204" t="s">
        <v>6856</v>
      </c>
      <c r="C2204" t="s">
        <v>6857</v>
      </c>
      <c r="D2204" t="s">
        <v>7</v>
      </c>
      <c r="AG2204" t="str">
        <f>T("3567")</f>
        <v>3567</v>
      </c>
      <c r="AH2204" t="str">
        <f>T("11")</f>
        <v>11</v>
      </c>
      <c r="AK2204" t="str">
        <f>T("687")</f>
        <v>687</v>
      </c>
    </row>
    <row r="2205" spans="1:37" x14ac:dyDescent="0.3">
      <c r="A2205" t="s">
        <v>6858</v>
      </c>
      <c r="B2205" t="s">
        <v>6859</v>
      </c>
      <c r="C2205" t="s">
        <v>6860</v>
      </c>
      <c r="D2205" t="s">
        <v>7</v>
      </c>
      <c r="AG2205" t="str">
        <f>T("4161")</f>
        <v>4161</v>
      </c>
      <c r="AH2205" t="str">
        <f>T("22")</f>
        <v>22</v>
      </c>
      <c r="AK2205" t="str">
        <f>T("1802")</f>
        <v>1802</v>
      </c>
    </row>
    <row r="2206" spans="1:37" x14ac:dyDescent="0.3">
      <c r="A2206" t="s">
        <v>6861</v>
      </c>
      <c r="B2206" t="s">
        <v>6862</v>
      </c>
      <c r="C2206" t="s">
        <v>6863</v>
      </c>
      <c r="D2206" t="s">
        <v>7</v>
      </c>
      <c r="AG2206" t="str">
        <f>T("4162")</f>
        <v>4162</v>
      </c>
      <c r="AH2206" t="str">
        <f>T("22")</f>
        <v>22</v>
      </c>
      <c r="AK2206" t="str">
        <f>T("1671")</f>
        <v>1671</v>
      </c>
    </row>
    <row r="2207" spans="1:37" x14ac:dyDescent="0.3">
      <c r="A2207" t="s">
        <v>6864</v>
      </c>
      <c r="B2207" t="s">
        <v>6865</v>
      </c>
      <c r="D2207" t="s">
        <v>7</v>
      </c>
      <c r="AG2207" t="str">
        <f>T("3358")</f>
        <v>3358</v>
      </c>
      <c r="AH2207" t="str">
        <f>T("6")</f>
        <v>6</v>
      </c>
      <c r="AK2207" t="str">
        <f>T("790")</f>
        <v>790</v>
      </c>
    </row>
    <row r="2208" spans="1:37" x14ac:dyDescent="0.3">
      <c r="A2208" t="s">
        <v>6866</v>
      </c>
      <c r="B2208" t="s">
        <v>6867</v>
      </c>
      <c r="C2208" t="s">
        <v>6868</v>
      </c>
      <c r="D2208" t="s">
        <v>7</v>
      </c>
      <c r="AG2208" t="str">
        <f>T("4234")</f>
        <v>4234</v>
      </c>
      <c r="AH2208" t="str">
        <f>T("22")</f>
        <v>22</v>
      </c>
      <c r="AK2208" t="str">
        <f>T("1769")</f>
        <v>1769</v>
      </c>
    </row>
    <row r="2209" spans="1:37" x14ac:dyDescent="0.3">
      <c r="A2209" t="s">
        <v>6869</v>
      </c>
      <c r="B2209" t="s">
        <v>6870</v>
      </c>
      <c r="C2209" t="s">
        <v>6871</v>
      </c>
      <c r="D2209" t="s">
        <v>7</v>
      </c>
      <c r="AG2209" t="str">
        <f>T("4231")</f>
        <v>4231</v>
      </c>
      <c r="AH2209" t="str">
        <f>T("22")</f>
        <v>22</v>
      </c>
      <c r="AK2209" t="str">
        <f>T("1770")</f>
        <v>1770</v>
      </c>
    </row>
    <row r="2210" spans="1:37" x14ac:dyDescent="0.3">
      <c r="A2210" t="s">
        <v>6872</v>
      </c>
      <c r="B2210" t="s">
        <v>6873</v>
      </c>
      <c r="C2210" t="s">
        <v>6874</v>
      </c>
      <c r="D2210" t="s">
        <v>7</v>
      </c>
      <c r="AG2210" t="str">
        <f>T("3785")</f>
        <v>3785</v>
      </c>
      <c r="AH2210" t="str">
        <f>T("16")</f>
        <v>16</v>
      </c>
      <c r="AK2210" t="str">
        <f>T("548")</f>
        <v>548</v>
      </c>
    </row>
    <row r="2211" spans="1:37" x14ac:dyDescent="0.3">
      <c r="A2211" t="s">
        <v>6875</v>
      </c>
      <c r="B2211" t="s">
        <v>6876</v>
      </c>
      <c r="C2211" t="s">
        <v>6877</v>
      </c>
      <c r="D2211" t="s">
        <v>7</v>
      </c>
      <c r="K2211" t="str">
        <f>T("172.515")</f>
        <v>172.515</v>
      </c>
      <c r="AG2211" t="str">
        <f>T("2671")</f>
        <v>2671</v>
      </c>
      <c r="AH2211" t="str">
        <f>T("3")</f>
        <v>3</v>
      </c>
      <c r="AI2211" t="str">
        <f>T("25")</f>
        <v>25</v>
      </c>
      <c r="AK2211" t="str">
        <f>T("715")</f>
        <v>715</v>
      </c>
    </row>
    <row r="2212" spans="1:37" x14ac:dyDescent="0.3">
      <c r="A2212" t="s">
        <v>6878</v>
      </c>
      <c r="B2212" t="s">
        <v>6879</v>
      </c>
      <c r="C2212" t="s">
        <v>6880</v>
      </c>
      <c r="D2212" t="s">
        <v>7</v>
      </c>
      <c r="AG2212" t="str">
        <f>T("3433")</f>
        <v>3433</v>
      </c>
      <c r="AH2212" t="str">
        <f>T("8")</f>
        <v>8</v>
      </c>
      <c r="AI2212" t="str">
        <f>T("25")</f>
        <v>25</v>
      </c>
      <c r="AK2212" t="str">
        <f>T("791")</f>
        <v>791</v>
      </c>
    </row>
    <row r="2213" spans="1:37" x14ac:dyDescent="0.3">
      <c r="A2213" t="s">
        <v>6881</v>
      </c>
      <c r="B2213" t="s">
        <v>6882</v>
      </c>
      <c r="C2213" t="s">
        <v>6883</v>
      </c>
      <c r="D2213" t="s">
        <v>7</v>
      </c>
      <c r="AG2213" t="str">
        <f>T("3183")</f>
        <v>3183</v>
      </c>
      <c r="AH2213" t="str">
        <f>T("4")</f>
        <v>4</v>
      </c>
      <c r="AI2213" t="str">
        <f>T("25")</f>
        <v>25</v>
      </c>
      <c r="AK2213" t="str">
        <f>T("788")</f>
        <v>788</v>
      </c>
    </row>
    <row r="2214" spans="1:37" x14ac:dyDescent="0.3">
      <c r="A2214" t="s">
        <v>6884</v>
      </c>
      <c r="B2214" t="s">
        <v>6885</v>
      </c>
      <c r="C2214" t="s">
        <v>6886</v>
      </c>
      <c r="D2214" t="s">
        <v>7</v>
      </c>
      <c r="K2214" t="str">
        <f>T("172.515")</f>
        <v>172.515</v>
      </c>
      <c r="AG2214" t="str">
        <f>T("2672")</f>
        <v>2672</v>
      </c>
      <c r="AH2214" t="str">
        <f>T("3")</f>
        <v>3</v>
      </c>
      <c r="AI2214" t="str">
        <f>T("25")</f>
        <v>25</v>
      </c>
      <c r="AK2214" t="str">
        <f>T("818")</f>
        <v>818</v>
      </c>
    </row>
    <row r="2215" spans="1:37" x14ac:dyDescent="0.3">
      <c r="A2215" t="s">
        <v>6887</v>
      </c>
      <c r="B2215" t="s">
        <v>6888</v>
      </c>
      <c r="C2215" t="s">
        <v>6889</v>
      </c>
      <c r="D2215" t="s">
        <v>7</v>
      </c>
      <c r="K2215" t="str">
        <f>T("172.515")</f>
        <v>172.515</v>
      </c>
      <c r="AG2215" t="str">
        <f>T("3760")</f>
        <v>3760</v>
      </c>
      <c r="AH2215" t="str">
        <f>T("15")</f>
        <v>15</v>
      </c>
      <c r="AK2215" t="str">
        <f>T("829")</f>
        <v>829</v>
      </c>
    </row>
    <row r="2216" spans="1:37" x14ac:dyDescent="0.3">
      <c r="A2216" t="s">
        <v>6890</v>
      </c>
      <c r="B2216" t="s">
        <v>6891</v>
      </c>
      <c r="C2216" t="s">
        <v>6892</v>
      </c>
      <c r="D2216" t="s">
        <v>7</v>
      </c>
      <c r="K2216" t="str">
        <f>T("172.515")</f>
        <v>172.515</v>
      </c>
      <c r="AG2216" t="str">
        <f>T("2673")</f>
        <v>2673</v>
      </c>
      <c r="AH2216" t="str">
        <f>T("3")</f>
        <v>3</v>
      </c>
      <c r="AI2216" t="str">
        <f>T("25")</f>
        <v>25</v>
      </c>
      <c r="AK2216" t="str">
        <f>T("826")</f>
        <v>826</v>
      </c>
    </row>
    <row r="2217" spans="1:37" x14ac:dyDescent="0.3">
      <c r="A2217" t="s">
        <v>6893</v>
      </c>
      <c r="B2217" t="s">
        <v>6894</v>
      </c>
      <c r="C2217" t="s">
        <v>6895</v>
      </c>
      <c r="D2217" t="s">
        <v>7</v>
      </c>
      <c r="K2217" t="str">
        <f>T("172.515")</f>
        <v>172.515</v>
      </c>
      <c r="AG2217" t="str">
        <f>T("2674")</f>
        <v>2674</v>
      </c>
      <c r="AH2217" t="str">
        <f>T("3")</f>
        <v>3</v>
      </c>
      <c r="AK2217" t="str">
        <f>T("813")</f>
        <v>813</v>
      </c>
    </row>
    <row r="2218" spans="1:37" x14ac:dyDescent="0.3">
      <c r="A2218" t="s">
        <v>6896</v>
      </c>
      <c r="B2218" t="s">
        <v>6897</v>
      </c>
      <c r="C2218" t="s">
        <v>6898</v>
      </c>
      <c r="D2218" t="s">
        <v>7</v>
      </c>
      <c r="AG2218" t="str">
        <f>T("4490")</f>
        <v>4490</v>
      </c>
      <c r="AH2218" t="str">
        <f>T("24")</f>
        <v>24</v>
      </c>
      <c r="AK2218" t="str">
        <f>T("1528")</f>
        <v>1528</v>
      </c>
    </row>
    <row r="2219" spans="1:37" x14ac:dyDescent="0.3">
      <c r="A2219" t="s">
        <v>6899</v>
      </c>
      <c r="B2219" t="s">
        <v>6900</v>
      </c>
      <c r="C2219" t="s">
        <v>6901</v>
      </c>
      <c r="D2219" t="s">
        <v>7</v>
      </c>
      <c r="AG2219" t="str">
        <f>T("3598")</f>
        <v>3598</v>
      </c>
      <c r="AH2219" t="str">
        <f>T("12")</f>
        <v>12</v>
      </c>
      <c r="AK2219" t="str">
        <f>T("717")</f>
        <v>717</v>
      </c>
    </row>
    <row r="2220" spans="1:37" x14ac:dyDescent="0.3">
      <c r="A2220" t="s">
        <v>6902</v>
      </c>
      <c r="B2220" t="s">
        <v>6903</v>
      </c>
      <c r="C2220" t="s">
        <v>6904</v>
      </c>
      <c r="D2220" t="s">
        <v>7</v>
      </c>
      <c r="AG2220" t="str">
        <f>T("3302")</f>
        <v>3302</v>
      </c>
      <c r="AH2220" t="str">
        <f>T("5")</f>
        <v>5</v>
      </c>
      <c r="AK2220" t="str">
        <f>T("787")</f>
        <v>787</v>
      </c>
    </row>
    <row r="2221" spans="1:37" x14ac:dyDescent="0.3">
      <c r="A2221" t="s">
        <v>6905</v>
      </c>
      <c r="B2221" t="s">
        <v>6906</v>
      </c>
      <c r="C2221" t="s">
        <v>6907</v>
      </c>
      <c r="D2221" t="s">
        <v>7</v>
      </c>
      <c r="AG2221" t="str">
        <f>T("4639")</f>
        <v>4639</v>
      </c>
      <c r="AH2221" t="str">
        <f>T("24")</f>
        <v>24</v>
      </c>
      <c r="AK2221" t="str">
        <f>T("2156")</f>
        <v>2156</v>
      </c>
    </row>
    <row r="2222" spans="1:37" x14ac:dyDescent="0.3">
      <c r="A2222" t="s">
        <v>6908</v>
      </c>
      <c r="B2222" t="s">
        <v>6909</v>
      </c>
      <c r="C2222" t="s">
        <v>6910</v>
      </c>
      <c r="D2222" t="s">
        <v>7</v>
      </c>
      <c r="AG2222" t="str">
        <f>T("4640")</f>
        <v>4640</v>
      </c>
      <c r="AH2222" t="str">
        <f>T("24")</f>
        <v>24</v>
      </c>
      <c r="AK2222" t="str">
        <f>T("2157")</f>
        <v>2157</v>
      </c>
    </row>
    <row r="2223" spans="1:37" x14ac:dyDescent="0.3">
      <c r="A2223" t="s">
        <v>6911</v>
      </c>
      <c r="B2223" t="s">
        <v>6912</v>
      </c>
      <c r="C2223" t="s">
        <v>6913</v>
      </c>
      <c r="D2223" t="s">
        <v>7</v>
      </c>
      <c r="K2223" t="str">
        <f>T("172.515")</f>
        <v>172.515</v>
      </c>
      <c r="AG2223" t="str">
        <f>T("2675")</f>
        <v>2675</v>
      </c>
      <c r="AH2223" t="str">
        <f>T("3")</f>
        <v>3</v>
      </c>
      <c r="AI2223" t="str">
        <f>T("25")</f>
        <v>25</v>
      </c>
      <c r="AK2223" t="str">
        <f>T("725")</f>
        <v>725</v>
      </c>
    </row>
    <row r="2224" spans="1:37" x14ac:dyDescent="0.3">
      <c r="A2224" t="s">
        <v>6914</v>
      </c>
      <c r="B2224" t="s">
        <v>6915</v>
      </c>
      <c r="C2224" t="s">
        <v>6916</v>
      </c>
      <c r="D2224" t="s">
        <v>7</v>
      </c>
      <c r="K2224" t="str">
        <f>T("172.515")</f>
        <v>172.515</v>
      </c>
      <c r="L2224" t="str">
        <f>T("175.105")</f>
        <v>175.105</v>
      </c>
      <c r="AG2224" t="str">
        <f>T("2676")</f>
        <v>2676</v>
      </c>
      <c r="AH2224" t="str">
        <f>T("3")</f>
        <v>3</v>
      </c>
      <c r="AI2224" t="str">
        <f>T("25")</f>
        <v>25</v>
      </c>
      <c r="AK2224" t="str">
        <f>T("125")</f>
        <v>125</v>
      </c>
    </row>
    <row r="2225" spans="1:37" x14ac:dyDescent="0.3">
      <c r="A2225" t="s">
        <v>6917</v>
      </c>
      <c r="B2225" t="s">
        <v>6918</v>
      </c>
      <c r="C2225" t="s">
        <v>6919</v>
      </c>
      <c r="D2225" t="s">
        <v>7</v>
      </c>
      <c r="AG2225" t="str">
        <f>T("4316")</f>
        <v>4316</v>
      </c>
      <c r="AH2225" t="str">
        <f>T("23")</f>
        <v>23</v>
      </c>
      <c r="AK2225" t="str">
        <f>T("2044")</f>
        <v>2044</v>
      </c>
    </row>
    <row r="2226" spans="1:37" x14ac:dyDescent="0.3">
      <c r="A2226" t="s">
        <v>6920</v>
      </c>
      <c r="B2226" t="s">
        <v>6921</v>
      </c>
      <c r="C2226" t="s">
        <v>6922</v>
      </c>
      <c r="D2226" t="s">
        <v>7</v>
      </c>
      <c r="K2226" t="str">
        <f>T("172.515")</f>
        <v>172.515</v>
      </c>
      <c r="AG2226" t="str">
        <f>T("2677")</f>
        <v>2677</v>
      </c>
      <c r="AH2226" t="str">
        <f>T("3")</f>
        <v>3</v>
      </c>
      <c r="AK2226" t="str">
        <f>T("807")</f>
        <v>807</v>
      </c>
    </row>
    <row r="2227" spans="1:37" x14ac:dyDescent="0.3">
      <c r="A2227" t="s">
        <v>6923</v>
      </c>
      <c r="B2227" t="s">
        <v>6924</v>
      </c>
      <c r="C2227" t="s">
        <v>6925</v>
      </c>
      <c r="D2227" t="s">
        <v>7</v>
      </c>
      <c r="AG2227" t="str">
        <f>T("3701")</f>
        <v>3701</v>
      </c>
      <c r="AH2227" t="str">
        <f>T("13")</f>
        <v>13</v>
      </c>
      <c r="AK2227" t="str">
        <f>T("442")</f>
        <v>442</v>
      </c>
    </row>
    <row r="2228" spans="1:37" x14ac:dyDescent="0.3">
      <c r="A2228" t="s">
        <v>6926</v>
      </c>
      <c r="B2228" t="s">
        <v>6927</v>
      </c>
      <c r="C2228" t="s">
        <v>6928</v>
      </c>
      <c r="D2228" t="s">
        <v>7</v>
      </c>
      <c r="AG2228" t="str">
        <f>T("4055")</f>
        <v>4055</v>
      </c>
      <c r="AH2228" t="str">
        <f>T("21")</f>
        <v>21</v>
      </c>
      <c r="AK2228" t="str">
        <f>T("1719")</f>
        <v>1719</v>
      </c>
    </row>
    <row r="2229" spans="1:37" x14ac:dyDescent="0.3">
      <c r="A2229" t="s">
        <v>6929</v>
      </c>
      <c r="B2229" t="s">
        <v>6930</v>
      </c>
      <c r="C2229" t="s">
        <v>6931</v>
      </c>
      <c r="D2229" t="s">
        <v>7</v>
      </c>
      <c r="AG2229" t="str">
        <f>T("4451")</f>
        <v>4451</v>
      </c>
      <c r="AH2229" t="str">
        <f>T("24")</f>
        <v>24</v>
      </c>
      <c r="AK2229" t="str">
        <f>T("1951")</f>
        <v>1951</v>
      </c>
    </row>
    <row r="2230" spans="1:37" x14ac:dyDescent="0.3">
      <c r="A2230" t="s">
        <v>6932</v>
      </c>
      <c r="B2230" t="s">
        <v>6933</v>
      </c>
      <c r="C2230" t="s">
        <v>6934</v>
      </c>
      <c r="D2230" t="s">
        <v>7</v>
      </c>
      <c r="AG2230" t="str">
        <f>T("4454")</f>
        <v>4454</v>
      </c>
      <c r="AH2230" t="str">
        <f>T("24")</f>
        <v>24</v>
      </c>
      <c r="AK2230" t="str">
        <f>T("1956")</f>
        <v>1956</v>
      </c>
    </row>
    <row r="2231" spans="1:37" x14ac:dyDescent="0.3">
      <c r="A2231" t="s">
        <v>6935</v>
      </c>
      <c r="B2231" t="s">
        <v>6936</v>
      </c>
      <c r="C2231" t="s">
        <v>6937</v>
      </c>
      <c r="D2231" t="s">
        <v>7</v>
      </c>
      <c r="AG2231" t="str">
        <f>T("4170")</f>
        <v>4170</v>
      </c>
      <c r="AH2231" t="str">
        <f>T("22")</f>
        <v>22</v>
      </c>
      <c r="AK2231" t="str">
        <f>T("1550")</f>
        <v>1550</v>
      </c>
    </row>
    <row r="2232" spans="1:37" x14ac:dyDescent="0.3">
      <c r="A2232" t="s">
        <v>6938</v>
      </c>
      <c r="B2232" t="s">
        <v>6939</v>
      </c>
      <c r="C2232" t="s">
        <v>6940</v>
      </c>
      <c r="D2232" t="s">
        <v>7</v>
      </c>
      <c r="AG2232" t="str">
        <f>T("3184")</f>
        <v>3184</v>
      </c>
      <c r="AH2232" t="str">
        <f>T("4")</f>
        <v>4</v>
      </c>
      <c r="AK2232" t="str">
        <f>T("1306")</f>
        <v>1306</v>
      </c>
    </row>
    <row r="2233" spans="1:37" x14ac:dyDescent="0.3">
      <c r="A2233" t="s">
        <v>6941</v>
      </c>
      <c r="B2233" t="s">
        <v>6942</v>
      </c>
      <c r="C2233" t="s">
        <v>6943</v>
      </c>
      <c r="D2233" t="s">
        <v>15</v>
      </c>
      <c r="AG2233" t="str">
        <f>T("2704")</f>
        <v>2704</v>
      </c>
      <c r="AH2233" t="str">
        <f>T("3")</f>
        <v>3</v>
      </c>
      <c r="AI2233" t="str">
        <f>T("25")</f>
        <v>25</v>
      </c>
      <c r="AK2233" t="str">
        <f>T("1498")</f>
        <v>1498</v>
      </c>
    </row>
    <row r="2234" spans="1:37" x14ac:dyDescent="0.3">
      <c r="A2234" t="s">
        <v>6944</v>
      </c>
      <c r="B2234" t="s">
        <v>6945</v>
      </c>
      <c r="C2234" t="s">
        <v>6946</v>
      </c>
      <c r="K2234" t="str">
        <f>T("175.105")</f>
        <v>175.105</v>
      </c>
      <c r="L2234" t="str">
        <f>T("175.300")</f>
        <v>175.300</v>
      </c>
      <c r="M2234" t="str">
        <f>T("175.320")</f>
        <v>175.320</v>
      </c>
      <c r="N2234" t="str">
        <f>T("175.360")</f>
        <v>175.360</v>
      </c>
      <c r="O2234" t="str">
        <f>T("175.365")</f>
        <v>175.365</v>
      </c>
      <c r="P2234" t="str">
        <f>T("176.170")</f>
        <v>176.170</v>
      </c>
      <c r="Q2234" t="str">
        <f>T("176.180")</f>
        <v>176.180</v>
      </c>
      <c r="R2234" t="str">
        <f>T("177.1010")</f>
        <v>177.1010</v>
      </c>
      <c r="S2234" t="str">
        <f>T("177.1200")</f>
        <v>177.1200</v>
      </c>
      <c r="T2234" t="str">
        <f>T("177.1340")</f>
        <v>177.1340</v>
      </c>
      <c r="U2234" t="str">
        <f>T("177.1480")</f>
        <v>177.1480</v>
      </c>
      <c r="V2234" t="str">
        <f>T("177.1630")</f>
        <v>177.1630</v>
      </c>
      <c r="W2234" t="str">
        <f>T("177.1650")</f>
        <v>177.1650</v>
      </c>
      <c r="X2234" t="str">
        <f>T("177.1990")</f>
        <v>177.1990</v>
      </c>
      <c r="Y2234" t="str">
        <f>T("177.2420")</f>
        <v>177.2420</v>
      </c>
    </row>
    <row r="2235" spans="1:37" x14ac:dyDescent="0.3">
      <c r="A2235" t="s">
        <v>6947</v>
      </c>
      <c r="B2235" t="s">
        <v>6948</v>
      </c>
      <c r="C2235" t="s">
        <v>6949</v>
      </c>
      <c r="D2235" t="s">
        <v>199</v>
      </c>
      <c r="K2235" t="str">
        <f t="shared" ref="K2235:K2240" si="25">T("173.25")</f>
        <v>173.25</v>
      </c>
    </row>
    <row r="2236" spans="1:37" x14ac:dyDescent="0.3">
      <c r="A2236" t="s">
        <v>6950</v>
      </c>
      <c r="B2236" t="s">
        <v>6951</v>
      </c>
      <c r="C2236" t="s">
        <v>6952</v>
      </c>
      <c r="D2236" t="s">
        <v>199</v>
      </c>
      <c r="K2236" t="str">
        <f t="shared" si="25"/>
        <v>173.25</v>
      </c>
    </row>
    <row r="2237" spans="1:37" x14ac:dyDescent="0.3">
      <c r="A2237" t="s">
        <v>6953</v>
      </c>
      <c r="B2237" t="s">
        <v>6954</v>
      </c>
      <c r="C2237" t="s">
        <v>6955</v>
      </c>
      <c r="D2237" t="s">
        <v>199</v>
      </c>
      <c r="K2237" t="str">
        <f t="shared" si="25"/>
        <v>173.25</v>
      </c>
    </row>
    <row r="2238" spans="1:37" x14ac:dyDescent="0.3">
      <c r="A2238" t="s">
        <v>6956</v>
      </c>
      <c r="B2238" t="s">
        <v>6957</v>
      </c>
      <c r="C2238" t="s">
        <v>6958</v>
      </c>
      <c r="D2238" t="s">
        <v>199</v>
      </c>
      <c r="K2238" t="str">
        <f t="shared" si="25"/>
        <v>173.25</v>
      </c>
    </row>
    <row r="2239" spans="1:37" x14ac:dyDescent="0.3">
      <c r="A2239" t="s">
        <v>6959</v>
      </c>
      <c r="B2239" t="s">
        <v>6960</v>
      </c>
      <c r="C2239" t="s">
        <v>6961</v>
      </c>
      <c r="K2239" t="str">
        <f t="shared" si="25"/>
        <v>173.25</v>
      </c>
    </row>
    <row r="2240" spans="1:37" x14ac:dyDescent="0.3">
      <c r="A2240" t="s">
        <v>6962</v>
      </c>
      <c r="B2240" t="s">
        <v>6963</v>
      </c>
      <c r="C2240" t="s">
        <v>6964</v>
      </c>
      <c r="D2240" t="s">
        <v>199</v>
      </c>
      <c r="K2240" t="str">
        <f t="shared" si="25"/>
        <v>173.25</v>
      </c>
    </row>
    <row r="2241" spans="1:37" x14ac:dyDescent="0.3">
      <c r="A2241" t="s">
        <v>6965</v>
      </c>
      <c r="B2241" t="s">
        <v>6966</v>
      </c>
      <c r="C2241" t="s">
        <v>6967</v>
      </c>
      <c r="D2241" t="s">
        <v>846</v>
      </c>
      <c r="E2241" t="str">
        <f>T("73.345")</f>
        <v>73.345</v>
      </c>
      <c r="F2241" t="str">
        <f>T("73.615")</f>
        <v>73.615</v>
      </c>
      <c r="K2241" t="str">
        <f>T("172.560")</f>
        <v>172.560</v>
      </c>
      <c r="L2241" t="str">
        <f>T("172.859")</f>
        <v>172.859</v>
      </c>
      <c r="M2241" t="str">
        <f>T("172.867")</f>
        <v>172.867</v>
      </c>
      <c r="N2241" t="str">
        <f>T("173.250")</f>
        <v>173.250</v>
      </c>
      <c r="O2241" t="str">
        <f>T("173.385")</f>
        <v>173.385</v>
      </c>
      <c r="P2241" t="str">
        <f>T("175.105")</f>
        <v>175.105</v>
      </c>
      <c r="Q2241" t="str">
        <f>T("175.300")</f>
        <v>175.300</v>
      </c>
      <c r="R2241" t="str">
        <f>T("176.180")</f>
        <v>176.180</v>
      </c>
      <c r="S2241" t="str">
        <f>T("176.200")</f>
        <v>176.200</v>
      </c>
      <c r="T2241" t="str">
        <f>T("176.210")</f>
        <v>176.210</v>
      </c>
      <c r="U2241" t="str">
        <f>T("177.1200")</f>
        <v>177.1200</v>
      </c>
      <c r="V2241" t="str">
        <f>T("177.2420")</f>
        <v>177.2420</v>
      </c>
      <c r="W2241" t="str">
        <f>T("177.2460")</f>
        <v>177.2460</v>
      </c>
      <c r="X2241" t="str">
        <f>T("177.2800")</f>
        <v>177.2800</v>
      </c>
    </row>
    <row r="2242" spans="1:37" x14ac:dyDescent="0.3">
      <c r="A2242" t="s">
        <v>6968</v>
      </c>
      <c r="B2242" t="s">
        <v>6969</v>
      </c>
      <c r="C2242" t="s">
        <v>6970</v>
      </c>
      <c r="D2242" t="s">
        <v>7</v>
      </c>
      <c r="K2242" t="str">
        <f>T("172.515")</f>
        <v>172.515</v>
      </c>
      <c r="AG2242" t="str">
        <f>T("2678")</f>
        <v>2678</v>
      </c>
      <c r="AH2242" t="str">
        <f t="shared" ref="AH2242:AH2247" si="26">T("3")</f>
        <v>3</v>
      </c>
      <c r="AK2242" t="str">
        <f>T("1207")</f>
        <v>1207</v>
      </c>
    </row>
    <row r="2243" spans="1:37" x14ac:dyDescent="0.3">
      <c r="A2243" t="s">
        <v>6971</v>
      </c>
      <c r="B2243" t="s">
        <v>6972</v>
      </c>
      <c r="C2243" t="s">
        <v>6973</v>
      </c>
      <c r="D2243" t="s">
        <v>7</v>
      </c>
      <c r="K2243" t="str">
        <f>T("172.515")</f>
        <v>172.515</v>
      </c>
      <c r="AG2243" t="str">
        <f>T("2711")</f>
        <v>2711</v>
      </c>
      <c r="AH2243" t="str">
        <f t="shared" si="26"/>
        <v>3</v>
      </c>
      <c r="AK2243" t="str">
        <f>T("398")</f>
        <v>398</v>
      </c>
    </row>
    <row r="2244" spans="1:37" x14ac:dyDescent="0.3">
      <c r="A2244" t="s">
        <v>6974</v>
      </c>
      <c r="B2244" t="s">
        <v>6975</v>
      </c>
      <c r="C2244" t="s">
        <v>6976</v>
      </c>
      <c r="D2244" t="s">
        <v>7</v>
      </c>
      <c r="K2244" t="str">
        <f>T("172.515")</f>
        <v>172.515</v>
      </c>
      <c r="AG2244" t="str">
        <f>T("2679")</f>
        <v>2679</v>
      </c>
      <c r="AH2244" t="str">
        <f t="shared" si="26"/>
        <v>3</v>
      </c>
      <c r="AK2244" t="str">
        <f>T("884")</f>
        <v>884</v>
      </c>
    </row>
    <row r="2245" spans="1:37" x14ac:dyDescent="0.3">
      <c r="A2245" t="s">
        <v>6977</v>
      </c>
      <c r="B2245" t="s">
        <v>6978</v>
      </c>
      <c r="C2245" t="s">
        <v>6979</v>
      </c>
      <c r="D2245" t="s">
        <v>7</v>
      </c>
      <c r="K2245" t="str">
        <f>T("172.515")</f>
        <v>172.515</v>
      </c>
      <c r="AG2245" t="str">
        <f>T("2680")</f>
        <v>2680</v>
      </c>
      <c r="AH2245" t="str">
        <f t="shared" si="26"/>
        <v>3</v>
      </c>
      <c r="AI2245" t="str">
        <f>T("25")</f>
        <v>25</v>
      </c>
      <c r="AK2245" t="str">
        <f>T("1242")</f>
        <v>1242</v>
      </c>
    </row>
    <row r="2246" spans="1:37" x14ac:dyDescent="0.3">
      <c r="A2246" t="s">
        <v>6980</v>
      </c>
      <c r="B2246" t="s">
        <v>6981</v>
      </c>
      <c r="C2246" t="s">
        <v>6982</v>
      </c>
      <c r="D2246" t="s">
        <v>7</v>
      </c>
      <c r="K2246" t="str">
        <f>T("172.515")</f>
        <v>172.515</v>
      </c>
      <c r="AG2246" t="str">
        <f>T("2681")</f>
        <v>2681</v>
      </c>
      <c r="AH2246" t="str">
        <f t="shared" si="26"/>
        <v>3</v>
      </c>
      <c r="AK2246" t="str">
        <f>T("1243")</f>
        <v>1243</v>
      </c>
    </row>
    <row r="2247" spans="1:37" x14ac:dyDescent="0.3">
      <c r="A2247" t="s">
        <v>6983</v>
      </c>
      <c r="B2247" t="s">
        <v>6984</v>
      </c>
      <c r="C2247" t="s">
        <v>6985</v>
      </c>
      <c r="D2247" t="s">
        <v>88</v>
      </c>
      <c r="K2247" t="str">
        <f>T("182.60")</f>
        <v>182.60</v>
      </c>
      <c r="AG2247" t="str">
        <f>T("2682")</f>
        <v>2682</v>
      </c>
      <c r="AH2247" t="str">
        <f t="shared" si="26"/>
        <v>3</v>
      </c>
      <c r="AI2247" t="str">
        <f>T("18")</f>
        <v>18</v>
      </c>
      <c r="AK2247" t="str">
        <f>T("1534")</f>
        <v>1534</v>
      </c>
    </row>
    <row r="2248" spans="1:37" x14ac:dyDescent="0.3">
      <c r="A2248" t="s">
        <v>6986</v>
      </c>
      <c r="B2248" t="s">
        <v>6987</v>
      </c>
      <c r="C2248" t="s">
        <v>6988</v>
      </c>
      <c r="D2248" t="s">
        <v>7</v>
      </c>
      <c r="AG2248" t="str">
        <f>T("3185")</f>
        <v>3185</v>
      </c>
      <c r="AH2248" t="str">
        <f>T("4")</f>
        <v>4</v>
      </c>
    </row>
    <row r="2249" spans="1:37" x14ac:dyDescent="0.3">
      <c r="A2249" t="s">
        <v>6989</v>
      </c>
      <c r="B2249" t="s">
        <v>6990</v>
      </c>
      <c r="C2249" t="s">
        <v>6991</v>
      </c>
      <c r="D2249" t="s">
        <v>7</v>
      </c>
      <c r="AG2249" t="str">
        <f>T("4628")</f>
        <v>4628</v>
      </c>
      <c r="AH2249" t="str">
        <f>T("24")</f>
        <v>24</v>
      </c>
      <c r="AK2249" t="str">
        <f>T("2067")</f>
        <v>2067</v>
      </c>
    </row>
    <row r="2250" spans="1:37" x14ac:dyDescent="0.3">
      <c r="A2250" t="s">
        <v>6992</v>
      </c>
      <c r="B2250" t="s">
        <v>6993</v>
      </c>
      <c r="C2250" t="s">
        <v>6994</v>
      </c>
      <c r="D2250" t="s">
        <v>3274</v>
      </c>
      <c r="K2250" t="str">
        <f>T("172.515")</f>
        <v>172.515</v>
      </c>
      <c r="AG2250" t="str">
        <f>T("2683")</f>
        <v>2683</v>
      </c>
      <c r="AH2250" t="str">
        <f>T("3")</f>
        <v>3</v>
      </c>
      <c r="AK2250" t="str">
        <f>T("851")</f>
        <v>851</v>
      </c>
    </row>
    <row r="2251" spans="1:37" x14ac:dyDescent="0.3">
      <c r="A2251" t="s">
        <v>6995</v>
      </c>
      <c r="B2251" t="s">
        <v>6996</v>
      </c>
      <c r="C2251" t="s">
        <v>6997</v>
      </c>
      <c r="D2251" t="s">
        <v>7</v>
      </c>
      <c r="AG2251" t="str">
        <f>T("4543")</f>
        <v>4543</v>
      </c>
      <c r="AH2251" t="str">
        <f>T("24")</f>
        <v>24</v>
      </c>
      <c r="AK2251" t="str">
        <f>T("2105")</f>
        <v>2105</v>
      </c>
    </row>
    <row r="2252" spans="1:37" x14ac:dyDescent="0.3">
      <c r="A2252" t="s">
        <v>6998</v>
      </c>
      <c r="B2252" t="s">
        <v>6999</v>
      </c>
      <c r="C2252" t="s">
        <v>7000</v>
      </c>
      <c r="D2252" t="s">
        <v>7</v>
      </c>
      <c r="AG2252" t="str">
        <f>T("3857")</f>
        <v>3857</v>
      </c>
      <c r="AH2252" t="str">
        <f>T("18")</f>
        <v>18</v>
      </c>
      <c r="AK2252" t="str">
        <f>T("504")</f>
        <v>504</v>
      </c>
    </row>
    <row r="2253" spans="1:37" x14ac:dyDescent="0.3">
      <c r="A2253" t="s">
        <v>7001</v>
      </c>
      <c r="B2253" t="s">
        <v>7002</v>
      </c>
      <c r="C2253" t="s">
        <v>7003</v>
      </c>
      <c r="D2253" t="s">
        <v>7</v>
      </c>
      <c r="AG2253" t="str">
        <f>T("4398")</f>
        <v>4398</v>
      </c>
      <c r="AH2253" t="str">
        <f>T("23")</f>
        <v>23</v>
      </c>
      <c r="AK2253" t="str">
        <f>T("1557")</f>
        <v>1557</v>
      </c>
    </row>
    <row r="2254" spans="1:37" x14ac:dyDescent="0.3">
      <c r="A2254" t="s">
        <v>7004</v>
      </c>
      <c r="B2254" t="s">
        <v>7005</v>
      </c>
      <c r="C2254" t="s">
        <v>7006</v>
      </c>
      <c r="D2254" t="s">
        <v>7</v>
      </c>
      <c r="K2254" t="str">
        <f>T("172.515")</f>
        <v>172.515</v>
      </c>
      <c r="AG2254" t="str">
        <f>T("2684")</f>
        <v>2684</v>
      </c>
      <c r="AH2254" t="str">
        <f>T("3")</f>
        <v>3</v>
      </c>
      <c r="AK2254" t="str">
        <f>T("801")</f>
        <v>801</v>
      </c>
    </row>
    <row r="2255" spans="1:37" x14ac:dyDescent="0.3">
      <c r="A2255" t="s">
        <v>7007</v>
      </c>
      <c r="B2255" t="s">
        <v>7008</v>
      </c>
      <c r="C2255" t="s">
        <v>7009</v>
      </c>
      <c r="D2255" t="s">
        <v>7</v>
      </c>
      <c r="K2255" t="str">
        <f>T("172.515")</f>
        <v>172.515</v>
      </c>
      <c r="AG2255" t="str">
        <f>T("3702")</f>
        <v>3702</v>
      </c>
      <c r="AH2255" t="str">
        <f>T("13")</f>
        <v>13</v>
      </c>
      <c r="AI2255" t="str">
        <f>T("25")</f>
        <v>25</v>
      </c>
      <c r="AK2255" t="str">
        <f>T("863")</f>
        <v>863</v>
      </c>
    </row>
    <row r="2256" spans="1:37" x14ac:dyDescent="0.3">
      <c r="A2256" t="s">
        <v>7010</v>
      </c>
      <c r="B2256" t="s">
        <v>7011</v>
      </c>
      <c r="C2256" t="s">
        <v>7012</v>
      </c>
      <c r="D2256" t="s">
        <v>7</v>
      </c>
      <c r="AG2256" t="str">
        <f>T("4624")</f>
        <v>4624</v>
      </c>
      <c r="AH2256" t="str">
        <f>T("24")</f>
        <v>24</v>
      </c>
      <c r="AK2256" t="str">
        <f>T("2065")</f>
        <v>2065</v>
      </c>
    </row>
    <row r="2257" spans="1:37" x14ac:dyDescent="0.3">
      <c r="A2257" t="s">
        <v>7013</v>
      </c>
      <c r="B2257" t="s">
        <v>7014</v>
      </c>
      <c r="C2257" t="s">
        <v>7015</v>
      </c>
      <c r="D2257" t="s">
        <v>7</v>
      </c>
      <c r="K2257" t="str">
        <f>T("172.515")</f>
        <v>172.515</v>
      </c>
      <c r="AG2257" t="str">
        <f>T("2685")</f>
        <v>2685</v>
      </c>
      <c r="AH2257" t="str">
        <f>T("3")</f>
        <v>3</v>
      </c>
      <c r="AK2257" t="str">
        <f>T("799")</f>
        <v>799</v>
      </c>
    </row>
    <row r="2258" spans="1:37" x14ac:dyDescent="0.3">
      <c r="A2258" t="s">
        <v>7016</v>
      </c>
      <c r="B2258" t="s">
        <v>7017</v>
      </c>
      <c r="C2258" t="s">
        <v>7018</v>
      </c>
      <c r="D2258" t="s">
        <v>7</v>
      </c>
      <c r="AG2258" t="str">
        <f>T("3504")</f>
        <v>3504</v>
      </c>
      <c r="AH2258" t="str">
        <f>T("10")</f>
        <v>10</v>
      </c>
      <c r="AK2258" t="str">
        <f>T("577")</f>
        <v>577</v>
      </c>
    </row>
    <row r="2259" spans="1:37" x14ac:dyDescent="0.3">
      <c r="A2259" t="s">
        <v>7019</v>
      </c>
      <c r="B2259" t="s">
        <v>7020</v>
      </c>
      <c r="C2259" t="s">
        <v>7021</v>
      </c>
      <c r="D2259" t="s">
        <v>7</v>
      </c>
      <c r="K2259" t="str">
        <f>T("172.515")</f>
        <v>172.515</v>
      </c>
      <c r="AG2259" t="str">
        <f>T("2688")</f>
        <v>2688</v>
      </c>
      <c r="AH2259" t="str">
        <f>T("3")</f>
        <v>3</v>
      </c>
      <c r="AI2259" t="str">
        <f>T("25")</f>
        <v>25</v>
      </c>
      <c r="AK2259" t="str">
        <f>T("800")</f>
        <v>800</v>
      </c>
    </row>
    <row r="2260" spans="1:37" x14ac:dyDescent="0.3">
      <c r="A2260" t="s">
        <v>7022</v>
      </c>
      <c r="B2260" t="s">
        <v>7023</v>
      </c>
      <c r="C2260" t="s">
        <v>7024</v>
      </c>
      <c r="D2260" t="s">
        <v>7</v>
      </c>
      <c r="K2260" t="str">
        <f>T("172.515")</f>
        <v>172.515</v>
      </c>
      <c r="AG2260" t="str">
        <f>T("2689")</f>
        <v>2689</v>
      </c>
      <c r="AH2260" t="str">
        <f>T("3")</f>
        <v>3</v>
      </c>
      <c r="AK2260" t="str">
        <f>T("802")</f>
        <v>802</v>
      </c>
    </row>
    <row r="2261" spans="1:37" x14ac:dyDescent="0.3">
      <c r="A2261" t="s">
        <v>7025</v>
      </c>
      <c r="B2261" t="s">
        <v>7026</v>
      </c>
      <c r="C2261" t="s">
        <v>7027</v>
      </c>
      <c r="D2261" t="s">
        <v>7</v>
      </c>
      <c r="AG2261" t="str">
        <f>T("3186")</f>
        <v>3186</v>
      </c>
      <c r="AH2261" t="str">
        <f>T("4")</f>
        <v>4</v>
      </c>
      <c r="AK2261" t="str">
        <f>T("1334")</f>
        <v>1334</v>
      </c>
    </row>
    <row r="2262" spans="1:37" x14ac:dyDescent="0.3">
      <c r="A2262" t="s">
        <v>7028</v>
      </c>
      <c r="B2262" t="s">
        <v>7029</v>
      </c>
      <c r="C2262" t="s">
        <v>7030</v>
      </c>
      <c r="D2262" t="s">
        <v>15</v>
      </c>
      <c r="AG2262" t="str">
        <f>T("3303")</f>
        <v>3303</v>
      </c>
      <c r="AH2262" t="str">
        <f>T("5")</f>
        <v>5</v>
      </c>
      <c r="AI2262" t="str">
        <f>T("25")</f>
        <v>25</v>
      </c>
      <c r="AK2262" t="str">
        <f>T("515")</f>
        <v>515</v>
      </c>
    </row>
    <row r="2263" spans="1:37" x14ac:dyDescent="0.3">
      <c r="A2263" t="s">
        <v>7031</v>
      </c>
      <c r="B2263" t="s">
        <v>7032</v>
      </c>
      <c r="C2263" t="s">
        <v>7033</v>
      </c>
      <c r="D2263" t="s">
        <v>7</v>
      </c>
      <c r="AG2263" t="str">
        <f>T("3858")</f>
        <v>3858</v>
      </c>
      <c r="AH2263" t="str">
        <f>T("18")</f>
        <v>18</v>
      </c>
      <c r="AK2263" t="str">
        <f>T("513")</f>
        <v>513</v>
      </c>
    </row>
    <row r="2264" spans="1:37" x14ac:dyDescent="0.3">
      <c r="A2264" t="s">
        <v>7034</v>
      </c>
      <c r="B2264" t="s">
        <v>7035</v>
      </c>
      <c r="C2264" t="s">
        <v>7036</v>
      </c>
      <c r="D2264" t="s">
        <v>7</v>
      </c>
      <c r="AG2264" t="str">
        <f>T("3304")</f>
        <v>3304</v>
      </c>
      <c r="AH2264" t="str">
        <f>T("5")</f>
        <v>5</v>
      </c>
      <c r="AK2264" t="str">
        <f>T("517")</f>
        <v>517</v>
      </c>
    </row>
    <row r="2265" spans="1:37" x14ac:dyDescent="0.3">
      <c r="A2265" t="s">
        <v>7037</v>
      </c>
      <c r="B2265" t="s">
        <v>7038</v>
      </c>
      <c r="C2265" t="s">
        <v>7039</v>
      </c>
      <c r="D2265" t="s">
        <v>7</v>
      </c>
      <c r="AG2265" t="str">
        <f>T("3998")</f>
        <v>3998</v>
      </c>
      <c r="AH2265" t="str">
        <f>T("20")</f>
        <v>20</v>
      </c>
      <c r="AK2265" t="str">
        <f>T("1199")</f>
        <v>1199</v>
      </c>
    </row>
    <row r="2266" spans="1:37" x14ac:dyDescent="0.3">
      <c r="A2266" t="s">
        <v>7040</v>
      </c>
      <c r="B2266" t="s">
        <v>7041</v>
      </c>
      <c r="C2266" t="s">
        <v>7042</v>
      </c>
      <c r="D2266" t="s">
        <v>7</v>
      </c>
      <c r="AG2266" t="str">
        <f>T("3703")</f>
        <v>3703</v>
      </c>
      <c r="AH2266" t="str">
        <f>T("13")</f>
        <v>13</v>
      </c>
      <c r="AK2266" t="str">
        <f>T("300")</f>
        <v>300</v>
      </c>
    </row>
    <row r="2267" spans="1:37" x14ac:dyDescent="0.3">
      <c r="A2267" t="s">
        <v>7043</v>
      </c>
      <c r="B2267" t="s">
        <v>7044</v>
      </c>
      <c r="C2267" t="s">
        <v>7045</v>
      </c>
      <c r="D2267" t="s">
        <v>7</v>
      </c>
      <c r="AG2267" t="str">
        <f>T("3407")</f>
        <v>3407</v>
      </c>
      <c r="AH2267" t="str">
        <f>T("7")</f>
        <v>7</v>
      </c>
      <c r="AK2267" t="str">
        <f>T("1201")</f>
        <v>1201</v>
      </c>
    </row>
    <row r="2268" spans="1:37" x14ac:dyDescent="0.3">
      <c r="A2268" t="s">
        <v>7046</v>
      </c>
      <c r="B2268" t="s">
        <v>7047</v>
      </c>
      <c r="C2268" t="s">
        <v>7048</v>
      </c>
      <c r="D2268" t="s">
        <v>7</v>
      </c>
      <c r="AG2268" t="str">
        <f>T("3646")</f>
        <v>3646</v>
      </c>
      <c r="AH2268" t="str">
        <f>T("12")</f>
        <v>12</v>
      </c>
      <c r="AK2268" t="str">
        <f>T("1202")</f>
        <v>1202</v>
      </c>
    </row>
    <row r="2269" spans="1:37" x14ac:dyDescent="0.3">
      <c r="A2269" t="s">
        <v>7049</v>
      </c>
      <c r="B2269" t="s">
        <v>7050</v>
      </c>
      <c r="C2269" t="s">
        <v>7051</v>
      </c>
      <c r="D2269" t="s">
        <v>7</v>
      </c>
      <c r="AG2269" t="str">
        <f>T("3931")</f>
        <v>3931</v>
      </c>
      <c r="AH2269" t="str">
        <f>T("19")</f>
        <v>19</v>
      </c>
      <c r="AI2269" t="str">
        <f>T("20")</f>
        <v>20</v>
      </c>
      <c r="AK2269" t="str">
        <f>T("1277")</f>
        <v>1277</v>
      </c>
    </row>
    <row r="2270" spans="1:37" x14ac:dyDescent="0.3">
      <c r="A2270" t="s">
        <v>7052</v>
      </c>
      <c r="B2270" t="s">
        <v>7053</v>
      </c>
      <c r="C2270" t="s">
        <v>7054</v>
      </c>
      <c r="D2270" t="s">
        <v>7</v>
      </c>
      <c r="AG2270" t="str">
        <f>T("3599")</f>
        <v>3599</v>
      </c>
      <c r="AH2270" t="str">
        <f>T("12")</f>
        <v>12</v>
      </c>
      <c r="AK2270" t="str">
        <f>T("1205")</f>
        <v>1205</v>
      </c>
    </row>
    <row r="2271" spans="1:37" x14ac:dyDescent="0.3">
      <c r="A2271" t="s">
        <v>7055</v>
      </c>
      <c r="B2271" t="s">
        <v>7056</v>
      </c>
      <c r="C2271" t="s">
        <v>7057</v>
      </c>
      <c r="D2271" t="s">
        <v>7</v>
      </c>
      <c r="AG2271" t="str">
        <f>T("4178")</f>
        <v>4178</v>
      </c>
      <c r="AH2271" t="str">
        <f>T("22")</f>
        <v>22</v>
      </c>
      <c r="AK2271" t="str">
        <f>T("1617")</f>
        <v>1617</v>
      </c>
    </row>
    <row r="2272" spans="1:37" x14ac:dyDescent="0.3">
      <c r="A2272" t="s">
        <v>7058</v>
      </c>
      <c r="B2272" t="s">
        <v>7059</v>
      </c>
      <c r="C2272" t="s">
        <v>7060</v>
      </c>
      <c r="D2272" t="s">
        <v>7</v>
      </c>
      <c r="K2272" t="str">
        <f>T("172.515")</f>
        <v>172.515</v>
      </c>
    </row>
    <row r="2273" spans="1:37" x14ac:dyDescent="0.3">
      <c r="A2273" t="s">
        <v>7061</v>
      </c>
      <c r="B2273" t="s">
        <v>7062</v>
      </c>
      <c r="C2273" t="s">
        <v>7063</v>
      </c>
      <c r="D2273" t="s">
        <v>7</v>
      </c>
      <c r="AG2273" t="str">
        <f>T("3647")</f>
        <v>3647</v>
      </c>
      <c r="AH2273" t="str">
        <f>T("12")</f>
        <v>12</v>
      </c>
      <c r="AK2273" t="str">
        <f>T("1200")</f>
        <v>1200</v>
      </c>
    </row>
    <row r="2274" spans="1:37" x14ac:dyDescent="0.3">
      <c r="A2274" t="s">
        <v>7064</v>
      </c>
      <c r="B2274" t="s">
        <v>7065</v>
      </c>
      <c r="C2274" t="s">
        <v>7066</v>
      </c>
      <c r="D2274" t="s">
        <v>7</v>
      </c>
    </row>
    <row r="2275" spans="1:37" x14ac:dyDescent="0.3">
      <c r="A2275" t="s">
        <v>7067</v>
      </c>
      <c r="B2275" t="s">
        <v>7068</v>
      </c>
      <c r="C2275" t="s">
        <v>7069</v>
      </c>
      <c r="D2275" t="s">
        <v>7</v>
      </c>
      <c r="AG2275" t="str">
        <f>T("3991")</f>
        <v>3991</v>
      </c>
      <c r="AH2275" t="str">
        <f>T("20")</f>
        <v>20</v>
      </c>
      <c r="AK2275" t="str">
        <f>T("1269")</f>
        <v>1269</v>
      </c>
    </row>
    <row r="2276" spans="1:37" x14ac:dyDescent="0.3">
      <c r="A2276" t="s">
        <v>7070</v>
      </c>
      <c r="B2276" t="s">
        <v>7071</v>
      </c>
      <c r="C2276" t="s">
        <v>7072</v>
      </c>
      <c r="D2276" t="s">
        <v>7</v>
      </c>
      <c r="AG2276" t="str">
        <f>T("3644")</f>
        <v>3644</v>
      </c>
      <c r="AH2276" t="str">
        <f>T("12")</f>
        <v>12</v>
      </c>
      <c r="AK2276" t="str">
        <f>T("138")</f>
        <v>138</v>
      </c>
    </row>
    <row r="2277" spans="1:37" x14ac:dyDescent="0.3">
      <c r="A2277" t="s">
        <v>7073</v>
      </c>
      <c r="B2277" t="s">
        <v>7074</v>
      </c>
      <c r="C2277" t="s">
        <v>7075</v>
      </c>
      <c r="D2277" t="s">
        <v>7</v>
      </c>
      <c r="AG2277" t="str">
        <f>T("4241")</f>
        <v>4241</v>
      </c>
      <c r="AH2277" t="str">
        <f>T("22")</f>
        <v>22</v>
      </c>
      <c r="AK2277" t="str">
        <f>T("1586")</f>
        <v>1586</v>
      </c>
    </row>
    <row r="2278" spans="1:37" x14ac:dyDescent="0.3">
      <c r="A2278" t="s">
        <v>7076</v>
      </c>
      <c r="B2278" t="s">
        <v>7077</v>
      </c>
      <c r="C2278" t="s">
        <v>7078</v>
      </c>
      <c r="D2278" t="s">
        <v>7</v>
      </c>
      <c r="K2278" t="str">
        <f>T("172.515")</f>
        <v>172.515</v>
      </c>
      <c r="AG2278" t="str">
        <f>T("3506")</f>
        <v>3506</v>
      </c>
      <c r="AH2278" t="str">
        <f>T("10")</f>
        <v>10</v>
      </c>
      <c r="AI2278" t="str">
        <f>T("25")</f>
        <v>25</v>
      </c>
      <c r="AK2278" t="str">
        <f>T("204")</f>
        <v>204</v>
      </c>
    </row>
    <row r="2279" spans="1:37" x14ac:dyDescent="0.3">
      <c r="A2279" t="s">
        <v>7079</v>
      </c>
      <c r="B2279" t="s">
        <v>7080</v>
      </c>
      <c r="C2279" t="s">
        <v>7081</v>
      </c>
      <c r="D2279" t="s">
        <v>7</v>
      </c>
      <c r="AG2279" t="str">
        <f>T("4306")</f>
        <v>4306</v>
      </c>
      <c r="AH2279" t="str">
        <f>T("23")</f>
        <v>23</v>
      </c>
      <c r="AK2279" t="str">
        <f>T("1816")</f>
        <v>1816</v>
      </c>
    </row>
    <row r="2280" spans="1:37" x14ac:dyDescent="0.3">
      <c r="A2280" t="s">
        <v>7082</v>
      </c>
      <c r="B2280" t="s">
        <v>7083</v>
      </c>
      <c r="C2280" t="s">
        <v>7084</v>
      </c>
      <c r="D2280" t="s">
        <v>7</v>
      </c>
      <c r="AG2280" t="str">
        <f>T("3359")</f>
        <v>3359</v>
      </c>
      <c r="AH2280" t="str">
        <f>T("6")</f>
        <v>6</v>
      </c>
      <c r="AI2280" t="str">
        <f>T("25")</f>
        <v>25</v>
      </c>
      <c r="AK2280" t="str">
        <f>T("212")</f>
        <v>212</v>
      </c>
    </row>
    <row r="2281" spans="1:37" x14ac:dyDescent="0.3">
      <c r="A2281" t="s">
        <v>7085</v>
      </c>
      <c r="B2281" t="s">
        <v>7086</v>
      </c>
      <c r="C2281" t="s">
        <v>7087</v>
      </c>
      <c r="D2281" t="s">
        <v>7</v>
      </c>
      <c r="K2281" t="str">
        <f t="shared" ref="K2281:K2287" si="27">T("172.515")</f>
        <v>172.515</v>
      </c>
      <c r="AG2281" t="str">
        <f>T("2691")</f>
        <v>2691</v>
      </c>
      <c r="AH2281" t="str">
        <f>T("3")</f>
        <v>3</v>
      </c>
      <c r="AK2281" t="str">
        <f>T("254")</f>
        <v>254</v>
      </c>
    </row>
    <row r="2282" spans="1:37" x14ac:dyDescent="0.3">
      <c r="A2282" t="s">
        <v>7088</v>
      </c>
      <c r="B2282" t="s">
        <v>7089</v>
      </c>
      <c r="C2282" t="s">
        <v>7090</v>
      </c>
      <c r="D2282" t="s">
        <v>7</v>
      </c>
      <c r="K2282" t="str">
        <f t="shared" si="27"/>
        <v>172.515</v>
      </c>
      <c r="AG2282" t="str">
        <f>T("2692")</f>
        <v>2692</v>
      </c>
      <c r="AH2282" t="str">
        <f>T("3")</f>
        <v>3</v>
      </c>
      <c r="AI2282" t="str">
        <f>T("25")</f>
        <v>25</v>
      </c>
      <c r="AK2282" t="str">
        <f>T("258")</f>
        <v>258</v>
      </c>
    </row>
    <row r="2283" spans="1:37" x14ac:dyDescent="0.3">
      <c r="A2283" t="s">
        <v>7091</v>
      </c>
      <c r="B2283" t="s">
        <v>7092</v>
      </c>
      <c r="C2283" t="s">
        <v>7093</v>
      </c>
      <c r="D2283" t="s">
        <v>7</v>
      </c>
      <c r="K2283" t="str">
        <f t="shared" si="27"/>
        <v>172.515</v>
      </c>
      <c r="AG2283" t="str">
        <f>T("2693")</f>
        <v>2693</v>
      </c>
      <c r="AH2283" t="str">
        <f>T("3")</f>
        <v>3</v>
      </c>
      <c r="AK2283" t="str">
        <f>T("149")</f>
        <v>149</v>
      </c>
    </row>
    <row r="2284" spans="1:37" x14ac:dyDescent="0.3">
      <c r="A2284" t="s">
        <v>7094</v>
      </c>
      <c r="B2284" t="s">
        <v>7095</v>
      </c>
      <c r="C2284" t="s">
        <v>7096</v>
      </c>
      <c r="D2284" t="s">
        <v>7</v>
      </c>
      <c r="K2284" t="str">
        <f t="shared" si="27"/>
        <v>172.515</v>
      </c>
      <c r="AG2284" t="str">
        <f>T("2695")</f>
        <v>2695</v>
      </c>
      <c r="AH2284" t="str">
        <f>T("3")</f>
        <v>3</v>
      </c>
      <c r="AI2284" t="str">
        <f>T("25")</f>
        <v>25</v>
      </c>
      <c r="AK2284" t="str">
        <f>T("255")</f>
        <v>255</v>
      </c>
    </row>
    <row r="2285" spans="1:37" x14ac:dyDescent="0.3">
      <c r="A2285" t="s">
        <v>7097</v>
      </c>
      <c r="B2285" t="s">
        <v>7098</v>
      </c>
      <c r="C2285" t="s">
        <v>7099</v>
      </c>
      <c r="D2285" t="s">
        <v>15</v>
      </c>
      <c r="K2285" t="str">
        <f t="shared" si="27"/>
        <v>172.515</v>
      </c>
      <c r="AG2285" t="str">
        <f>T("2697")</f>
        <v>2697</v>
      </c>
      <c r="AH2285" t="str">
        <f>T("3")</f>
        <v>3</v>
      </c>
      <c r="AK2285" t="str">
        <f>T("683")</f>
        <v>683</v>
      </c>
    </row>
    <row r="2286" spans="1:37" x14ac:dyDescent="0.3">
      <c r="A2286" t="s">
        <v>7100</v>
      </c>
      <c r="B2286" t="s">
        <v>7101</v>
      </c>
      <c r="C2286" t="s">
        <v>7102</v>
      </c>
      <c r="D2286" t="s">
        <v>7</v>
      </c>
      <c r="K2286" t="str">
        <f t="shared" si="27"/>
        <v>172.515</v>
      </c>
      <c r="AG2286" t="str">
        <f>T("3640")</f>
        <v>3640</v>
      </c>
      <c r="AH2286" t="str">
        <f>T("12")</f>
        <v>12</v>
      </c>
      <c r="AK2286" t="str">
        <f>T("682")</f>
        <v>682</v>
      </c>
    </row>
    <row r="2287" spans="1:37" x14ac:dyDescent="0.3">
      <c r="A2287" t="s">
        <v>7103</v>
      </c>
      <c r="B2287" t="s">
        <v>7104</v>
      </c>
      <c r="C2287" t="s">
        <v>7105</v>
      </c>
      <c r="D2287" t="s">
        <v>7</v>
      </c>
      <c r="K2287" t="str">
        <f t="shared" si="27"/>
        <v>172.515</v>
      </c>
      <c r="AG2287" t="str">
        <f>T("2698")</f>
        <v>2698</v>
      </c>
      <c r="AH2287" t="str">
        <f>T("3")</f>
        <v>3</v>
      </c>
      <c r="AI2287" t="str">
        <f>T("25")</f>
        <v>25</v>
      </c>
      <c r="AK2287" t="str">
        <f>T("658")</f>
        <v>658</v>
      </c>
    </row>
    <row r="2288" spans="1:37" x14ac:dyDescent="0.3">
      <c r="A2288" t="s">
        <v>7106</v>
      </c>
      <c r="B2288" t="s">
        <v>7107</v>
      </c>
      <c r="C2288" t="s">
        <v>7108</v>
      </c>
      <c r="D2288" t="s">
        <v>7</v>
      </c>
      <c r="AG2288" t="str">
        <f>T("4650")</f>
        <v>4650</v>
      </c>
      <c r="AH2288" t="str">
        <f>T("24")</f>
        <v>24</v>
      </c>
      <c r="AK2288" t="str">
        <f>T("2194")</f>
        <v>2194</v>
      </c>
    </row>
    <row r="2289" spans="1:37" x14ac:dyDescent="0.3">
      <c r="A2289" t="s">
        <v>7109</v>
      </c>
      <c r="B2289" t="s">
        <v>7110</v>
      </c>
      <c r="C2289" t="s">
        <v>7111</v>
      </c>
      <c r="D2289" t="s">
        <v>7</v>
      </c>
      <c r="AG2289" t="str">
        <f>T("2699")</f>
        <v>2699</v>
      </c>
      <c r="AH2289" t="str">
        <f>T("3")</f>
        <v>3</v>
      </c>
      <c r="AI2289" t="str">
        <f>T("25")</f>
        <v>25</v>
      </c>
      <c r="AK2289" t="str">
        <f>T("1172")</f>
        <v>1172</v>
      </c>
    </row>
    <row r="2290" spans="1:37" x14ac:dyDescent="0.3">
      <c r="A2290" t="s">
        <v>7112</v>
      </c>
      <c r="B2290" t="s">
        <v>7113</v>
      </c>
      <c r="C2290" t="s">
        <v>7114</v>
      </c>
      <c r="D2290" t="s">
        <v>15</v>
      </c>
      <c r="AG2290" t="str">
        <f>T("3187")</f>
        <v>3187</v>
      </c>
      <c r="AH2290" t="str">
        <f>T("4")</f>
        <v>4</v>
      </c>
      <c r="AK2290" t="str">
        <f>T("1204")</f>
        <v>1204</v>
      </c>
    </row>
    <row r="2291" spans="1:37" x14ac:dyDescent="0.3">
      <c r="A2291" t="s">
        <v>7115</v>
      </c>
      <c r="B2291" t="s">
        <v>7116</v>
      </c>
      <c r="C2291" t="s">
        <v>7117</v>
      </c>
      <c r="D2291" t="s">
        <v>15</v>
      </c>
    </row>
    <row r="2292" spans="1:37" x14ac:dyDescent="0.3">
      <c r="A2292" t="s">
        <v>7118</v>
      </c>
      <c r="B2292" t="s">
        <v>7119</v>
      </c>
      <c r="C2292" t="s">
        <v>7120</v>
      </c>
      <c r="D2292" t="s">
        <v>7</v>
      </c>
      <c r="AG2292" t="str">
        <f>T("4311")</f>
        <v>4311</v>
      </c>
      <c r="AH2292" t="str">
        <f>T("23")</f>
        <v>23</v>
      </c>
      <c r="AK2292" t="str">
        <f>T("2197")</f>
        <v>2197</v>
      </c>
    </row>
    <row r="2293" spans="1:37" x14ac:dyDescent="0.3">
      <c r="A2293" t="s">
        <v>7121</v>
      </c>
      <c r="B2293" t="s">
        <v>7122</v>
      </c>
      <c r="C2293" t="s">
        <v>7123</v>
      </c>
      <c r="D2293" t="s">
        <v>15</v>
      </c>
      <c r="AG2293" t="str">
        <f>T("3305")</f>
        <v>3305</v>
      </c>
      <c r="AH2293" t="str">
        <f>T("5")</f>
        <v>5</v>
      </c>
      <c r="AI2293" t="str">
        <f>T("25")</f>
        <v>25</v>
      </c>
      <c r="AK2293" t="str">
        <f>T("425")</f>
        <v>425</v>
      </c>
    </row>
    <row r="2294" spans="1:37" x14ac:dyDescent="0.3">
      <c r="A2294" t="s">
        <v>7124</v>
      </c>
      <c r="B2294" t="s">
        <v>7125</v>
      </c>
      <c r="C2294" t="s">
        <v>7126</v>
      </c>
      <c r="D2294" t="s">
        <v>15</v>
      </c>
      <c r="AG2294" t="str">
        <f>T("3568")</f>
        <v>3568</v>
      </c>
      <c r="AH2294" t="str">
        <f>T("11")</f>
        <v>11</v>
      </c>
      <c r="AK2294" t="str">
        <f>T("962")</f>
        <v>962</v>
      </c>
    </row>
    <row r="2295" spans="1:37" x14ac:dyDescent="0.3">
      <c r="A2295" t="s">
        <v>7127</v>
      </c>
      <c r="B2295" t="s">
        <v>7128</v>
      </c>
      <c r="C2295" t="s">
        <v>7129</v>
      </c>
      <c r="D2295" t="s">
        <v>7</v>
      </c>
      <c r="AG2295" t="str">
        <f>T("3946")</f>
        <v>3946</v>
      </c>
      <c r="AH2295" t="str">
        <f>T("19")</f>
        <v>19</v>
      </c>
      <c r="AK2295" t="str">
        <f>T("1102")</f>
        <v>1102</v>
      </c>
    </row>
    <row r="2296" spans="1:37" x14ac:dyDescent="0.3">
      <c r="A2296" t="s">
        <v>7130</v>
      </c>
      <c r="B2296" t="s">
        <v>7131</v>
      </c>
      <c r="C2296" t="s">
        <v>7132</v>
      </c>
      <c r="D2296" t="s">
        <v>7</v>
      </c>
      <c r="AG2296" t="str">
        <f>T("3947")</f>
        <v>3947</v>
      </c>
      <c r="AH2296" t="str">
        <f>T("19")</f>
        <v>19</v>
      </c>
      <c r="AK2296" t="str">
        <f>T("1103")</f>
        <v>1103</v>
      </c>
    </row>
    <row r="2297" spans="1:37" x14ac:dyDescent="0.3">
      <c r="A2297" t="s">
        <v>7133</v>
      </c>
      <c r="B2297" t="s">
        <v>7134</v>
      </c>
      <c r="C2297" t="s">
        <v>7135</v>
      </c>
      <c r="D2297" t="s">
        <v>7</v>
      </c>
      <c r="AG2297" t="str">
        <f>T("3948")</f>
        <v>3948</v>
      </c>
      <c r="AH2297" t="str">
        <f>T("19")</f>
        <v>19</v>
      </c>
      <c r="AK2297" t="str">
        <f>T("1104")</f>
        <v>1104</v>
      </c>
    </row>
    <row r="2298" spans="1:37" x14ac:dyDescent="0.3">
      <c r="A2298" t="s">
        <v>7136</v>
      </c>
      <c r="B2298" t="s">
        <v>7137</v>
      </c>
      <c r="C2298" t="s">
        <v>7138</v>
      </c>
      <c r="D2298" t="s">
        <v>7</v>
      </c>
      <c r="AG2298" t="str">
        <f>T("3360")</f>
        <v>3360</v>
      </c>
      <c r="AH2298" t="s">
        <v>1308</v>
      </c>
      <c r="AK2298" t="str">
        <f>T("1107")</f>
        <v>1107</v>
      </c>
    </row>
    <row r="2299" spans="1:37" x14ac:dyDescent="0.3">
      <c r="A2299" t="s">
        <v>7139</v>
      </c>
      <c r="B2299" t="s">
        <v>7140</v>
      </c>
      <c r="C2299" t="s">
        <v>7141</v>
      </c>
      <c r="D2299" t="s">
        <v>7</v>
      </c>
      <c r="AG2299" t="str">
        <f>T("4678")</f>
        <v>4678</v>
      </c>
      <c r="AH2299" t="str">
        <f>T("25")</f>
        <v>25</v>
      </c>
      <c r="AK2299" t="str">
        <f>T("2081")</f>
        <v>2081</v>
      </c>
    </row>
    <row r="2300" spans="1:37" x14ac:dyDescent="0.3">
      <c r="A2300" t="s">
        <v>7142</v>
      </c>
      <c r="B2300" t="s">
        <v>7143</v>
      </c>
      <c r="C2300" t="s">
        <v>7144</v>
      </c>
      <c r="D2300" t="s">
        <v>7</v>
      </c>
      <c r="AG2300" t="str">
        <f>T("3434")</f>
        <v>3434</v>
      </c>
      <c r="AH2300" t="str">
        <f>T("8")</f>
        <v>8</v>
      </c>
      <c r="AK2300" t="str">
        <f>T("1402")</f>
        <v>1402</v>
      </c>
    </row>
    <row r="2301" spans="1:37" x14ac:dyDescent="0.3">
      <c r="A2301" t="s">
        <v>7145</v>
      </c>
      <c r="B2301" t="s">
        <v>7146</v>
      </c>
      <c r="C2301" t="s">
        <v>7147</v>
      </c>
      <c r="D2301" t="s">
        <v>7</v>
      </c>
      <c r="K2301" t="str">
        <f>T("172.515")</f>
        <v>172.515</v>
      </c>
      <c r="AG2301" t="str">
        <f>T("2700")</f>
        <v>2700</v>
      </c>
      <c r="AH2301" t="str">
        <f>T("3")</f>
        <v>3</v>
      </c>
      <c r="AI2301" t="str">
        <f>T("25")</f>
        <v>25</v>
      </c>
      <c r="AK2301" t="str">
        <f>T("418")</f>
        <v>418</v>
      </c>
    </row>
    <row r="2302" spans="1:37" x14ac:dyDescent="0.3">
      <c r="A2302" t="s">
        <v>7148</v>
      </c>
      <c r="B2302" t="s">
        <v>7149</v>
      </c>
      <c r="C2302" t="s">
        <v>7150</v>
      </c>
      <c r="D2302" t="s">
        <v>7</v>
      </c>
      <c r="AG2302" t="str">
        <f>T("3435")</f>
        <v>3435</v>
      </c>
      <c r="AH2302" t="str">
        <f>T("8")</f>
        <v>8</v>
      </c>
      <c r="AI2302" t="str">
        <f>T("25")</f>
        <v>25</v>
      </c>
      <c r="AK2302" t="str">
        <f>T("1105")</f>
        <v>1105</v>
      </c>
    </row>
    <row r="2303" spans="1:37" x14ac:dyDescent="0.3">
      <c r="A2303" t="s">
        <v>7151</v>
      </c>
      <c r="B2303" t="s">
        <v>7152</v>
      </c>
      <c r="C2303" t="s">
        <v>7153</v>
      </c>
      <c r="D2303" t="s">
        <v>7</v>
      </c>
      <c r="AG2303" t="str">
        <f>T("3859")</f>
        <v>3859</v>
      </c>
      <c r="AH2303" t="str">
        <f>T("18")</f>
        <v>18</v>
      </c>
      <c r="AK2303" t="str">
        <f>T("1191")</f>
        <v>1191</v>
      </c>
    </row>
    <row r="2304" spans="1:37" x14ac:dyDescent="0.3">
      <c r="A2304" t="s">
        <v>7154</v>
      </c>
      <c r="B2304" t="s">
        <v>7155</v>
      </c>
      <c r="C2304" t="s">
        <v>7156</v>
      </c>
      <c r="D2304" t="s">
        <v>7</v>
      </c>
      <c r="AG2304" t="str">
        <f>T("3786")</f>
        <v>3786</v>
      </c>
      <c r="AH2304" t="str">
        <f>T("16")</f>
        <v>16</v>
      </c>
      <c r="AK2304" t="str">
        <f>T("250")</f>
        <v>250</v>
      </c>
    </row>
    <row r="2305" spans="1:37" x14ac:dyDescent="0.3">
      <c r="A2305" t="s">
        <v>7157</v>
      </c>
      <c r="B2305" t="s">
        <v>7158</v>
      </c>
      <c r="C2305" t="s">
        <v>7159</v>
      </c>
      <c r="D2305" t="s">
        <v>7</v>
      </c>
      <c r="AG2305" t="str">
        <f>T("3999")</f>
        <v>3999</v>
      </c>
      <c r="AH2305" t="str">
        <f>T("20")</f>
        <v>20</v>
      </c>
      <c r="AK2305" t="str">
        <f>T("1158")</f>
        <v>1158</v>
      </c>
    </row>
    <row r="2306" spans="1:37" x14ac:dyDescent="0.3">
      <c r="A2306" t="s">
        <v>7160</v>
      </c>
      <c r="B2306" t="s">
        <v>7161</v>
      </c>
      <c r="C2306" t="s">
        <v>7162</v>
      </c>
      <c r="D2306" t="s">
        <v>7</v>
      </c>
    </row>
    <row r="2307" spans="1:37" x14ac:dyDescent="0.3">
      <c r="A2307" t="s">
        <v>7163</v>
      </c>
      <c r="B2307" t="s">
        <v>7164</v>
      </c>
      <c r="C2307" t="s">
        <v>7165</v>
      </c>
      <c r="D2307" t="s">
        <v>15</v>
      </c>
      <c r="K2307" t="str">
        <f>T("172.515")</f>
        <v>172.515</v>
      </c>
      <c r="AG2307" t="str">
        <f>T("2713")</f>
        <v>2713</v>
      </c>
      <c r="AH2307" t="str">
        <f>T("3")</f>
        <v>3</v>
      </c>
      <c r="AK2307" t="str">
        <f>T("400")</f>
        <v>400</v>
      </c>
    </row>
    <row r="2308" spans="1:37" x14ac:dyDescent="0.3">
      <c r="A2308" t="s">
        <v>7166</v>
      </c>
      <c r="B2308" t="s">
        <v>7167</v>
      </c>
      <c r="C2308" t="s">
        <v>7168</v>
      </c>
      <c r="D2308" t="s">
        <v>7</v>
      </c>
      <c r="AG2308" t="str">
        <f>T("3306")</f>
        <v>3306</v>
      </c>
      <c r="AH2308" t="str">
        <f>T("5")</f>
        <v>5</v>
      </c>
      <c r="AI2308" t="str">
        <f>T("25")</f>
        <v>25</v>
      </c>
      <c r="AK2308" t="str">
        <f>T("781")</f>
        <v>781</v>
      </c>
    </row>
    <row r="2309" spans="1:37" x14ac:dyDescent="0.3">
      <c r="A2309" t="s">
        <v>7169</v>
      </c>
      <c r="B2309" t="s">
        <v>7170</v>
      </c>
      <c r="C2309" t="s">
        <v>7171</v>
      </c>
      <c r="D2309" t="s">
        <v>7</v>
      </c>
      <c r="AG2309" t="str">
        <f>T("4683")</f>
        <v>4683</v>
      </c>
      <c r="AH2309" t="str">
        <f>T("25")</f>
        <v>25</v>
      </c>
      <c r="AK2309" t="str">
        <f>T("2097")</f>
        <v>2097</v>
      </c>
    </row>
    <row r="2310" spans="1:37" x14ac:dyDescent="0.3">
      <c r="A2310" t="s">
        <v>7172</v>
      </c>
      <c r="B2310" t="s">
        <v>7173</v>
      </c>
      <c r="C2310" t="s">
        <v>7174</v>
      </c>
      <c r="D2310" t="s">
        <v>15</v>
      </c>
      <c r="AG2310" t="str">
        <f>T("3408")</f>
        <v>3408</v>
      </c>
      <c r="AH2310" t="str">
        <f>T("7")</f>
        <v>7</v>
      </c>
      <c r="AI2310" t="str">
        <f>T("25")</f>
        <v>25</v>
      </c>
      <c r="AK2310" t="str">
        <f>T("1898")</f>
        <v>1898</v>
      </c>
    </row>
    <row r="2311" spans="1:37" x14ac:dyDescent="0.3">
      <c r="A2311" t="s">
        <v>7175</v>
      </c>
      <c r="B2311" t="s">
        <v>7176</v>
      </c>
      <c r="C2311" t="s">
        <v>7177</v>
      </c>
      <c r="D2311" t="s">
        <v>7</v>
      </c>
      <c r="AG2311" t="str">
        <f>T("3704")</f>
        <v>3704</v>
      </c>
      <c r="AH2311" t="str">
        <f>T("13")</f>
        <v>13</v>
      </c>
      <c r="AK2311" t="str">
        <f>T("722")</f>
        <v>722</v>
      </c>
    </row>
    <row r="2312" spans="1:37" x14ac:dyDescent="0.3">
      <c r="A2312" t="s">
        <v>7178</v>
      </c>
      <c r="B2312" t="s">
        <v>7179</v>
      </c>
      <c r="C2312" t="s">
        <v>7180</v>
      </c>
      <c r="D2312" t="s">
        <v>7</v>
      </c>
      <c r="AG2312" t="str">
        <f>T("4169")</f>
        <v>4169</v>
      </c>
      <c r="AH2312" t="str">
        <f>T("22")</f>
        <v>22</v>
      </c>
      <c r="AK2312" t="str">
        <f>T("1551")</f>
        <v>1551</v>
      </c>
    </row>
    <row r="2313" spans="1:37" x14ac:dyDescent="0.3">
      <c r="A2313" t="s">
        <v>7181</v>
      </c>
      <c r="B2313" t="s">
        <v>7182</v>
      </c>
      <c r="C2313" t="s">
        <v>7183</v>
      </c>
      <c r="D2313" t="s">
        <v>15</v>
      </c>
      <c r="AG2313" t="str">
        <f>T("3361")</f>
        <v>3361</v>
      </c>
      <c r="AH2313" t="str">
        <f>T("6")</f>
        <v>6</v>
      </c>
      <c r="AK2313" t="str">
        <f>T("354")</f>
        <v>354</v>
      </c>
    </row>
    <row r="2314" spans="1:37" x14ac:dyDescent="0.3">
      <c r="A2314" t="s">
        <v>7184</v>
      </c>
      <c r="B2314" t="s">
        <v>7185</v>
      </c>
      <c r="C2314" t="s">
        <v>7186</v>
      </c>
      <c r="D2314" t="s">
        <v>7</v>
      </c>
      <c r="K2314" t="str">
        <f>T("172.515")</f>
        <v>172.515</v>
      </c>
      <c r="AG2314" t="str">
        <f>T("3536")</f>
        <v>3536</v>
      </c>
      <c r="AH2314" t="str">
        <f>T("11")</f>
        <v>11</v>
      </c>
      <c r="AI2314" t="str">
        <f>T("25")</f>
        <v>25</v>
      </c>
      <c r="AK2314" t="str">
        <f>T("564")</f>
        <v>564</v>
      </c>
    </row>
    <row r="2315" spans="1:37" x14ac:dyDescent="0.3">
      <c r="A2315" t="s">
        <v>7187</v>
      </c>
      <c r="B2315" t="s">
        <v>7188</v>
      </c>
      <c r="C2315" t="s">
        <v>7189</v>
      </c>
      <c r="D2315" t="s">
        <v>7</v>
      </c>
      <c r="AG2315" t="str">
        <f>T("3705")</f>
        <v>3705</v>
      </c>
      <c r="AH2315" t="str">
        <f>T("13")</f>
        <v>13</v>
      </c>
      <c r="AK2315" t="str">
        <f>T("534")</f>
        <v>534</v>
      </c>
    </row>
    <row r="2316" spans="1:37" x14ac:dyDescent="0.3">
      <c r="A2316" t="s">
        <v>7190</v>
      </c>
      <c r="B2316" t="s">
        <v>7191</v>
      </c>
      <c r="C2316" t="s">
        <v>7192</v>
      </c>
      <c r="D2316" t="s">
        <v>7</v>
      </c>
      <c r="AG2316" t="str">
        <f>T("4696")</f>
        <v>4696</v>
      </c>
      <c r="AH2316" t="str">
        <f>T("25")</f>
        <v>25</v>
      </c>
      <c r="AK2316" t="str">
        <f>T("2088")</f>
        <v>2088</v>
      </c>
    </row>
    <row r="2317" spans="1:37" x14ac:dyDescent="0.3">
      <c r="A2317" t="s">
        <v>7193</v>
      </c>
      <c r="B2317" t="s">
        <v>7194</v>
      </c>
      <c r="C2317" t="s">
        <v>7195</v>
      </c>
      <c r="D2317" t="s">
        <v>7196</v>
      </c>
      <c r="E2317" t="str">
        <f>T("73.1")</f>
        <v>73.1</v>
      </c>
      <c r="F2317" t="str">
        <f>T("73.30")</f>
        <v>73.30</v>
      </c>
      <c r="G2317" t="str">
        <f>T("73.345")</f>
        <v>73.345</v>
      </c>
      <c r="H2317" t="str">
        <f>T("73.615")</f>
        <v>73.615</v>
      </c>
      <c r="K2317" t="str">
        <f>T("172.560")</f>
        <v>172.560</v>
      </c>
      <c r="L2317" t="str">
        <f>T("173.255")</f>
        <v>173.255</v>
      </c>
      <c r="M2317" t="str">
        <f>T("175.105")</f>
        <v>175.105</v>
      </c>
      <c r="N2317" t="str">
        <f>T("177.1580")</f>
        <v>177.1580</v>
      </c>
      <c r="O2317" t="str">
        <f>T("177.1585")</f>
        <v>177.1585</v>
      </c>
    </row>
    <row r="2318" spans="1:37" x14ac:dyDescent="0.3">
      <c r="A2318" t="s">
        <v>7197</v>
      </c>
      <c r="B2318" t="s">
        <v>7198</v>
      </c>
      <c r="C2318" t="s">
        <v>7199</v>
      </c>
      <c r="D2318" t="s">
        <v>15</v>
      </c>
      <c r="AG2318" t="str">
        <f>T("2701")</f>
        <v>2701</v>
      </c>
      <c r="AH2318" t="str">
        <f>T("3")</f>
        <v>3</v>
      </c>
      <c r="AI2318" t="str">
        <f>T("25")</f>
        <v>25</v>
      </c>
      <c r="AK2318" t="str">
        <f>T("2048")</f>
        <v>2048</v>
      </c>
    </row>
    <row r="2319" spans="1:37" x14ac:dyDescent="0.3">
      <c r="A2319" t="s">
        <v>7200</v>
      </c>
      <c r="B2319" t="s">
        <v>7201</v>
      </c>
      <c r="C2319" t="s">
        <v>7202</v>
      </c>
      <c r="D2319" t="s">
        <v>7</v>
      </c>
      <c r="AG2319" t="str">
        <f>T("4599")</f>
        <v>4599</v>
      </c>
      <c r="AH2319" t="str">
        <f>T("24")</f>
        <v>24</v>
      </c>
    </row>
    <row r="2320" spans="1:37" x14ac:dyDescent="0.3">
      <c r="A2320" t="s">
        <v>7203</v>
      </c>
      <c r="B2320" t="s">
        <v>7204</v>
      </c>
      <c r="C2320" t="s">
        <v>7205</v>
      </c>
      <c r="D2320" t="s">
        <v>184</v>
      </c>
      <c r="K2320" t="str">
        <f>T("172.225")</f>
        <v>172.225</v>
      </c>
      <c r="L2320" t="str">
        <f>T("176.200")</f>
        <v>176.200</v>
      </c>
      <c r="M2320" t="str">
        <f>T("177.1200")</f>
        <v>177.1200</v>
      </c>
      <c r="N2320" t="str">
        <f>T("178.3910")</f>
        <v>178.3910</v>
      </c>
    </row>
    <row r="2321" spans="1:37" x14ac:dyDescent="0.3">
      <c r="A2321" t="s">
        <v>7206</v>
      </c>
      <c r="B2321" t="s">
        <v>7207</v>
      </c>
      <c r="C2321" t="s">
        <v>7208</v>
      </c>
      <c r="D2321" t="s">
        <v>7</v>
      </c>
      <c r="AG2321" t="str">
        <f>T("3569")</f>
        <v>3569</v>
      </c>
      <c r="AH2321" t="str">
        <f>T("11")</f>
        <v>11</v>
      </c>
      <c r="AK2321" t="str">
        <f>T("793")</f>
        <v>793</v>
      </c>
    </row>
    <row r="2322" spans="1:37" x14ac:dyDescent="0.3">
      <c r="A2322" t="s">
        <v>7209</v>
      </c>
      <c r="B2322" t="s">
        <v>7210</v>
      </c>
      <c r="C2322" t="s">
        <v>7211</v>
      </c>
      <c r="D2322" t="s">
        <v>7</v>
      </c>
      <c r="AG2322" t="str">
        <f>T("3860")</f>
        <v>3860</v>
      </c>
      <c r="AH2322" t="str">
        <f>T("18")</f>
        <v>18</v>
      </c>
      <c r="AK2322" t="str">
        <f>T("453")</f>
        <v>453</v>
      </c>
    </row>
    <row r="2323" spans="1:37" x14ac:dyDescent="0.3">
      <c r="A2323" t="s">
        <v>7212</v>
      </c>
      <c r="B2323" t="s">
        <v>7213</v>
      </c>
      <c r="C2323" t="s">
        <v>7214</v>
      </c>
      <c r="D2323" t="s">
        <v>7</v>
      </c>
      <c r="AG2323" t="str">
        <f>T("3861")</f>
        <v>3861</v>
      </c>
      <c r="AH2323" t="str">
        <f>T("18")</f>
        <v>18</v>
      </c>
      <c r="AK2323" t="str">
        <f>T("583")</f>
        <v>583</v>
      </c>
    </row>
    <row r="2324" spans="1:37" x14ac:dyDescent="0.3">
      <c r="A2324" t="s">
        <v>7215</v>
      </c>
      <c r="B2324" t="s">
        <v>7216</v>
      </c>
      <c r="C2324" t="s">
        <v>7217</v>
      </c>
      <c r="D2324" t="s">
        <v>7</v>
      </c>
      <c r="AG2324" t="str">
        <f>T("4171")</f>
        <v>4171</v>
      </c>
      <c r="AH2324" t="str">
        <f>T("22")</f>
        <v>22</v>
      </c>
      <c r="AK2324" t="str">
        <f>T("1549")</f>
        <v>1549</v>
      </c>
    </row>
    <row r="2325" spans="1:37" x14ac:dyDescent="0.3">
      <c r="A2325" t="s">
        <v>7218</v>
      </c>
      <c r="B2325" t="s">
        <v>7219</v>
      </c>
      <c r="C2325" t="s">
        <v>7220</v>
      </c>
      <c r="D2325" t="s">
        <v>7</v>
      </c>
      <c r="AG2325" t="str">
        <f>T("4179")</f>
        <v>4179</v>
      </c>
      <c r="AH2325" t="str">
        <f>T("22")</f>
        <v>22</v>
      </c>
      <c r="AK2325" t="str">
        <f>T("1487")</f>
        <v>1487</v>
      </c>
    </row>
    <row r="2326" spans="1:37" x14ac:dyDescent="0.3">
      <c r="A2326" t="s">
        <v>7221</v>
      </c>
      <c r="B2326" t="s">
        <v>7222</v>
      </c>
      <c r="C2326" t="s">
        <v>7223</v>
      </c>
      <c r="D2326" t="s">
        <v>7</v>
      </c>
      <c r="AG2326" t="str">
        <f>T("4176")</f>
        <v>4176</v>
      </c>
      <c r="AH2326" t="str">
        <f>T("22")</f>
        <v>22</v>
      </c>
    </row>
    <row r="2327" spans="1:37" x14ac:dyDescent="0.3">
      <c r="A2327" t="s">
        <v>7224</v>
      </c>
      <c r="B2327" t="s">
        <v>7225</v>
      </c>
      <c r="C2327" t="s">
        <v>7226</v>
      </c>
      <c r="D2327" t="s">
        <v>15</v>
      </c>
      <c r="AG2327" t="str">
        <f>T("3188")</f>
        <v>3188</v>
      </c>
      <c r="AH2327" t="str">
        <f>T("4")</f>
        <v>4</v>
      </c>
      <c r="AK2327" t="str">
        <f>T("1060")</f>
        <v>1060</v>
      </c>
    </row>
    <row r="2328" spans="1:37" x14ac:dyDescent="0.3">
      <c r="A2328" t="s">
        <v>7227</v>
      </c>
      <c r="B2328" t="s">
        <v>7228</v>
      </c>
      <c r="C2328" t="s">
        <v>7229</v>
      </c>
      <c r="D2328" t="s">
        <v>7</v>
      </c>
    </row>
    <row r="2329" spans="1:37" x14ac:dyDescent="0.3">
      <c r="A2329" t="s">
        <v>7230</v>
      </c>
      <c r="B2329" t="s">
        <v>7231</v>
      </c>
      <c r="C2329" t="s">
        <v>7232</v>
      </c>
      <c r="D2329" t="s">
        <v>15</v>
      </c>
      <c r="AG2329" t="str">
        <f>T("2702")</f>
        <v>2702</v>
      </c>
      <c r="AH2329" t="str">
        <f>T("3")</f>
        <v>3</v>
      </c>
      <c r="AI2329" t="str">
        <f>T("25")</f>
        <v>25</v>
      </c>
      <c r="AK2329" t="str">
        <f>T("745")</f>
        <v>745</v>
      </c>
    </row>
    <row r="2330" spans="1:37" x14ac:dyDescent="0.3">
      <c r="A2330" t="s">
        <v>7233</v>
      </c>
      <c r="B2330" t="s">
        <v>7234</v>
      </c>
      <c r="C2330" t="s">
        <v>7235</v>
      </c>
      <c r="D2330" t="s">
        <v>7</v>
      </c>
      <c r="AG2330" t="str">
        <f>T("4544")</f>
        <v>4544</v>
      </c>
      <c r="AH2330" t="str">
        <f>T("24")</f>
        <v>24</v>
      </c>
      <c r="AK2330" t="str">
        <f>T("2099")</f>
        <v>2099</v>
      </c>
    </row>
    <row r="2331" spans="1:37" x14ac:dyDescent="0.3">
      <c r="A2331" t="s">
        <v>7236</v>
      </c>
      <c r="B2331" t="s">
        <v>7237</v>
      </c>
      <c r="C2331" t="s">
        <v>7238</v>
      </c>
      <c r="D2331" t="s">
        <v>15</v>
      </c>
      <c r="AG2331" t="str">
        <f>T("3362")</f>
        <v>3362</v>
      </c>
      <c r="AH2331" t="str">
        <f>T("6")</f>
        <v>6</v>
      </c>
      <c r="AK2331" t="str">
        <f>T("1078")</f>
        <v>1078</v>
      </c>
    </row>
    <row r="2332" spans="1:37" x14ac:dyDescent="0.3">
      <c r="A2332" t="s">
        <v>7239</v>
      </c>
      <c r="B2332" t="s">
        <v>7240</v>
      </c>
      <c r="C2332" t="s">
        <v>7241</v>
      </c>
      <c r="D2332" t="s">
        <v>7</v>
      </c>
      <c r="AG2332" t="str">
        <f>T("4697")</f>
        <v>4697</v>
      </c>
      <c r="AH2332" t="str">
        <f>T("25")</f>
        <v>25</v>
      </c>
      <c r="AK2332" t="str">
        <f>T("2090")</f>
        <v>2090</v>
      </c>
    </row>
    <row r="2333" spans="1:37" x14ac:dyDescent="0.3">
      <c r="A2333" t="s">
        <v>7242</v>
      </c>
      <c r="B2333" t="s">
        <v>7243</v>
      </c>
      <c r="C2333" t="s">
        <v>7244</v>
      </c>
      <c r="D2333" t="s">
        <v>7</v>
      </c>
      <c r="AG2333" t="str">
        <f>T("4538")</f>
        <v>4538</v>
      </c>
      <c r="AH2333" t="str">
        <f>T("24")</f>
        <v>24</v>
      </c>
      <c r="AK2333" t="str">
        <f>T("2094")</f>
        <v>2094</v>
      </c>
    </row>
    <row r="2334" spans="1:37" x14ac:dyDescent="0.3">
      <c r="A2334" t="s">
        <v>7245</v>
      </c>
      <c r="B2334" t="s">
        <v>7246</v>
      </c>
      <c r="C2334" t="s">
        <v>7247</v>
      </c>
      <c r="D2334" t="s">
        <v>15</v>
      </c>
      <c r="AG2334" t="str">
        <f>T("2703")</f>
        <v>2703</v>
      </c>
      <c r="AH2334" t="str">
        <f>T("3")</f>
        <v>3</v>
      </c>
      <c r="AI2334" t="str">
        <f>T("25")</f>
        <v>25</v>
      </c>
      <c r="AK2334" t="str">
        <f>T("746")</f>
        <v>746</v>
      </c>
    </row>
    <row r="2335" spans="1:37" x14ac:dyDescent="0.3">
      <c r="A2335" t="s">
        <v>7248</v>
      </c>
      <c r="B2335" t="s">
        <v>7249</v>
      </c>
      <c r="C2335" t="s">
        <v>7250</v>
      </c>
      <c r="D2335" t="s">
        <v>15</v>
      </c>
      <c r="AG2335" t="str">
        <f>T("3307")</f>
        <v>3307</v>
      </c>
      <c r="AH2335" t="str">
        <f>T("5")</f>
        <v>5</v>
      </c>
      <c r="AK2335" t="str">
        <f>T("1500")</f>
        <v>1500</v>
      </c>
    </row>
    <row r="2336" spans="1:37" x14ac:dyDescent="0.3">
      <c r="A2336" t="s">
        <v>7251</v>
      </c>
      <c r="B2336" t="s">
        <v>7252</v>
      </c>
      <c r="C2336" t="s">
        <v>7253</v>
      </c>
      <c r="D2336" t="s">
        <v>7</v>
      </c>
      <c r="AG2336" t="str">
        <f>T("4545")</f>
        <v>4545</v>
      </c>
      <c r="AH2336" t="str">
        <f>T("24")</f>
        <v>24</v>
      </c>
      <c r="AK2336" t="str">
        <f>T("2092")</f>
        <v>2092</v>
      </c>
    </row>
    <row r="2337" spans="1:37" x14ac:dyDescent="0.3">
      <c r="A2337" t="s">
        <v>7254</v>
      </c>
      <c r="B2337" t="s">
        <v>7255</v>
      </c>
      <c r="C2337" t="s">
        <v>7256</v>
      </c>
      <c r="D2337" t="s">
        <v>7</v>
      </c>
      <c r="AG2337" t="str">
        <f>T("4320")</f>
        <v>4320</v>
      </c>
      <c r="AH2337" t="str">
        <f>T("23")</f>
        <v>23</v>
      </c>
      <c r="AK2337" t="str">
        <f>T("2091")</f>
        <v>2091</v>
      </c>
    </row>
    <row r="2338" spans="1:37" x14ac:dyDescent="0.3">
      <c r="A2338" t="s">
        <v>7257</v>
      </c>
      <c r="B2338" t="s">
        <v>7258</v>
      </c>
      <c r="C2338" t="s">
        <v>7259</v>
      </c>
      <c r="D2338" t="s">
        <v>7</v>
      </c>
      <c r="AG2338" t="str">
        <f>T("4175")</f>
        <v>4175</v>
      </c>
      <c r="AH2338" t="str">
        <f>T("22")</f>
        <v>22</v>
      </c>
      <c r="AK2338" t="str">
        <f>T("1499")</f>
        <v>1499</v>
      </c>
    </row>
    <row r="2339" spans="1:37" x14ac:dyDescent="0.3">
      <c r="A2339" t="s">
        <v>7260</v>
      </c>
      <c r="B2339" t="s">
        <v>7261</v>
      </c>
      <c r="C2339" t="s">
        <v>7262</v>
      </c>
      <c r="D2339" t="s">
        <v>7</v>
      </c>
      <c r="AG2339" t="str">
        <f>T("4501")</f>
        <v>4501</v>
      </c>
      <c r="AH2339" t="str">
        <f>T("24")</f>
        <v>24</v>
      </c>
      <c r="AK2339" t="str">
        <f>T("2095")</f>
        <v>2095</v>
      </c>
    </row>
    <row r="2340" spans="1:37" x14ac:dyDescent="0.3">
      <c r="A2340" t="s">
        <v>7263</v>
      </c>
      <c r="B2340" t="s">
        <v>7264</v>
      </c>
      <c r="C2340" t="s">
        <v>7265</v>
      </c>
      <c r="D2340" t="s">
        <v>7</v>
      </c>
      <c r="AG2340" t="str">
        <f>T("4056")</f>
        <v>4056</v>
      </c>
      <c r="AH2340" t="str">
        <f>T("21")</f>
        <v>21</v>
      </c>
      <c r="AK2340" t="str">
        <f>T("1525")</f>
        <v>1525</v>
      </c>
    </row>
    <row r="2341" spans="1:37" x14ac:dyDescent="0.3">
      <c r="A2341" t="s">
        <v>7266</v>
      </c>
      <c r="B2341" t="s">
        <v>7267</v>
      </c>
      <c r="C2341" t="s">
        <v>7268</v>
      </c>
      <c r="D2341" t="s">
        <v>7</v>
      </c>
      <c r="AG2341" t="str">
        <f>T("3570")</f>
        <v>3570</v>
      </c>
      <c r="AH2341" t="str">
        <f>T("11")</f>
        <v>11</v>
      </c>
      <c r="AK2341" t="str">
        <f>T("1085")</f>
        <v>1085</v>
      </c>
    </row>
    <row r="2342" spans="1:37" x14ac:dyDescent="0.3">
      <c r="A2342" t="s">
        <v>7269</v>
      </c>
      <c r="B2342" t="s">
        <v>7270</v>
      </c>
      <c r="C2342" t="s">
        <v>7271</v>
      </c>
      <c r="D2342" t="s">
        <v>7</v>
      </c>
      <c r="AG2342" t="str">
        <f>T("3571")</f>
        <v>3571</v>
      </c>
      <c r="AH2342" t="str">
        <f>T("11")</f>
        <v>11</v>
      </c>
      <c r="AK2342" t="str">
        <f>T("1087")</f>
        <v>1087</v>
      </c>
    </row>
    <row r="2343" spans="1:37" x14ac:dyDescent="0.3">
      <c r="A2343" t="s">
        <v>7272</v>
      </c>
      <c r="B2343" t="s">
        <v>7273</v>
      </c>
      <c r="C2343" t="s">
        <v>7274</v>
      </c>
      <c r="D2343" t="s">
        <v>7275</v>
      </c>
      <c r="K2343" t="str">
        <f>T("172.816")</f>
        <v>172.816</v>
      </c>
      <c r="L2343" t="str">
        <f>T("178.3600")</f>
        <v>178.3600</v>
      </c>
    </row>
    <row r="2344" spans="1:37" x14ac:dyDescent="0.3">
      <c r="A2344" t="s">
        <v>7276</v>
      </c>
      <c r="B2344" t="s">
        <v>7277</v>
      </c>
      <c r="C2344" t="s">
        <v>7278</v>
      </c>
      <c r="D2344" t="s">
        <v>15</v>
      </c>
      <c r="K2344" t="str">
        <f>T("172.515")</f>
        <v>172.515</v>
      </c>
      <c r="AG2344" t="str">
        <f>T("3363")</f>
        <v>3363</v>
      </c>
      <c r="AH2344" t="str">
        <f>T("6")</f>
        <v>6</v>
      </c>
      <c r="AK2344" t="str">
        <f>T("1134")</f>
        <v>1134</v>
      </c>
    </row>
    <row r="2345" spans="1:37" x14ac:dyDescent="0.3">
      <c r="A2345" t="s">
        <v>7279</v>
      </c>
      <c r="B2345" t="s">
        <v>7280</v>
      </c>
      <c r="C2345" t="s">
        <v>7281</v>
      </c>
      <c r="D2345" t="s">
        <v>7</v>
      </c>
      <c r="AG2345" t="str">
        <f>T("4498")</f>
        <v>4498</v>
      </c>
      <c r="AH2345" t="str">
        <f>T("24")</f>
        <v>24</v>
      </c>
      <c r="AK2345" t="str">
        <f>T("2174")</f>
        <v>2174</v>
      </c>
    </row>
    <row r="2346" spans="1:37" x14ac:dyDescent="0.3">
      <c r="A2346" t="s">
        <v>7282</v>
      </c>
      <c r="B2346" t="s">
        <v>7283</v>
      </c>
      <c r="C2346" t="s">
        <v>7284</v>
      </c>
      <c r="D2346" t="s">
        <v>15</v>
      </c>
      <c r="K2346" t="str">
        <f>T("172.515")</f>
        <v>172.515</v>
      </c>
      <c r="AG2346" t="str">
        <f>T("2705")</f>
        <v>2705</v>
      </c>
      <c r="AH2346" t="str">
        <f>T("3")</f>
        <v>3</v>
      </c>
      <c r="AK2346" t="str">
        <f>T("167")</f>
        <v>167</v>
      </c>
    </row>
    <row r="2347" spans="1:37" x14ac:dyDescent="0.3">
      <c r="A2347" t="s">
        <v>7285</v>
      </c>
      <c r="B2347" t="s">
        <v>7286</v>
      </c>
      <c r="C2347" t="s">
        <v>7287</v>
      </c>
      <c r="D2347" t="s">
        <v>15</v>
      </c>
      <c r="K2347" t="str">
        <f>T("172.515")</f>
        <v>172.515</v>
      </c>
      <c r="AG2347" t="str">
        <f>T("2706")</f>
        <v>2706</v>
      </c>
      <c r="AH2347" t="str">
        <f>T("3")</f>
        <v>3</v>
      </c>
      <c r="AI2347" t="str">
        <f>T("25")</f>
        <v>25</v>
      </c>
      <c r="AK2347" t="str">
        <f>T("1212")</f>
        <v>1212</v>
      </c>
    </row>
    <row r="2348" spans="1:37" x14ac:dyDescent="0.3">
      <c r="A2348" t="s">
        <v>7288</v>
      </c>
      <c r="B2348" t="s">
        <v>7289</v>
      </c>
      <c r="C2348" t="s">
        <v>7290</v>
      </c>
      <c r="D2348" t="s">
        <v>7</v>
      </c>
      <c r="AG2348" t="str">
        <f>T("4000")</f>
        <v>4000</v>
      </c>
      <c r="AH2348" t="str">
        <f>T("20")</f>
        <v>20</v>
      </c>
      <c r="AK2348" t="str">
        <f>T("1156")</f>
        <v>1156</v>
      </c>
    </row>
    <row r="2349" spans="1:37" x14ac:dyDescent="0.3">
      <c r="A2349" t="s">
        <v>7291</v>
      </c>
      <c r="B2349" t="s">
        <v>7292</v>
      </c>
      <c r="C2349" t="s">
        <v>7293</v>
      </c>
      <c r="D2349" t="s">
        <v>15</v>
      </c>
      <c r="K2349" t="str">
        <f>T("172.515")</f>
        <v>172.515</v>
      </c>
    </row>
    <row r="2350" spans="1:37" x14ac:dyDescent="0.3">
      <c r="A2350" t="s">
        <v>7294</v>
      </c>
      <c r="B2350" t="s">
        <v>7295</v>
      </c>
      <c r="C2350" t="s">
        <v>7296</v>
      </c>
      <c r="D2350" t="s">
        <v>7</v>
      </c>
      <c r="AG2350" t="str">
        <f>T("3761")</f>
        <v>3761</v>
      </c>
      <c r="AH2350" t="s">
        <v>7297</v>
      </c>
      <c r="AK2350" t="str">
        <f>T("1133")</f>
        <v>1133</v>
      </c>
    </row>
    <row r="2351" spans="1:37" x14ac:dyDescent="0.3">
      <c r="A2351" t="s">
        <v>7298</v>
      </c>
      <c r="B2351" t="s">
        <v>7299</v>
      </c>
      <c r="C2351" t="s">
        <v>7300</v>
      </c>
      <c r="D2351" t="s">
        <v>7</v>
      </c>
      <c r="AG2351" t="str">
        <f>T("4001")</f>
        <v>4001</v>
      </c>
      <c r="AH2351" t="str">
        <f>T("20")</f>
        <v>20</v>
      </c>
      <c r="AK2351" t="str">
        <f>T("1138")</f>
        <v>1138</v>
      </c>
    </row>
    <row r="2352" spans="1:37" x14ac:dyDescent="0.3">
      <c r="A2352" t="s">
        <v>7301</v>
      </c>
      <c r="B2352" t="s">
        <v>7302</v>
      </c>
      <c r="C2352" t="s">
        <v>7303</v>
      </c>
      <c r="D2352" t="s">
        <v>3104</v>
      </c>
      <c r="K2352" t="str">
        <f>T("172.515")</f>
        <v>172.515</v>
      </c>
      <c r="AG2352" t="str">
        <f>T("2707")</f>
        <v>2707</v>
      </c>
      <c r="AH2352" t="str">
        <f>T("3")</f>
        <v>3</v>
      </c>
      <c r="AK2352" t="str">
        <f>T("1120")</f>
        <v>1120</v>
      </c>
    </row>
    <row r="2353" spans="1:37" x14ac:dyDescent="0.3">
      <c r="A2353" t="s">
        <v>7304</v>
      </c>
      <c r="B2353" t="s">
        <v>7305</v>
      </c>
      <c r="C2353" t="s">
        <v>7306</v>
      </c>
      <c r="D2353" t="s">
        <v>7</v>
      </c>
      <c r="AG2353" t="str">
        <f>T("4400")</f>
        <v>4400</v>
      </c>
      <c r="AH2353" t="str">
        <f>T("23")</f>
        <v>23</v>
      </c>
      <c r="AK2353" t="str">
        <f>T("2075")</f>
        <v>2075</v>
      </c>
    </row>
    <row r="2354" spans="1:37" x14ac:dyDescent="0.3">
      <c r="A2354" t="s">
        <v>7307</v>
      </c>
      <c r="B2354" t="s">
        <v>7308</v>
      </c>
      <c r="C2354" t="s">
        <v>7309</v>
      </c>
      <c r="D2354" t="s">
        <v>7</v>
      </c>
      <c r="AG2354" t="str">
        <f>T("4177")</f>
        <v>4177</v>
      </c>
      <c r="AH2354" t="str">
        <f>T("22")</f>
        <v>22</v>
      </c>
      <c r="AK2354" t="str">
        <f>T("1838")</f>
        <v>1838</v>
      </c>
    </row>
    <row r="2355" spans="1:37" x14ac:dyDescent="0.3">
      <c r="A2355" t="s">
        <v>7310</v>
      </c>
      <c r="B2355" t="s">
        <v>7311</v>
      </c>
      <c r="C2355" t="s">
        <v>7312</v>
      </c>
      <c r="D2355" t="s">
        <v>7</v>
      </c>
      <c r="AG2355" t="str">
        <f>T("4261")</f>
        <v>4261</v>
      </c>
      <c r="AH2355" t="str">
        <f>T("23")</f>
        <v>23</v>
      </c>
      <c r="AK2355" t="str">
        <f>T("2173")</f>
        <v>2173</v>
      </c>
    </row>
    <row r="2356" spans="1:37" x14ac:dyDescent="0.3">
      <c r="A2356" t="s">
        <v>7313</v>
      </c>
      <c r="B2356" t="s">
        <v>7314</v>
      </c>
      <c r="C2356" t="s">
        <v>7315</v>
      </c>
      <c r="D2356" t="s">
        <v>15</v>
      </c>
      <c r="AG2356" t="str">
        <f>T("3190")</f>
        <v>3190</v>
      </c>
      <c r="AH2356" t="str">
        <f>T("4")</f>
        <v>4</v>
      </c>
      <c r="AI2356" t="str">
        <f>T("25")</f>
        <v>25</v>
      </c>
      <c r="AK2356" t="str">
        <f>T("414")</f>
        <v>414</v>
      </c>
    </row>
    <row r="2357" spans="1:37" x14ac:dyDescent="0.3">
      <c r="A2357" t="s">
        <v>7316</v>
      </c>
      <c r="B2357" t="s">
        <v>7317</v>
      </c>
      <c r="C2357" t="s">
        <v>7318</v>
      </c>
      <c r="D2357" t="s">
        <v>7</v>
      </c>
      <c r="AG2357" t="str">
        <f>T("3862")</f>
        <v>3862</v>
      </c>
      <c r="AH2357" t="str">
        <f>T("18")</f>
        <v>18</v>
      </c>
      <c r="AK2357" t="str">
        <f>T("489")</f>
        <v>489</v>
      </c>
    </row>
    <row r="2358" spans="1:37" x14ac:dyDescent="0.3">
      <c r="A2358" t="s">
        <v>7319</v>
      </c>
      <c r="B2358" t="s">
        <v>7320</v>
      </c>
      <c r="C2358" t="s">
        <v>7321</v>
      </c>
      <c r="D2358" t="s">
        <v>15</v>
      </c>
      <c r="K2358" t="str">
        <f>T("172.515")</f>
        <v>172.515</v>
      </c>
      <c r="AG2358" t="str">
        <f>T("2708")</f>
        <v>2708</v>
      </c>
      <c r="AH2358" t="str">
        <f>T("3")</f>
        <v>3</v>
      </c>
      <c r="AI2358" t="str">
        <f>T("25")</f>
        <v>25</v>
      </c>
      <c r="AK2358" t="str">
        <f>T("1871")</f>
        <v>1871</v>
      </c>
    </row>
    <row r="2359" spans="1:37" x14ac:dyDescent="0.3">
      <c r="A2359" t="s">
        <v>7322</v>
      </c>
      <c r="B2359" t="s">
        <v>7323</v>
      </c>
      <c r="C2359" t="s">
        <v>7324</v>
      </c>
      <c r="D2359" t="s">
        <v>15</v>
      </c>
      <c r="AG2359" t="str">
        <f>T("3191")</f>
        <v>3191</v>
      </c>
      <c r="AH2359" t="str">
        <f>T("4")</f>
        <v>4</v>
      </c>
      <c r="AI2359" t="str">
        <f>T("25")</f>
        <v>25</v>
      </c>
      <c r="AK2359" t="str">
        <f>T("265")</f>
        <v>265</v>
      </c>
    </row>
    <row r="2360" spans="1:37" x14ac:dyDescent="0.3">
      <c r="A2360" t="s">
        <v>7325</v>
      </c>
      <c r="B2360" t="s">
        <v>7326</v>
      </c>
      <c r="C2360" t="s">
        <v>7327</v>
      </c>
      <c r="D2360" t="s">
        <v>7</v>
      </c>
      <c r="AG2360" t="str">
        <f>T("3572")</f>
        <v>3572</v>
      </c>
      <c r="AH2360" t="str">
        <f>T("11")</f>
        <v>11</v>
      </c>
      <c r="AK2360" t="str">
        <f>T("266")</f>
        <v>266</v>
      </c>
    </row>
    <row r="2361" spans="1:37" x14ac:dyDescent="0.3">
      <c r="A2361" t="s">
        <v>7328</v>
      </c>
      <c r="B2361" t="s">
        <v>7329</v>
      </c>
      <c r="C2361" t="s">
        <v>7330</v>
      </c>
      <c r="D2361" t="s">
        <v>15</v>
      </c>
      <c r="K2361" t="str">
        <f>T("172.515")</f>
        <v>172.515</v>
      </c>
      <c r="AG2361" t="str">
        <f>T("2709")</f>
        <v>2709</v>
      </c>
      <c r="AH2361" t="str">
        <f>T("3")</f>
        <v>3</v>
      </c>
      <c r="AK2361" t="str">
        <f>T("1809")</f>
        <v>1809</v>
      </c>
    </row>
    <row r="2362" spans="1:37" x14ac:dyDescent="0.3">
      <c r="A2362" t="s">
        <v>7331</v>
      </c>
      <c r="B2362" t="s">
        <v>7332</v>
      </c>
      <c r="C2362" t="s">
        <v>7333</v>
      </c>
      <c r="D2362" t="s">
        <v>15</v>
      </c>
      <c r="AG2362" t="str">
        <f>T("3364")</f>
        <v>3364</v>
      </c>
      <c r="AH2362" t="str">
        <f>T("6")</f>
        <v>6</v>
      </c>
      <c r="AK2362" t="str">
        <f>T("334")</f>
        <v>334</v>
      </c>
    </row>
    <row r="2363" spans="1:37" x14ac:dyDescent="0.3">
      <c r="A2363" t="s">
        <v>7334</v>
      </c>
      <c r="B2363" t="s">
        <v>7335</v>
      </c>
      <c r="C2363" t="s">
        <v>7336</v>
      </c>
      <c r="D2363" t="s">
        <v>7</v>
      </c>
      <c r="AG2363" t="str">
        <f>T("4164")</f>
        <v>4164</v>
      </c>
      <c r="AH2363" t="str">
        <f>T("22")</f>
        <v>22</v>
      </c>
      <c r="AK2363" t="str">
        <f>T("1624")</f>
        <v>1624</v>
      </c>
    </row>
    <row r="2364" spans="1:37" x14ac:dyDescent="0.3">
      <c r="A2364" t="s">
        <v>7337</v>
      </c>
      <c r="B2364" t="s">
        <v>7338</v>
      </c>
      <c r="C2364" t="s">
        <v>7339</v>
      </c>
      <c r="D2364" t="s">
        <v>15</v>
      </c>
      <c r="AG2364" t="str">
        <f>T("3409")</f>
        <v>3409</v>
      </c>
      <c r="AH2364" t="str">
        <f>T("7")</f>
        <v>7</v>
      </c>
      <c r="AK2364" t="str">
        <f>T("1132")</f>
        <v>1132</v>
      </c>
    </row>
    <row r="2365" spans="1:37" x14ac:dyDescent="0.3">
      <c r="A2365" t="s">
        <v>7340</v>
      </c>
      <c r="B2365" t="s">
        <v>7341</v>
      </c>
      <c r="C2365" t="s">
        <v>7342</v>
      </c>
      <c r="D2365" t="s">
        <v>7</v>
      </c>
      <c r="AG2365" t="str">
        <f>T("3365")</f>
        <v>3365</v>
      </c>
      <c r="AH2365" t="str">
        <f>T("6")</f>
        <v>6</v>
      </c>
      <c r="AK2365" t="str">
        <f>T("1119")</f>
        <v>1119</v>
      </c>
    </row>
    <row r="2366" spans="1:37" x14ac:dyDescent="0.3">
      <c r="A2366" t="s">
        <v>7343</v>
      </c>
      <c r="B2366" t="s">
        <v>7344</v>
      </c>
      <c r="D2366" t="s">
        <v>7</v>
      </c>
      <c r="AG2366" t="str">
        <f>T("4346")</f>
        <v>4346</v>
      </c>
      <c r="AH2366" t="str">
        <f>T("23")</f>
        <v>23</v>
      </c>
    </row>
    <row r="2367" spans="1:37" x14ac:dyDescent="0.3">
      <c r="A2367" t="s">
        <v>7345</v>
      </c>
      <c r="B2367" t="s">
        <v>7346</v>
      </c>
      <c r="C2367" t="s">
        <v>7347</v>
      </c>
      <c r="D2367" t="s">
        <v>7</v>
      </c>
      <c r="AG2367" t="str">
        <f>T("4291")</f>
        <v>4291</v>
      </c>
      <c r="AH2367" t="str">
        <f>T("23")</f>
        <v>23</v>
      </c>
      <c r="AK2367" t="str">
        <f>T("2138")</f>
        <v>2138</v>
      </c>
    </row>
    <row r="2368" spans="1:37" x14ac:dyDescent="0.3">
      <c r="A2368" t="s">
        <v>7348</v>
      </c>
      <c r="B2368" t="s">
        <v>7349</v>
      </c>
      <c r="C2368" t="s">
        <v>7350</v>
      </c>
      <c r="D2368" t="s">
        <v>7</v>
      </c>
      <c r="AG2368" t="str">
        <f>T("4332")</f>
        <v>4332</v>
      </c>
      <c r="AH2368" t="str">
        <f>T("23")</f>
        <v>23</v>
      </c>
      <c r="AK2368" t="str">
        <f>T("2152")</f>
        <v>2152</v>
      </c>
    </row>
    <row r="2369" spans="1:37" x14ac:dyDescent="0.3">
      <c r="A2369" t="s">
        <v>7351</v>
      </c>
      <c r="B2369" t="s">
        <v>7352</v>
      </c>
      <c r="C2369" t="s">
        <v>7353</v>
      </c>
      <c r="D2369" t="s">
        <v>7</v>
      </c>
      <c r="AG2369" t="str">
        <f>T("4450")</f>
        <v>4450</v>
      </c>
      <c r="AH2369" t="str">
        <f>T("24")</f>
        <v>24</v>
      </c>
      <c r="AK2369" t="str">
        <f>T("1947")</f>
        <v>1947</v>
      </c>
    </row>
    <row r="2370" spans="1:37" x14ac:dyDescent="0.3">
      <c r="A2370" t="s">
        <v>7354</v>
      </c>
      <c r="B2370" t="s">
        <v>7355</v>
      </c>
      <c r="C2370" t="s">
        <v>7356</v>
      </c>
      <c r="D2370" t="s">
        <v>15</v>
      </c>
      <c r="AG2370" t="str">
        <f>T("3508")</f>
        <v>3508</v>
      </c>
      <c r="AH2370" t="str">
        <f>T("10")</f>
        <v>10</v>
      </c>
      <c r="AK2370" t="str">
        <f>T("600")</f>
        <v>600</v>
      </c>
    </row>
    <row r="2371" spans="1:37" x14ac:dyDescent="0.3">
      <c r="A2371" t="s">
        <v>7357</v>
      </c>
      <c r="B2371" t="s">
        <v>7358</v>
      </c>
      <c r="C2371" t="s">
        <v>7359</v>
      </c>
      <c r="D2371" t="s">
        <v>7</v>
      </c>
      <c r="AG2371" t="str">
        <f>T("3706")</f>
        <v>3706</v>
      </c>
      <c r="AH2371" t="str">
        <f>T("13")</f>
        <v>13</v>
      </c>
      <c r="AK2371" t="str">
        <f>T("590")</f>
        <v>590</v>
      </c>
    </row>
    <row r="2372" spans="1:37" x14ac:dyDescent="0.3">
      <c r="A2372" t="s">
        <v>7360</v>
      </c>
      <c r="B2372" t="s">
        <v>7361</v>
      </c>
      <c r="C2372" t="s">
        <v>7362</v>
      </c>
      <c r="D2372" t="s">
        <v>15</v>
      </c>
      <c r="AG2372" t="str">
        <f>T("3509")</f>
        <v>3509</v>
      </c>
      <c r="AH2372" t="str">
        <f>T("10")</f>
        <v>10</v>
      </c>
      <c r="AK2372" t="str">
        <f>T("547")</f>
        <v>547</v>
      </c>
    </row>
    <row r="2373" spans="1:37" x14ac:dyDescent="0.3">
      <c r="A2373" t="s">
        <v>7363</v>
      </c>
      <c r="B2373" t="s">
        <v>7364</v>
      </c>
      <c r="C2373" t="s">
        <v>7365</v>
      </c>
      <c r="D2373" t="s">
        <v>15</v>
      </c>
      <c r="K2373" t="str">
        <f>T("172.515")</f>
        <v>172.515</v>
      </c>
      <c r="AG2373" t="str">
        <f>T("2712")</f>
        <v>2712</v>
      </c>
      <c r="AH2373" t="str">
        <f>T("3")</f>
        <v>3</v>
      </c>
      <c r="AK2373" t="str">
        <f>T("399")</f>
        <v>399</v>
      </c>
    </row>
    <row r="2374" spans="1:37" x14ac:dyDescent="0.3">
      <c r="A2374" t="s">
        <v>7366</v>
      </c>
      <c r="B2374" t="s">
        <v>7367</v>
      </c>
      <c r="C2374" t="s">
        <v>7368</v>
      </c>
      <c r="D2374" t="s">
        <v>7</v>
      </c>
      <c r="AG2374" t="str">
        <f>T("4586")</f>
        <v>4586</v>
      </c>
      <c r="AH2374" t="str">
        <f>T("24")</f>
        <v>24</v>
      </c>
      <c r="AK2374" t="str">
        <f>T("1937")</f>
        <v>1937</v>
      </c>
    </row>
    <row r="2375" spans="1:37" x14ac:dyDescent="0.3">
      <c r="A2375" t="s">
        <v>7369</v>
      </c>
      <c r="B2375" t="s">
        <v>7370</v>
      </c>
      <c r="C2375" t="s">
        <v>7371</v>
      </c>
      <c r="D2375" t="s">
        <v>7</v>
      </c>
      <c r="K2375" t="str">
        <f>T("172.515")</f>
        <v>172.515</v>
      </c>
      <c r="L2375" t="str">
        <f>T("172.842")</f>
        <v>172.842</v>
      </c>
      <c r="M2375" t="str">
        <f>T("175.105")</f>
        <v>175.105</v>
      </c>
      <c r="N2375" t="str">
        <f>T("176.180")</f>
        <v>176.180</v>
      </c>
      <c r="O2375" t="str">
        <f>T("176.200")</f>
        <v>176.200</v>
      </c>
      <c r="P2375" t="str">
        <f>T("176.210")</f>
        <v>176.210</v>
      </c>
      <c r="Q2375" t="str">
        <f>T("177.1650")</f>
        <v>177.1650</v>
      </c>
      <c r="AG2375" t="str">
        <f>T("2731")</f>
        <v>2731</v>
      </c>
      <c r="AH2375" t="str">
        <f>T("3")</f>
        <v>3</v>
      </c>
      <c r="AI2375" t="str">
        <f>T("25")</f>
        <v>25</v>
      </c>
      <c r="AK2375" t="str">
        <f>T("301")</f>
        <v>301</v>
      </c>
    </row>
    <row r="2376" spans="1:37" x14ac:dyDescent="0.3">
      <c r="A2376" t="s">
        <v>7372</v>
      </c>
      <c r="B2376" t="s">
        <v>7373</v>
      </c>
      <c r="C2376" t="s">
        <v>7374</v>
      </c>
      <c r="D2376" t="s">
        <v>15</v>
      </c>
      <c r="K2376" t="str">
        <f>T("172.515")</f>
        <v>172.515</v>
      </c>
      <c r="AG2376" t="str">
        <f>T("2694")</f>
        <v>2694</v>
      </c>
      <c r="AH2376" t="str">
        <f>T("3")</f>
        <v>3</v>
      </c>
      <c r="AK2376" t="str">
        <f>T("185")</f>
        <v>185</v>
      </c>
    </row>
    <row r="2377" spans="1:37" x14ac:dyDescent="0.3">
      <c r="A2377" t="s">
        <v>7375</v>
      </c>
      <c r="B2377" t="s">
        <v>7376</v>
      </c>
      <c r="C2377" t="s">
        <v>7377</v>
      </c>
      <c r="D2377" t="s">
        <v>7</v>
      </c>
      <c r="AG2377" t="str">
        <f>T("4168")</f>
        <v>4168</v>
      </c>
      <c r="AH2377" t="str">
        <f>T("22")</f>
        <v>22</v>
      </c>
      <c r="AK2377" t="str">
        <f>T("1696")</f>
        <v>1696</v>
      </c>
    </row>
    <row r="2378" spans="1:37" x14ac:dyDescent="0.3">
      <c r="A2378" t="s">
        <v>7378</v>
      </c>
      <c r="B2378" t="s">
        <v>7379</v>
      </c>
      <c r="C2378" t="s">
        <v>7380</v>
      </c>
      <c r="D2378" t="s">
        <v>7</v>
      </c>
      <c r="AG2378" t="str">
        <f>T("3554")</f>
        <v>3554</v>
      </c>
      <c r="AH2378" t="str">
        <f>T("11")</f>
        <v>11</v>
      </c>
      <c r="AI2378" t="str">
        <f>T("25")</f>
        <v>25</v>
      </c>
      <c r="AK2378" t="str">
        <f>T("772")</f>
        <v>772</v>
      </c>
    </row>
    <row r="2379" spans="1:37" x14ac:dyDescent="0.3">
      <c r="A2379" t="s">
        <v>7381</v>
      </c>
      <c r="B2379" t="s">
        <v>7382</v>
      </c>
      <c r="C2379" t="s">
        <v>7383</v>
      </c>
      <c r="D2379" t="s">
        <v>7</v>
      </c>
      <c r="AG2379" t="str">
        <f>T("4426")</f>
        <v>4426</v>
      </c>
      <c r="AH2379" t="str">
        <f>T("23")</f>
        <v>23</v>
      </c>
      <c r="AK2379" t="str">
        <f>T("1884")</f>
        <v>1884</v>
      </c>
    </row>
    <row r="2380" spans="1:37" x14ac:dyDescent="0.3">
      <c r="A2380" t="s">
        <v>7384</v>
      </c>
      <c r="B2380" t="s">
        <v>7385</v>
      </c>
      <c r="C2380" t="s">
        <v>7386</v>
      </c>
      <c r="D2380" t="s">
        <v>15</v>
      </c>
      <c r="K2380" t="str">
        <f>T("172.515")</f>
        <v>172.515</v>
      </c>
      <c r="AG2380" t="str">
        <f>T("2753")</f>
        <v>2753</v>
      </c>
      <c r="AH2380" t="str">
        <f>T("3")</f>
        <v>3</v>
      </c>
      <c r="AK2380" t="str">
        <f>T("195")</f>
        <v>195</v>
      </c>
    </row>
    <row r="2381" spans="1:37" x14ac:dyDescent="0.3">
      <c r="A2381" t="s">
        <v>7387</v>
      </c>
      <c r="B2381" t="s">
        <v>7388</v>
      </c>
      <c r="C2381" t="s">
        <v>7389</v>
      </c>
      <c r="D2381" t="s">
        <v>15</v>
      </c>
      <c r="AG2381" t="str">
        <f>T("3410")</f>
        <v>3410</v>
      </c>
      <c r="AH2381" t="str">
        <f>T("7")</f>
        <v>7</v>
      </c>
      <c r="AI2381" t="str">
        <f>T("25")</f>
        <v>25</v>
      </c>
      <c r="AK2381" t="str">
        <f>T("1400")</f>
        <v>1400</v>
      </c>
    </row>
    <row r="2382" spans="1:37" x14ac:dyDescent="0.3">
      <c r="A2382" t="s">
        <v>7390</v>
      </c>
      <c r="B2382" t="s">
        <v>7391</v>
      </c>
      <c r="C2382" t="s">
        <v>7392</v>
      </c>
      <c r="D2382" t="s">
        <v>7</v>
      </c>
      <c r="K2382" t="str">
        <f>T("172.515")</f>
        <v>172.515</v>
      </c>
      <c r="AG2382" t="str">
        <f>T("2715")</f>
        <v>2715</v>
      </c>
      <c r="AH2382" t="str">
        <f>T("3")</f>
        <v>3</v>
      </c>
      <c r="AK2382" t="str">
        <f>T("180")</f>
        <v>180</v>
      </c>
    </row>
    <row r="2383" spans="1:37" x14ac:dyDescent="0.3">
      <c r="A2383" t="s">
        <v>7393</v>
      </c>
      <c r="B2383" t="s">
        <v>7394</v>
      </c>
      <c r="C2383" t="s">
        <v>7395</v>
      </c>
      <c r="D2383" t="s">
        <v>7</v>
      </c>
      <c r="AG2383" t="str">
        <f>T("4478")</f>
        <v>4478</v>
      </c>
      <c r="AH2383" t="str">
        <f>T("24")</f>
        <v>24</v>
      </c>
      <c r="AK2383" t="str">
        <f>T("1970")</f>
        <v>1970</v>
      </c>
    </row>
    <row r="2384" spans="1:37" x14ac:dyDescent="0.3">
      <c r="A2384" t="s">
        <v>7396</v>
      </c>
      <c r="B2384" t="s">
        <v>7397</v>
      </c>
      <c r="C2384" t="s">
        <v>7398</v>
      </c>
      <c r="D2384" t="s">
        <v>15</v>
      </c>
      <c r="AG2384" t="str">
        <f>T("3411")</f>
        <v>3411</v>
      </c>
      <c r="AH2384" t="str">
        <f>T("7")</f>
        <v>7</v>
      </c>
      <c r="AI2384" t="str">
        <f>T("25")</f>
        <v>25</v>
      </c>
      <c r="AK2384" t="str">
        <f>T("346")</f>
        <v>346</v>
      </c>
    </row>
    <row r="2385" spans="1:37" x14ac:dyDescent="0.3">
      <c r="A2385" t="s">
        <v>7399</v>
      </c>
      <c r="B2385" t="s">
        <v>7400</v>
      </c>
      <c r="C2385" t="s">
        <v>7401</v>
      </c>
      <c r="D2385" t="s">
        <v>15</v>
      </c>
      <c r="K2385" t="str">
        <f>T("172.515")</f>
        <v>172.515</v>
      </c>
      <c r="AG2385" t="str">
        <f>T("2716")</f>
        <v>2716</v>
      </c>
      <c r="AH2385" t="str">
        <f>T("3")</f>
        <v>3</v>
      </c>
      <c r="AK2385" t="str">
        <f>T("508")</f>
        <v>508</v>
      </c>
    </row>
    <row r="2386" spans="1:37" x14ac:dyDescent="0.3">
      <c r="A2386" t="s">
        <v>7402</v>
      </c>
      <c r="B2386" t="s">
        <v>7403</v>
      </c>
      <c r="C2386" t="s">
        <v>7404</v>
      </c>
      <c r="D2386" t="s">
        <v>7</v>
      </c>
      <c r="AG2386" t="str">
        <f>T("4167")</f>
        <v>4167</v>
      </c>
      <c r="AH2386" t="str">
        <f>T("22")</f>
        <v>22</v>
      </c>
      <c r="AK2386" t="str">
        <f>T("1674")</f>
        <v>1674</v>
      </c>
    </row>
    <row r="2387" spans="1:37" x14ac:dyDescent="0.3">
      <c r="A2387" t="s">
        <v>7405</v>
      </c>
      <c r="B2387" t="s">
        <v>7406</v>
      </c>
      <c r="C2387" t="s">
        <v>7407</v>
      </c>
      <c r="D2387" t="s">
        <v>7</v>
      </c>
      <c r="K2387" t="str">
        <f>T("175.105")</f>
        <v>175.105</v>
      </c>
      <c r="L2387" t="str">
        <f>T("175.300")</f>
        <v>175.300</v>
      </c>
      <c r="M2387" t="str">
        <f>T("175.320")</f>
        <v>175.320</v>
      </c>
      <c r="N2387" t="str">
        <f>T("175.360")</f>
        <v>175.360</v>
      </c>
      <c r="O2387" t="str">
        <f>T("176.170")</f>
        <v>176.170</v>
      </c>
      <c r="P2387" t="str">
        <f>T("176.180")</f>
        <v>176.180</v>
      </c>
      <c r="Q2387" t="str">
        <f>T("177.1010")</f>
        <v>177.1010</v>
      </c>
      <c r="R2387" t="str">
        <f>T("177.1030")</f>
        <v>177.1030</v>
      </c>
      <c r="S2387" t="str">
        <f>T("177.1200")</f>
        <v>177.1200</v>
      </c>
      <c r="T2387" t="str">
        <f>T("177.1630")</f>
        <v>177.1630</v>
      </c>
      <c r="U2387" t="str">
        <f>T("177.1830")</f>
        <v>177.1830</v>
      </c>
      <c r="V2387" t="str">
        <f>T("177.2000")</f>
        <v>177.2000</v>
      </c>
      <c r="W2387" t="str">
        <f>T("177.2420")</f>
        <v>177.2420</v>
      </c>
      <c r="X2387" t="str">
        <f>T("177.2465")</f>
        <v>177.2465</v>
      </c>
      <c r="AG2387" t="str">
        <f>T("4002")</f>
        <v>4002</v>
      </c>
      <c r="AH2387" t="str">
        <f>T("20")</f>
        <v>20</v>
      </c>
      <c r="AK2387" t="str">
        <f>T("1834")</f>
        <v>1834</v>
      </c>
    </row>
    <row r="2388" spans="1:37" x14ac:dyDescent="0.3">
      <c r="A2388" t="s">
        <v>7408</v>
      </c>
      <c r="B2388" t="s">
        <v>7409</v>
      </c>
      <c r="C2388" t="s">
        <v>7410</v>
      </c>
      <c r="D2388" t="s">
        <v>7</v>
      </c>
      <c r="K2388" t="str">
        <f>T("172.515")</f>
        <v>172.515</v>
      </c>
      <c r="AG2388" t="str">
        <f>T("2717")</f>
        <v>2717</v>
      </c>
      <c r="AH2388" t="str">
        <f>T("3")</f>
        <v>3</v>
      </c>
      <c r="AI2388" t="str">
        <f>T("25")</f>
        <v>25</v>
      </c>
      <c r="AK2388" t="str">
        <f>T("880")</f>
        <v>880</v>
      </c>
    </row>
    <row r="2389" spans="1:37" x14ac:dyDescent="0.3">
      <c r="A2389" t="s">
        <v>7411</v>
      </c>
      <c r="B2389" t="s">
        <v>7412</v>
      </c>
      <c r="C2389" t="s">
        <v>7413</v>
      </c>
      <c r="D2389" t="s">
        <v>15</v>
      </c>
      <c r="AG2389" t="str">
        <f>T("3436")</f>
        <v>3436</v>
      </c>
      <c r="AH2389" t="str">
        <f>T("8")</f>
        <v>8</v>
      </c>
      <c r="AK2389" t="str">
        <f>T("1246")</f>
        <v>1246</v>
      </c>
    </row>
    <row r="2390" spans="1:37" x14ac:dyDescent="0.3">
      <c r="A2390" t="s">
        <v>7414</v>
      </c>
      <c r="B2390" t="s">
        <v>7415</v>
      </c>
      <c r="C2390" t="s">
        <v>7416</v>
      </c>
      <c r="D2390" t="s">
        <v>7</v>
      </c>
      <c r="AG2390" t="str">
        <f>T("3192")</f>
        <v>3192</v>
      </c>
      <c r="AH2390" t="str">
        <f>T("4")</f>
        <v>4</v>
      </c>
      <c r="AK2390" t="str">
        <f>T("1057")</f>
        <v>1057</v>
      </c>
    </row>
    <row r="2391" spans="1:37" x14ac:dyDescent="0.3">
      <c r="A2391" t="s">
        <v>7417</v>
      </c>
      <c r="B2391" t="s">
        <v>7418</v>
      </c>
      <c r="C2391" t="s">
        <v>7419</v>
      </c>
      <c r="D2391" t="s">
        <v>15</v>
      </c>
      <c r="K2391" t="str">
        <f>T("172.515")</f>
        <v>172.515</v>
      </c>
      <c r="AG2391" t="str">
        <f>T("2718")</f>
        <v>2718</v>
      </c>
      <c r="AH2391" t="str">
        <f>T("3")</f>
        <v>3</v>
      </c>
      <c r="AK2391" t="str">
        <f>T("1545")</f>
        <v>1545</v>
      </c>
    </row>
    <row r="2392" spans="1:37" x14ac:dyDescent="0.3">
      <c r="A2392" t="s">
        <v>7420</v>
      </c>
      <c r="B2392" t="s">
        <v>7421</v>
      </c>
      <c r="C2392" t="s">
        <v>7422</v>
      </c>
      <c r="D2392" t="s">
        <v>7</v>
      </c>
      <c r="AG2392" t="str">
        <f>T("3864")</f>
        <v>3864</v>
      </c>
      <c r="AH2392" t="str">
        <f>T("18")</f>
        <v>18</v>
      </c>
      <c r="AK2392" t="str">
        <f>T("487")</f>
        <v>487</v>
      </c>
    </row>
    <row r="2393" spans="1:37" x14ac:dyDescent="0.3">
      <c r="A2393" t="s">
        <v>7423</v>
      </c>
      <c r="B2393" t="s">
        <v>7424</v>
      </c>
      <c r="C2393" t="s">
        <v>7425</v>
      </c>
      <c r="D2393" t="s">
        <v>7</v>
      </c>
      <c r="AG2393" t="str">
        <f>T("3865")</f>
        <v>3865</v>
      </c>
      <c r="AH2393" t="str">
        <f>T("18")</f>
        <v>18</v>
      </c>
      <c r="AK2393" t="str">
        <f>T("571")</f>
        <v>571</v>
      </c>
    </row>
    <row r="2394" spans="1:37" x14ac:dyDescent="0.3">
      <c r="A2394" t="s">
        <v>7426</v>
      </c>
      <c r="B2394" t="s">
        <v>7427</v>
      </c>
      <c r="C2394" t="s">
        <v>7428</v>
      </c>
      <c r="D2394" t="s">
        <v>7</v>
      </c>
      <c r="AG2394" t="str">
        <f>T("4174")</f>
        <v>4174</v>
      </c>
      <c r="AH2394" t="str">
        <f>T("22")</f>
        <v>22</v>
      </c>
      <c r="AK2394" t="str">
        <f>T("1494")</f>
        <v>1494</v>
      </c>
    </row>
    <row r="2395" spans="1:37" x14ac:dyDescent="0.3">
      <c r="A2395" t="s">
        <v>7429</v>
      </c>
      <c r="B2395" t="s">
        <v>7430</v>
      </c>
      <c r="C2395" t="s">
        <v>7431</v>
      </c>
      <c r="D2395" t="s">
        <v>7</v>
      </c>
      <c r="K2395" t="str">
        <f>T("172.515")</f>
        <v>172.515</v>
      </c>
      <c r="AG2395" t="str">
        <f>T("2719")</f>
        <v>2719</v>
      </c>
      <c r="AH2395" t="str">
        <f>T("3")</f>
        <v>3</v>
      </c>
      <c r="AK2395" t="str">
        <f>T("205")</f>
        <v>205</v>
      </c>
    </row>
    <row r="2396" spans="1:37" x14ac:dyDescent="0.3">
      <c r="A2396" t="s">
        <v>7432</v>
      </c>
      <c r="B2396" t="s">
        <v>7433</v>
      </c>
      <c r="C2396" t="s">
        <v>7434</v>
      </c>
      <c r="D2396" t="s">
        <v>7</v>
      </c>
      <c r="AG2396" t="str">
        <f>T("3573")</f>
        <v>3573</v>
      </c>
      <c r="AH2396" t="str">
        <f>T("11")</f>
        <v>11</v>
      </c>
      <c r="AK2396" t="str">
        <f>T("1064")</f>
        <v>1064</v>
      </c>
    </row>
    <row r="2397" spans="1:37" x14ac:dyDescent="0.3">
      <c r="A2397" t="s">
        <v>7435</v>
      </c>
      <c r="B2397" t="s">
        <v>7436</v>
      </c>
      <c r="C2397" t="s">
        <v>7437</v>
      </c>
      <c r="D2397" t="s">
        <v>7</v>
      </c>
      <c r="AG2397" t="str">
        <f>T("3867")</f>
        <v>3867</v>
      </c>
      <c r="AH2397" t="str">
        <f>T("18")</f>
        <v>18</v>
      </c>
      <c r="AK2397" t="str">
        <f>T("488")</f>
        <v>488</v>
      </c>
    </row>
    <row r="2398" spans="1:37" x14ac:dyDescent="0.3">
      <c r="A2398" t="s">
        <v>7438</v>
      </c>
      <c r="B2398" t="s">
        <v>7439</v>
      </c>
      <c r="C2398" t="s">
        <v>7440</v>
      </c>
      <c r="D2398" t="s">
        <v>7</v>
      </c>
      <c r="AG2398" t="str">
        <f>T("3707")</f>
        <v>3707</v>
      </c>
      <c r="AH2398" t="str">
        <f>T("13")</f>
        <v>13</v>
      </c>
      <c r="AK2398" t="str">
        <f>T("213")</f>
        <v>213</v>
      </c>
    </row>
    <row r="2399" spans="1:37" x14ac:dyDescent="0.3">
      <c r="A2399" t="s">
        <v>7441</v>
      </c>
      <c r="B2399" t="s">
        <v>7442</v>
      </c>
      <c r="C2399" t="s">
        <v>7443</v>
      </c>
      <c r="D2399" t="s">
        <v>7</v>
      </c>
      <c r="AG2399" t="str">
        <f>T("4579")</f>
        <v>4579</v>
      </c>
      <c r="AH2399" t="str">
        <f>T("24")</f>
        <v>24</v>
      </c>
      <c r="AK2399" t="str">
        <f>T("1935")</f>
        <v>1935</v>
      </c>
    </row>
    <row r="2400" spans="1:37" x14ac:dyDescent="0.3">
      <c r="A2400" t="s">
        <v>7444</v>
      </c>
      <c r="B2400" t="s">
        <v>7445</v>
      </c>
      <c r="C2400" t="s">
        <v>7446</v>
      </c>
      <c r="D2400" t="s">
        <v>7</v>
      </c>
      <c r="AG2400" t="str">
        <f>T("4003")</f>
        <v>4003</v>
      </c>
      <c r="AH2400" t="str">
        <f>T("20")</f>
        <v>20</v>
      </c>
      <c r="AK2400" t="str">
        <f>T("1691")</f>
        <v>1691</v>
      </c>
    </row>
    <row r="2401" spans="1:37" x14ac:dyDescent="0.3">
      <c r="A2401" t="s">
        <v>7447</v>
      </c>
      <c r="B2401" t="s">
        <v>7448</v>
      </c>
      <c r="C2401" t="s">
        <v>7449</v>
      </c>
      <c r="D2401" t="s">
        <v>7</v>
      </c>
      <c r="AG2401" t="str">
        <f>T("4166")</f>
        <v>4166</v>
      </c>
      <c r="AH2401" t="str">
        <f>T("22")</f>
        <v>22</v>
      </c>
      <c r="AK2401" t="str">
        <f>T("1690")</f>
        <v>1690</v>
      </c>
    </row>
    <row r="2402" spans="1:37" x14ac:dyDescent="0.3">
      <c r="A2402" t="s">
        <v>7450</v>
      </c>
      <c r="B2402" t="s">
        <v>7451</v>
      </c>
      <c r="C2402" t="s">
        <v>7452</v>
      </c>
      <c r="D2402" t="s">
        <v>7</v>
      </c>
      <c r="AG2402" t="str">
        <f>T("4173")</f>
        <v>4173</v>
      </c>
      <c r="AH2402" t="str">
        <f>T("22")</f>
        <v>22</v>
      </c>
      <c r="AK2402" t="str">
        <f>T("1683")</f>
        <v>1683</v>
      </c>
    </row>
    <row r="2403" spans="1:37" x14ac:dyDescent="0.3">
      <c r="A2403" t="s">
        <v>7453</v>
      </c>
      <c r="B2403" t="s">
        <v>7454</v>
      </c>
      <c r="C2403" t="s">
        <v>7455</v>
      </c>
      <c r="D2403" t="s">
        <v>7</v>
      </c>
      <c r="AG2403" t="str">
        <f>T("3708")</f>
        <v>3708</v>
      </c>
      <c r="AH2403" t="str">
        <f>T("13")</f>
        <v>13</v>
      </c>
      <c r="AK2403" t="str">
        <f>T("486")</f>
        <v>486</v>
      </c>
    </row>
    <row r="2404" spans="1:37" x14ac:dyDescent="0.3">
      <c r="A2404" t="s">
        <v>7456</v>
      </c>
      <c r="B2404" t="s">
        <v>7457</v>
      </c>
      <c r="C2404" t="s">
        <v>7458</v>
      </c>
      <c r="D2404" t="s">
        <v>7</v>
      </c>
      <c r="AG2404" t="str">
        <f>T("3412")</f>
        <v>3412</v>
      </c>
      <c r="AH2404" t="str">
        <f>T("7")</f>
        <v>7</v>
      </c>
      <c r="AK2404" t="str">
        <f>T("474")</f>
        <v>474</v>
      </c>
    </row>
    <row r="2405" spans="1:37" x14ac:dyDescent="0.3">
      <c r="A2405" t="s">
        <v>7459</v>
      </c>
      <c r="B2405" t="s">
        <v>7460</v>
      </c>
      <c r="C2405" t="s">
        <v>7461</v>
      </c>
      <c r="D2405" t="s">
        <v>15</v>
      </c>
      <c r="AG2405" t="str">
        <f>T("3366")</f>
        <v>3366</v>
      </c>
      <c r="AH2405" t="s">
        <v>1308</v>
      </c>
      <c r="AK2405" t="str">
        <f>T("1062")</f>
        <v>1062</v>
      </c>
    </row>
    <row r="2406" spans="1:37" x14ac:dyDescent="0.3">
      <c r="A2406" t="s">
        <v>7462</v>
      </c>
      <c r="B2406" t="s">
        <v>7463</v>
      </c>
      <c r="C2406" t="s">
        <v>7464</v>
      </c>
      <c r="D2406" t="s">
        <v>7</v>
      </c>
      <c r="AG2406" t="str">
        <f>T("3949")</f>
        <v>3949</v>
      </c>
      <c r="AH2406" t="str">
        <f>T("19")</f>
        <v>19</v>
      </c>
      <c r="AK2406" t="str">
        <f>T("1061")</f>
        <v>1061</v>
      </c>
    </row>
    <row r="2407" spans="1:37" x14ac:dyDescent="0.3">
      <c r="A2407" t="s">
        <v>7465</v>
      </c>
      <c r="B2407" t="s">
        <v>7466</v>
      </c>
      <c r="C2407" t="s">
        <v>7467</v>
      </c>
      <c r="D2407" t="s">
        <v>7</v>
      </c>
      <c r="AG2407" t="str">
        <f>T("4021")</f>
        <v>4021</v>
      </c>
      <c r="AH2407" t="str">
        <f>T("20")</f>
        <v>20</v>
      </c>
      <c r="AI2407" t="str">
        <f>T("21")</f>
        <v>21</v>
      </c>
      <c r="AK2407" t="str">
        <f>T("1299")</f>
        <v>1299</v>
      </c>
    </row>
    <row r="2408" spans="1:37" x14ac:dyDescent="0.3">
      <c r="A2408" t="s">
        <v>7468</v>
      </c>
      <c r="B2408" t="s">
        <v>7469</v>
      </c>
      <c r="C2408" t="s">
        <v>7470</v>
      </c>
      <c r="D2408" t="s">
        <v>7</v>
      </c>
      <c r="AG2408" t="str">
        <f>T("4566")</f>
        <v>4566</v>
      </c>
      <c r="AH2408" t="str">
        <f>T("24")</f>
        <v>24</v>
      </c>
      <c r="AK2408" t="str">
        <f>T("1919")</f>
        <v>1919</v>
      </c>
    </row>
    <row r="2409" spans="1:37" x14ac:dyDescent="0.3">
      <c r="A2409" t="s">
        <v>7471</v>
      </c>
      <c r="B2409" t="s">
        <v>7472</v>
      </c>
      <c r="C2409" t="s">
        <v>7473</v>
      </c>
      <c r="D2409" t="s">
        <v>7</v>
      </c>
      <c r="AG2409" t="str">
        <f>T("4567")</f>
        <v>4567</v>
      </c>
      <c r="AH2409" t="str">
        <f>T("24")</f>
        <v>24</v>
      </c>
      <c r="AK2409" t="str">
        <f>T("1920")</f>
        <v>1920</v>
      </c>
    </row>
    <row r="2410" spans="1:37" x14ac:dyDescent="0.3">
      <c r="A2410" t="s">
        <v>7474</v>
      </c>
      <c r="B2410" t="s">
        <v>7475</v>
      </c>
      <c r="C2410" t="s">
        <v>7476</v>
      </c>
      <c r="D2410" t="s">
        <v>7</v>
      </c>
      <c r="AG2410" t="str">
        <f>T("4568")</f>
        <v>4568</v>
      </c>
      <c r="AH2410" t="str">
        <f>T("24")</f>
        <v>24</v>
      </c>
      <c r="AK2410" t="str">
        <f>T("1918")</f>
        <v>1918</v>
      </c>
    </row>
    <row r="2411" spans="1:37" x14ac:dyDescent="0.3">
      <c r="A2411" t="s">
        <v>7477</v>
      </c>
      <c r="B2411" t="s">
        <v>7478</v>
      </c>
      <c r="C2411" t="s">
        <v>7479</v>
      </c>
      <c r="D2411" t="s">
        <v>7</v>
      </c>
      <c r="K2411" t="str">
        <f>T("172.515")</f>
        <v>172.515</v>
      </c>
      <c r="AG2411" t="str">
        <f>T("2720")</f>
        <v>2720</v>
      </c>
      <c r="AH2411" t="str">
        <f>T("3")</f>
        <v>3</v>
      </c>
      <c r="AK2411" t="str">
        <f>T("472")</f>
        <v>472</v>
      </c>
    </row>
    <row r="2412" spans="1:37" x14ac:dyDescent="0.3">
      <c r="A2412" t="s">
        <v>7480</v>
      </c>
      <c r="B2412" t="s">
        <v>7481</v>
      </c>
      <c r="C2412" t="s">
        <v>7482</v>
      </c>
      <c r="D2412" t="s">
        <v>7</v>
      </c>
      <c r="AG2412" t="str">
        <f>T("3208")</f>
        <v>3208</v>
      </c>
      <c r="AH2412" t="str">
        <f>T("4")</f>
        <v>4</v>
      </c>
      <c r="AI2412" t="str">
        <f>T("25")</f>
        <v>25</v>
      </c>
      <c r="AK2412" t="str">
        <f>T("797")</f>
        <v>797</v>
      </c>
    </row>
    <row r="2413" spans="1:37" x14ac:dyDescent="0.3">
      <c r="A2413" t="s">
        <v>7483</v>
      </c>
      <c r="B2413" t="s">
        <v>7484</v>
      </c>
      <c r="C2413" t="s">
        <v>7485</v>
      </c>
      <c r="D2413" t="s">
        <v>7</v>
      </c>
      <c r="K2413" t="str">
        <f>T("172.515")</f>
        <v>172.515</v>
      </c>
      <c r="AG2413" t="str">
        <f>T("2721")</f>
        <v>2721</v>
      </c>
      <c r="AH2413" t="str">
        <f>T("3")</f>
        <v>3</v>
      </c>
      <c r="AK2413" t="str">
        <f>T("216")</f>
        <v>216</v>
      </c>
    </row>
    <row r="2414" spans="1:37" x14ac:dyDescent="0.3">
      <c r="A2414" t="s">
        <v>7486</v>
      </c>
      <c r="B2414" t="s">
        <v>7487</v>
      </c>
      <c r="C2414" t="s">
        <v>7488</v>
      </c>
      <c r="D2414" t="s">
        <v>7</v>
      </c>
      <c r="K2414" t="str">
        <f>T("172.515")</f>
        <v>172.515</v>
      </c>
      <c r="AG2414" t="str">
        <f>T("2722")</f>
        <v>2722</v>
      </c>
      <c r="AH2414" t="str">
        <f>T("3")</f>
        <v>3</v>
      </c>
      <c r="AK2414" t="str">
        <f>T("183")</f>
        <v>183</v>
      </c>
    </row>
    <row r="2415" spans="1:37" x14ac:dyDescent="0.3">
      <c r="A2415" t="s">
        <v>7489</v>
      </c>
      <c r="B2415" t="s">
        <v>7490</v>
      </c>
      <c r="C2415" t="s">
        <v>7491</v>
      </c>
      <c r="D2415" t="s">
        <v>7</v>
      </c>
      <c r="AG2415" t="str">
        <f>T("3193")</f>
        <v>3193</v>
      </c>
      <c r="AH2415" t="str">
        <f>T("4")</f>
        <v>4</v>
      </c>
      <c r="AK2415" t="str">
        <f>T("1335")</f>
        <v>1335</v>
      </c>
    </row>
    <row r="2416" spans="1:37" x14ac:dyDescent="0.3">
      <c r="A2416" t="s">
        <v>7492</v>
      </c>
      <c r="B2416" t="s">
        <v>7493</v>
      </c>
      <c r="C2416" t="s">
        <v>7494</v>
      </c>
      <c r="D2416" t="s">
        <v>7</v>
      </c>
      <c r="K2416" t="str">
        <f>T("172.515")</f>
        <v>172.515</v>
      </c>
      <c r="AG2416" t="str">
        <f>T("2723")</f>
        <v>2723</v>
      </c>
      <c r="AH2416" t="str">
        <f>T("3")</f>
        <v>3</v>
      </c>
      <c r="AK2416" t="str">
        <f>T("811")</f>
        <v>811</v>
      </c>
    </row>
    <row r="2417" spans="1:37" x14ac:dyDescent="0.3">
      <c r="A2417" t="s">
        <v>7495</v>
      </c>
      <c r="B2417" t="s">
        <v>7496</v>
      </c>
      <c r="C2417" t="s">
        <v>7497</v>
      </c>
      <c r="D2417" t="s">
        <v>7</v>
      </c>
      <c r="AG2417" t="str">
        <f>T("3709")</f>
        <v>3709</v>
      </c>
      <c r="AH2417" t="str">
        <f>T("13")</f>
        <v>13</v>
      </c>
      <c r="AK2417" t="str">
        <f>T("1320")</f>
        <v>1320</v>
      </c>
    </row>
    <row r="2418" spans="1:37" x14ac:dyDescent="0.3">
      <c r="A2418" t="s">
        <v>7498</v>
      </c>
      <c r="B2418" t="s">
        <v>7499</v>
      </c>
      <c r="C2418" t="s">
        <v>7500</v>
      </c>
      <c r="D2418" t="s">
        <v>7</v>
      </c>
      <c r="AG2418" t="str">
        <f>T("4057")</f>
        <v>4057</v>
      </c>
      <c r="AH2418" t="str">
        <f>T("21")</f>
        <v>21</v>
      </c>
      <c r="AK2418" t="str">
        <f>T("2032")</f>
        <v>2032</v>
      </c>
    </row>
    <row r="2419" spans="1:37" x14ac:dyDescent="0.3">
      <c r="A2419" t="s">
        <v>7501</v>
      </c>
      <c r="B2419" t="s">
        <v>7502</v>
      </c>
      <c r="C2419" t="s">
        <v>7503</v>
      </c>
      <c r="D2419" t="s">
        <v>7</v>
      </c>
      <c r="K2419" t="str">
        <f>T("172.515")</f>
        <v>172.515</v>
      </c>
      <c r="AG2419" t="str">
        <f>T("2724")</f>
        <v>2724</v>
      </c>
      <c r="AH2419" t="str">
        <f>T("3")</f>
        <v>3</v>
      </c>
      <c r="AK2419" t="str">
        <f>T("179")</f>
        <v>179</v>
      </c>
    </row>
    <row r="2420" spans="1:37" x14ac:dyDescent="0.3">
      <c r="A2420" t="s">
        <v>7504</v>
      </c>
      <c r="B2420" t="s">
        <v>7505</v>
      </c>
      <c r="C2420" t="s">
        <v>7506</v>
      </c>
      <c r="D2420" t="s">
        <v>7</v>
      </c>
      <c r="AG2420" t="str">
        <f>T("3574")</f>
        <v>3574</v>
      </c>
      <c r="AH2420" t="str">
        <f>T("11")</f>
        <v>11</v>
      </c>
      <c r="AK2420" t="str">
        <f>T("274")</f>
        <v>274</v>
      </c>
    </row>
    <row r="2421" spans="1:37" x14ac:dyDescent="0.3">
      <c r="A2421" t="s">
        <v>7507</v>
      </c>
      <c r="B2421" t="s">
        <v>7508</v>
      </c>
      <c r="C2421" t="s">
        <v>7509</v>
      </c>
      <c r="D2421" t="s">
        <v>7</v>
      </c>
      <c r="K2421" t="str">
        <f>T("172.515")</f>
        <v>172.515</v>
      </c>
      <c r="AG2421" t="str">
        <f>T("2725")</f>
        <v>2725</v>
      </c>
      <c r="AH2421" t="str">
        <f>T("3")</f>
        <v>3</v>
      </c>
      <c r="AI2421" t="str">
        <f>T("25")</f>
        <v>25</v>
      </c>
      <c r="AK2421" t="str">
        <f>T("1813")</f>
        <v>1813</v>
      </c>
    </row>
    <row r="2422" spans="1:37" x14ac:dyDescent="0.3">
      <c r="A2422" t="s">
        <v>7510</v>
      </c>
      <c r="B2422" t="s">
        <v>7511</v>
      </c>
      <c r="C2422" t="s">
        <v>7512</v>
      </c>
      <c r="D2422" t="s">
        <v>7</v>
      </c>
      <c r="AG2422" t="str">
        <f>T("3710")</f>
        <v>3710</v>
      </c>
      <c r="AH2422" t="str">
        <f>T("13")</f>
        <v>13</v>
      </c>
      <c r="AI2422" t="str">
        <f>T("25")</f>
        <v>25</v>
      </c>
      <c r="AK2422" t="str">
        <f>T("340")</f>
        <v>340</v>
      </c>
    </row>
    <row r="2423" spans="1:37" x14ac:dyDescent="0.3">
      <c r="A2423" t="s">
        <v>7513</v>
      </c>
      <c r="B2423" t="s">
        <v>7514</v>
      </c>
      <c r="C2423" t="s">
        <v>7515</v>
      </c>
      <c r="D2423" t="s">
        <v>7</v>
      </c>
      <c r="K2423" t="str">
        <f>T("172.515")</f>
        <v>172.515</v>
      </c>
      <c r="AG2423" t="str">
        <f>T("2726")</f>
        <v>2726</v>
      </c>
      <c r="AH2423" t="str">
        <f>T("3")</f>
        <v>3</v>
      </c>
      <c r="AI2423" t="str">
        <f>T("25")</f>
        <v>25</v>
      </c>
      <c r="AK2423" t="str">
        <f>T("1356")</f>
        <v>1356</v>
      </c>
    </row>
    <row r="2424" spans="1:37" x14ac:dyDescent="0.3">
      <c r="A2424" t="s">
        <v>7516</v>
      </c>
      <c r="B2424" t="s">
        <v>7517</v>
      </c>
      <c r="C2424" t="s">
        <v>7518</v>
      </c>
      <c r="D2424" t="s">
        <v>7</v>
      </c>
      <c r="K2424" t="str">
        <f>T("172.515")</f>
        <v>172.515</v>
      </c>
      <c r="AG2424" t="str">
        <f>T("2727")</f>
        <v>2727</v>
      </c>
      <c r="AH2424" t="str">
        <f>T("3")</f>
        <v>3</v>
      </c>
      <c r="AI2424" t="str">
        <f>T("25")</f>
        <v>25</v>
      </c>
      <c r="AK2424" t="str">
        <f>T("270")</f>
        <v>270</v>
      </c>
    </row>
    <row r="2425" spans="1:37" x14ac:dyDescent="0.3">
      <c r="A2425" t="s">
        <v>7519</v>
      </c>
      <c r="B2425" t="s">
        <v>7520</v>
      </c>
      <c r="C2425" t="s">
        <v>7521</v>
      </c>
      <c r="D2425" t="s">
        <v>7</v>
      </c>
      <c r="AG2425" t="str">
        <f>T("4433")</f>
        <v>4433</v>
      </c>
      <c r="AH2425" t="str">
        <f>T("24")</f>
        <v>24</v>
      </c>
      <c r="AK2425" t="str">
        <f>T("2175")</f>
        <v>2175</v>
      </c>
    </row>
    <row r="2426" spans="1:37" x14ac:dyDescent="0.3">
      <c r="A2426" t="s">
        <v>7522</v>
      </c>
      <c r="B2426" t="s">
        <v>7523</v>
      </c>
      <c r="C2426" t="s">
        <v>7524</v>
      </c>
      <c r="D2426" t="s">
        <v>7</v>
      </c>
      <c r="K2426" t="str">
        <f>T("172.515")</f>
        <v>172.515</v>
      </c>
      <c r="AG2426" t="str">
        <f>T("2728")</f>
        <v>2728</v>
      </c>
      <c r="AH2426" t="str">
        <f>T("3")</f>
        <v>3</v>
      </c>
      <c r="AI2426" t="str">
        <f>T("25")</f>
        <v>25</v>
      </c>
      <c r="AK2426" t="str">
        <f>T("173")</f>
        <v>173</v>
      </c>
    </row>
    <row r="2427" spans="1:37" x14ac:dyDescent="0.3">
      <c r="A2427" t="s">
        <v>7525</v>
      </c>
      <c r="B2427" t="s">
        <v>7526</v>
      </c>
      <c r="C2427" t="s">
        <v>7527</v>
      </c>
      <c r="D2427" t="s">
        <v>7</v>
      </c>
      <c r="AG2427" t="str">
        <f>T("3575")</f>
        <v>3575</v>
      </c>
      <c r="AH2427" t="str">
        <f>T("11")</f>
        <v>11</v>
      </c>
      <c r="AK2427" t="str">
        <f>T("271")</f>
        <v>271</v>
      </c>
    </row>
    <row r="2428" spans="1:37" x14ac:dyDescent="0.3">
      <c r="A2428" t="s">
        <v>7528</v>
      </c>
      <c r="B2428" t="s">
        <v>7529</v>
      </c>
      <c r="C2428" t="s">
        <v>7530</v>
      </c>
      <c r="D2428" t="s">
        <v>7</v>
      </c>
      <c r="AG2428" t="str">
        <f>T("3711")</f>
        <v>3711</v>
      </c>
      <c r="AH2428" t="str">
        <f>T("13")</f>
        <v>13</v>
      </c>
      <c r="AK2428" t="str">
        <f>T("1217")</f>
        <v>1217</v>
      </c>
    </row>
    <row r="2429" spans="1:37" x14ac:dyDescent="0.3">
      <c r="A2429" t="s">
        <v>7531</v>
      </c>
      <c r="B2429" t="s">
        <v>7532</v>
      </c>
      <c r="C2429" t="s">
        <v>7533</v>
      </c>
      <c r="D2429" t="s">
        <v>7</v>
      </c>
      <c r="AG2429" t="str">
        <f>T("3712")</f>
        <v>3712</v>
      </c>
      <c r="AH2429" t="str">
        <f>T("13")</f>
        <v>13</v>
      </c>
      <c r="AK2429" t="str">
        <f>T("1811")</f>
        <v>1811</v>
      </c>
    </row>
    <row r="2430" spans="1:37" x14ac:dyDescent="0.3">
      <c r="A2430" t="s">
        <v>7534</v>
      </c>
      <c r="B2430" t="s">
        <v>7535</v>
      </c>
      <c r="C2430" t="s">
        <v>7536</v>
      </c>
      <c r="D2430" t="s">
        <v>7</v>
      </c>
      <c r="AG2430" t="str">
        <f>T("3712")</f>
        <v>3712</v>
      </c>
      <c r="AH2430" t="str">
        <f>T("13")</f>
        <v>13</v>
      </c>
      <c r="AK2430" t="str">
        <f>T("1811")</f>
        <v>1811</v>
      </c>
    </row>
    <row r="2431" spans="1:37" x14ac:dyDescent="0.3">
      <c r="A2431" t="s">
        <v>7537</v>
      </c>
      <c r="B2431" t="s">
        <v>7538</v>
      </c>
      <c r="C2431" t="s">
        <v>7539</v>
      </c>
      <c r="D2431" t="s">
        <v>15</v>
      </c>
      <c r="AG2431" t="str">
        <f>T("3367")</f>
        <v>3367</v>
      </c>
      <c r="AH2431" t="str">
        <f>T("6")</f>
        <v>6</v>
      </c>
      <c r="AK2431" t="str">
        <f>T("337")</f>
        <v>337</v>
      </c>
    </row>
    <row r="2432" spans="1:37" x14ac:dyDescent="0.3">
      <c r="A2432" t="s">
        <v>7540</v>
      </c>
      <c r="B2432" t="s">
        <v>7541</v>
      </c>
      <c r="C2432" t="s">
        <v>7542</v>
      </c>
      <c r="D2432" t="s">
        <v>7</v>
      </c>
      <c r="AG2432" t="str">
        <f>T("4165")</f>
        <v>4165</v>
      </c>
      <c r="AH2432" t="str">
        <f>T("22")</f>
        <v>22</v>
      </c>
      <c r="AK2432" t="str">
        <f>T("1630")</f>
        <v>1630</v>
      </c>
    </row>
    <row r="2433" spans="1:37" x14ac:dyDescent="0.3">
      <c r="A2433" t="s">
        <v>7543</v>
      </c>
      <c r="B2433" t="s">
        <v>7544</v>
      </c>
      <c r="C2433" t="s">
        <v>7545</v>
      </c>
      <c r="D2433" t="s">
        <v>7</v>
      </c>
      <c r="AG2433" t="str">
        <f>T("3868")</f>
        <v>3868</v>
      </c>
      <c r="AH2433" t="str">
        <f>T("18")</f>
        <v>18</v>
      </c>
      <c r="AK2433" t="str">
        <f>T("1135")</f>
        <v>1135</v>
      </c>
    </row>
    <row r="2434" spans="1:37" x14ac:dyDescent="0.3">
      <c r="A2434" t="s">
        <v>7546</v>
      </c>
      <c r="B2434" t="s">
        <v>7547</v>
      </c>
      <c r="C2434" t="s">
        <v>7548</v>
      </c>
      <c r="D2434" t="s">
        <v>7</v>
      </c>
      <c r="AG2434" t="str">
        <f>T("4573")</f>
        <v>4573</v>
      </c>
      <c r="AH2434" t="str">
        <f>T("24")</f>
        <v>24</v>
      </c>
      <c r="AK2434" t="str">
        <f>T("1909")</f>
        <v>1909</v>
      </c>
    </row>
    <row r="2435" spans="1:37" x14ac:dyDescent="0.3">
      <c r="A2435" t="s">
        <v>7549</v>
      </c>
      <c r="B2435" t="s">
        <v>7550</v>
      </c>
      <c r="C2435" t="s">
        <v>7551</v>
      </c>
      <c r="D2435" t="s">
        <v>7</v>
      </c>
      <c r="K2435" t="str">
        <f>T("172.515")</f>
        <v>172.515</v>
      </c>
      <c r="AG2435" t="str">
        <f>T("2729")</f>
        <v>2729</v>
      </c>
      <c r="AH2435" t="str">
        <f>T("3")</f>
        <v>3</v>
      </c>
      <c r="AK2435" t="str">
        <f>T("1357")</f>
        <v>1357</v>
      </c>
    </row>
    <row r="2436" spans="1:37" x14ac:dyDescent="0.3">
      <c r="A2436" t="s">
        <v>7552</v>
      </c>
      <c r="B2436" t="s">
        <v>7553</v>
      </c>
      <c r="C2436" t="s">
        <v>7554</v>
      </c>
      <c r="D2436" t="s">
        <v>7</v>
      </c>
      <c r="AG2436" t="str">
        <f>T("3189")</f>
        <v>3189</v>
      </c>
      <c r="AH2436" t="str">
        <f>T("4")</f>
        <v>4</v>
      </c>
      <c r="AI2436" t="str">
        <f>T("25")</f>
        <v>25</v>
      </c>
      <c r="AK2436" t="str">
        <f>T("1082")</f>
        <v>1082</v>
      </c>
    </row>
    <row r="2437" spans="1:37" x14ac:dyDescent="0.3">
      <c r="A2437" t="s">
        <v>7555</v>
      </c>
      <c r="B2437" t="s">
        <v>7556</v>
      </c>
      <c r="C2437" t="s">
        <v>7557</v>
      </c>
      <c r="D2437" t="s">
        <v>7</v>
      </c>
      <c r="AG2437" t="str">
        <f>T("3869")</f>
        <v>3869</v>
      </c>
      <c r="AH2437" t="str">
        <f>T("18")</f>
        <v>18</v>
      </c>
      <c r="AI2437" t="str">
        <f>T("25")</f>
        <v>25</v>
      </c>
      <c r="AK2437" t="str">
        <f>T("631")</f>
        <v>631</v>
      </c>
    </row>
    <row r="2438" spans="1:37" x14ac:dyDescent="0.3">
      <c r="A2438" t="s">
        <v>7558</v>
      </c>
      <c r="B2438" t="s">
        <v>7559</v>
      </c>
      <c r="C2438" t="s">
        <v>7560</v>
      </c>
      <c r="D2438" t="s">
        <v>7</v>
      </c>
      <c r="AG2438" t="str">
        <f>T("3713")</f>
        <v>3713</v>
      </c>
      <c r="AH2438" t="str">
        <f>T("13")</f>
        <v>13</v>
      </c>
      <c r="AK2438" t="str">
        <f>T("591")</f>
        <v>591</v>
      </c>
    </row>
    <row r="2439" spans="1:37" x14ac:dyDescent="0.3">
      <c r="A2439" t="s">
        <v>7561</v>
      </c>
      <c r="B2439" t="s">
        <v>7562</v>
      </c>
      <c r="C2439" t="s">
        <v>7563</v>
      </c>
      <c r="D2439" t="s">
        <v>7</v>
      </c>
      <c r="AG2439" t="str">
        <f>T("3870")</f>
        <v>3870</v>
      </c>
      <c r="AH2439" t="str">
        <f>T("18")</f>
        <v>18</v>
      </c>
      <c r="AK2439" t="str">
        <f>T("632")</f>
        <v>632</v>
      </c>
    </row>
    <row r="2440" spans="1:37" x14ac:dyDescent="0.3">
      <c r="A2440" t="s">
        <v>7564</v>
      </c>
      <c r="B2440" t="s">
        <v>7565</v>
      </c>
      <c r="C2440" t="s">
        <v>7566</v>
      </c>
      <c r="D2440" t="s">
        <v>7</v>
      </c>
      <c r="AG2440" t="str">
        <f>T("3871")</f>
        <v>3871</v>
      </c>
      <c r="AH2440" t="str">
        <f>T("18")</f>
        <v>18</v>
      </c>
      <c r="AK2440" t="str">
        <f>T("633")</f>
        <v>633</v>
      </c>
    </row>
    <row r="2441" spans="1:37" x14ac:dyDescent="0.3">
      <c r="A2441" t="s">
        <v>7567</v>
      </c>
      <c r="B2441" t="s">
        <v>7568</v>
      </c>
      <c r="C2441" t="s">
        <v>7569</v>
      </c>
      <c r="D2441" t="s">
        <v>7</v>
      </c>
      <c r="AG2441" t="str">
        <f>T("3413")</f>
        <v>3413</v>
      </c>
      <c r="AH2441" t="str">
        <f>T("7")</f>
        <v>7</v>
      </c>
      <c r="AK2441" t="str">
        <f>T("260")</f>
        <v>260</v>
      </c>
    </row>
    <row r="2442" spans="1:37" x14ac:dyDescent="0.3">
      <c r="A2442" t="s">
        <v>7570</v>
      </c>
      <c r="B2442" t="s">
        <v>7571</v>
      </c>
      <c r="C2442" t="s">
        <v>7572</v>
      </c>
      <c r="D2442" t="s">
        <v>7</v>
      </c>
      <c r="K2442" t="str">
        <f>T("172.515")</f>
        <v>172.515</v>
      </c>
      <c r="AG2442" t="str">
        <f>T("2730")</f>
        <v>2730</v>
      </c>
      <c r="AH2442" t="str">
        <f>T("3")</f>
        <v>3</v>
      </c>
      <c r="AK2442" t="str">
        <f>T("411")</f>
        <v>411</v>
      </c>
    </row>
    <row r="2443" spans="1:37" x14ac:dyDescent="0.3">
      <c r="A2443" t="s">
        <v>7573</v>
      </c>
      <c r="B2443" t="s">
        <v>7574</v>
      </c>
      <c r="C2443" t="s">
        <v>7575</v>
      </c>
      <c r="D2443" t="s">
        <v>7</v>
      </c>
      <c r="AG2443" t="str">
        <f>T("3437")</f>
        <v>3437</v>
      </c>
      <c r="AH2443" t="str">
        <f>T("8")</f>
        <v>8</v>
      </c>
      <c r="AK2443" t="str">
        <f>T("262")</f>
        <v>262</v>
      </c>
    </row>
    <row r="2444" spans="1:37" x14ac:dyDescent="0.3">
      <c r="A2444" t="s">
        <v>7576</v>
      </c>
      <c r="B2444" t="s">
        <v>7577</v>
      </c>
      <c r="C2444" t="s">
        <v>7578</v>
      </c>
      <c r="D2444" t="s">
        <v>7</v>
      </c>
      <c r="AG2444" t="str">
        <f>T("3463")</f>
        <v>3463</v>
      </c>
      <c r="AH2444" t="str">
        <f>T("9")</f>
        <v>9</v>
      </c>
      <c r="AI2444" t="str">
        <f>T("25")</f>
        <v>25</v>
      </c>
      <c r="AK2444" t="str">
        <f>T("264")</f>
        <v>264</v>
      </c>
    </row>
    <row r="2445" spans="1:37" x14ac:dyDescent="0.3">
      <c r="A2445" t="s">
        <v>7579</v>
      </c>
      <c r="B2445" t="s">
        <v>7580</v>
      </c>
      <c r="C2445" t="s">
        <v>7581</v>
      </c>
      <c r="D2445" t="s">
        <v>7</v>
      </c>
      <c r="AG2445" t="str">
        <f>T("3762")</f>
        <v>3762</v>
      </c>
      <c r="AH2445" t="str">
        <f>T("15")</f>
        <v>15</v>
      </c>
      <c r="AK2445" t="str">
        <f>T("263")</f>
        <v>263</v>
      </c>
    </row>
    <row r="2446" spans="1:37" x14ac:dyDescent="0.3">
      <c r="A2446" t="s">
        <v>7582</v>
      </c>
      <c r="B2446" t="s">
        <v>7583</v>
      </c>
      <c r="C2446" t="s">
        <v>7584</v>
      </c>
      <c r="D2446" t="s">
        <v>7</v>
      </c>
      <c r="AG2446" t="str">
        <f>T("3376")</f>
        <v>3376</v>
      </c>
      <c r="AH2446" t="str">
        <f>T("6")</f>
        <v>6</v>
      </c>
      <c r="AI2446" t="str">
        <f>T("25")</f>
        <v>25</v>
      </c>
      <c r="AK2446" t="str">
        <f>T("500")</f>
        <v>500</v>
      </c>
    </row>
    <row r="2447" spans="1:37" x14ac:dyDescent="0.3">
      <c r="A2447" t="s">
        <v>7585</v>
      </c>
      <c r="B2447" t="s">
        <v>7586</v>
      </c>
      <c r="C2447" t="s">
        <v>7587</v>
      </c>
      <c r="D2447" t="s">
        <v>7</v>
      </c>
      <c r="AG2447" t="str">
        <f>T("3194")</f>
        <v>3194</v>
      </c>
      <c r="AH2447" t="str">
        <f>T("4")</f>
        <v>4</v>
      </c>
      <c r="AI2447" t="str">
        <f>T("25")</f>
        <v>25</v>
      </c>
      <c r="AK2447" t="str">
        <f>T("1209")</f>
        <v>1209</v>
      </c>
    </row>
    <row r="2448" spans="1:37" x14ac:dyDescent="0.3">
      <c r="A2448" t="s">
        <v>7588</v>
      </c>
      <c r="B2448" t="s">
        <v>7589</v>
      </c>
      <c r="C2448" t="s">
        <v>7590</v>
      </c>
      <c r="D2448" t="s">
        <v>7</v>
      </c>
      <c r="AG2448" t="str">
        <f>T("3510")</f>
        <v>3510</v>
      </c>
      <c r="AH2448" t="str">
        <f>T("10")</f>
        <v>10</v>
      </c>
      <c r="AK2448" t="str">
        <f>T("1208")</f>
        <v>1208</v>
      </c>
    </row>
    <row r="2449" spans="1:37" x14ac:dyDescent="0.3">
      <c r="A2449" t="s">
        <v>7591</v>
      </c>
      <c r="B2449" t="s">
        <v>7592</v>
      </c>
      <c r="C2449" t="s">
        <v>7593</v>
      </c>
      <c r="D2449" t="s">
        <v>7</v>
      </c>
      <c r="AG2449" t="str">
        <f>T("4353")</f>
        <v>4353</v>
      </c>
      <c r="AH2449" t="str">
        <f>T("23")</f>
        <v>23</v>
      </c>
      <c r="AK2449" t="str">
        <f>T("1616")</f>
        <v>1616</v>
      </c>
    </row>
    <row r="2450" spans="1:37" x14ac:dyDescent="0.3">
      <c r="A2450" t="s">
        <v>7594</v>
      </c>
      <c r="B2450" t="s">
        <v>7595</v>
      </c>
      <c r="C2450" t="s">
        <v>7596</v>
      </c>
      <c r="D2450" t="s">
        <v>7</v>
      </c>
      <c r="AG2450" t="str">
        <f>T("3195")</f>
        <v>3195</v>
      </c>
      <c r="AH2450" t="str">
        <f>T("4")</f>
        <v>4</v>
      </c>
      <c r="AI2450" t="str">
        <f>T("25")</f>
        <v>25</v>
      </c>
      <c r="AK2450" t="str">
        <f>T("1210")</f>
        <v>1210</v>
      </c>
    </row>
    <row r="2451" spans="1:37" x14ac:dyDescent="0.3">
      <c r="A2451" t="s">
        <v>7597</v>
      </c>
      <c r="B2451" t="s">
        <v>7598</v>
      </c>
      <c r="C2451" t="s">
        <v>7599</v>
      </c>
      <c r="D2451" t="s">
        <v>7</v>
      </c>
      <c r="AG2451" t="str">
        <f>T("3464")</f>
        <v>3464</v>
      </c>
      <c r="AH2451" t="str">
        <f>T("9")</f>
        <v>9</v>
      </c>
      <c r="AK2451" t="str">
        <f>T("347")</f>
        <v>347</v>
      </c>
    </row>
    <row r="2452" spans="1:37" x14ac:dyDescent="0.3">
      <c r="A2452" t="s">
        <v>7600</v>
      </c>
      <c r="B2452" t="s">
        <v>7601</v>
      </c>
      <c r="C2452" t="s">
        <v>7602</v>
      </c>
      <c r="D2452" t="s">
        <v>7</v>
      </c>
      <c r="AG2452" t="str">
        <f>T("3511")</f>
        <v>3511</v>
      </c>
      <c r="AH2452" t="str">
        <f>T("10")</f>
        <v>10</v>
      </c>
      <c r="AK2452" t="str">
        <f>T("355")</f>
        <v>355</v>
      </c>
    </row>
    <row r="2453" spans="1:37" x14ac:dyDescent="0.3">
      <c r="A2453" t="s">
        <v>7603</v>
      </c>
      <c r="B2453" t="s">
        <v>7604</v>
      </c>
      <c r="C2453" t="s">
        <v>7605</v>
      </c>
      <c r="D2453" t="s">
        <v>7</v>
      </c>
      <c r="AG2453" t="str">
        <f>T("4180")</f>
        <v>4180</v>
      </c>
      <c r="AH2453" t="str">
        <f>T("22")</f>
        <v>22</v>
      </c>
      <c r="AK2453" t="str">
        <f>T("1818")</f>
        <v>1818</v>
      </c>
    </row>
    <row r="2454" spans="1:37" x14ac:dyDescent="0.3">
      <c r="A2454" t="s">
        <v>7606</v>
      </c>
      <c r="B2454" t="s">
        <v>7607</v>
      </c>
      <c r="C2454" t="s">
        <v>7608</v>
      </c>
      <c r="D2454" t="s">
        <v>7</v>
      </c>
    </row>
    <row r="2455" spans="1:37" x14ac:dyDescent="0.3">
      <c r="A2455" t="s">
        <v>7609</v>
      </c>
      <c r="B2455" t="s">
        <v>7610</v>
      </c>
      <c r="C2455" t="s">
        <v>7611</v>
      </c>
      <c r="D2455" t="s">
        <v>7</v>
      </c>
      <c r="AG2455" t="str">
        <f>T("3368")</f>
        <v>3368</v>
      </c>
      <c r="AH2455" t="str">
        <f>T("6")</f>
        <v>6</v>
      </c>
      <c r="AK2455" t="str">
        <f>T("1131")</f>
        <v>1131</v>
      </c>
    </row>
    <row r="2456" spans="1:37" x14ac:dyDescent="0.3">
      <c r="A2456" t="s">
        <v>7612</v>
      </c>
      <c r="B2456" t="s">
        <v>7613</v>
      </c>
      <c r="C2456" t="s">
        <v>7614</v>
      </c>
      <c r="D2456" t="s">
        <v>7</v>
      </c>
      <c r="AG2456" t="str">
        <f>T("3630")</f>
        <v>3630</v>
      </c>
      <c r="AH2456" t="str">
        <f>T("12")</f>
        <v>12</v>
      </c>
      <c r="AK2456" t="str">
        <f>T("928")</f>
        <v>928</v>
      </c>
    </row>
    <row r="2457" spans="1:37" x14ac:dyDescent="0.3">
      <c r="A2457" t="s">
        <v>7615</v>
      </c>
      <c r="B2457" t="s">
        <v>7616</v>
      </c>
      <c r="C2457" t="s">
        <v>7617</v>
      </c>
      <c r="D2457" t="s">
        <v>7</v>
      </c>
      <c r="AG2457" t="str">
        <f>T("4347")</f>
        <v>4347</v>
      </c>
      <c r="AH2457" t="str">
        <f>T("23")</f>
        <v>23</v>
      </c>
    </row>
    <row r="2458" spans="1:37" x14ac:dyDescent="0.3">
      <c r="A2458" t="s">
        <v>7618</v>
      </c>
      <c r="B2458" t="s">
        <v>7619</v>
      </c>
      <c r="C2458" t="s">
        <v>7620</v>
      </c>
      <c r="D2458" t="s">
        <v>7</v>
      </c>
      <c r="K2458" t="str">
        <f>T("172.515")</f>
        <v>172.515</v>
      </c>
      <c r="AG2458" t="str">
        <f>T("2732")</f>
        <v>2732</v>
      </c>
      <c r="AH2458" t="str">
        <f>T("3")</f>
        <v>3</v>
      </c>
      <c r="AK2458" t="str">
        <f>T("1459")</f>
        <v>1459</v>
      </c>
    </row>
    <row r="2459" spans="1:37" x14ac:dyDescent="0.3">
      <c r="A2459" t="s">
        <v>7621</v>
      </c>
      <c r="B2459" t="s">
        <v>7622</v>
      </c>
      <c r="C2459" t="s">
        <v>7623</v>
      </c>
      <c r="D2459" t="s">
        <v>7</v>
      </c>
      <c r="AG2459" t="str">
        <f>T("3197")</f>
        <v>3197</v>
      </c>
      <c r="AH2459" t="str">
        <f>T("4")</f>
        <v>4</v>
      </c>
      <c r="AK2459" t="str">
        <f>T("814")</f>
        <v>814</v>
      </c>
    </row>
    <row r="2460" spans="1:37" x14ac:dyDescent="0.3">
      <c r="A2460" t="s">
        <v>7624</v>
      </c>
      <c r="B2460" t="s">
        <v>7625</v>
      </c>
      <c r="C2460" t="s">
        <v>7626</v>
      </c>
      <c r="D2460" t="s">
        <v>7</v>
      </c>
      <c r="AG2460" t="str">
        <f>T("3198")</f>
        <v>3198</v>
      </c>
      <c r="AH2460" t="str">
        <f>T("4")</f>
        <v>4</v>
      </c>
      <c r="AK2460" t="str">
        <f>T("1254")</f>
        <v>1254</v>
      </c>
    </row>
    <row r="2461" spans="1:37" x14ac:dyDescent="0.3">
      <c r="A2461" t="s">
        <v>7627</v>
      </c>
      <c r="B2461" t="s">
        <v>7628</v>
      </c>
      <c r="C2461" t="s">
        <v>7629</v>
      </c>
      <c r="D2461" t="s">
        <v>7</v>
      </c>
      <c r="K2461" t="str">
        <f>T("172.515")</f>
        <v>172.515</v>
      </c>
      <c r="AG2461" t="str">
        <f>T("2733")</f>
        <v>2733</v>
      </c>
      <c r="AH2461" t="str">
        <f>T("3")</f>
        <v>3</v>
      </c>
      <c r="AK2461" t="str">
        <f>T("1008")</f>
        <v>1008</v>
      </c>
    </row>
    <row r="2462" spans="1:37" x14ac:dyDescent="0.3">
      <c r="A2462" t="s">
        <v>7630</v>
      </c>
      <c r="B2462" t="s">
        <v>7631</v>
      </c>
      <c r="C2462" t="s">
        <v>7632</v>
      </c>
      <c r="D2462" t="s">
        <v>7</v>
      </c>
      <c r="AG2462" t="str">
        <f>T("3629")</f>
        <v>3629</v>
      </c>
      <c r="AH2462" t="str">
        <f>T("12")</f>
        <v>12</v>
      </c>
      <c r="AK2462" t="str">
        <f>T("1477")</f>
        <v>1477</v>
      </c>
    </row>
    <row r="2463" spans="1:37" x14ac:dyDescent="0.3">
      <c r="A2463" t="s">
        <v>7633</v>
      </c>
      <c r="B2463" t="s">
        <v>7634</v>
      </c>
      <c r="C2463" t="s">
        <v>7635</v>
      </c>
      <c r="D2463" t="s">
        <v>7</v>
      </c>
      <c r="K2463" t="str">
        <f>T("172.515")</f>
        <v>172.515</v>
      </c>
      <c r="AG2463" t="str">
        <f>T("2734")</f>
        <v>2734</v>
      </c>
      <c r="AH2463" t="str">
        <f t="shared" ref="AH2463:AH2468" si="28">T("3")</f>
        <v>3</v>
      </c>
      <c r="AI2463" t="str">
        <f>T("25")</f>
        <v>25</v>
      </c>
      <c r="AK2463" t="str">
        <f>T("821")</f>
        <v>821</v>
      </c>
    </row>
    <row r="2464" spans="1:37" x14ac:dyDescent="0.3">
      <c r="A2464" t="s">
        <v>7636</v>
      </c>
      <c r="B2464" t="s">
        <v>7637</v>
      </c>
      <c r="C2464" t="s">
        <v>7638</v>
      </c>
      <c r="D2464" t="s">
        <v>15</v>
      </c>
      <c r="K2464" t="str">
        <f>T("172.515")</f>
        <v>172.515</v>
      </c>
      <c r="AG2464" t="str">
        <f>T("2735")</f>
        <v>2735</v>
      </c>
      <c r="AH2464" t="str">
        <f t="shared" si="28"/>
        <v>3</v>
      </c>
      <c r="AI2464" t="str">
        <f>T("25")</f>
        <v>25</v>
      </c>
      <c r="AK2464" t="str">
        <f>T("1460")</f>
        <v>1460</v>
      </c>
    </row>
    <row r="2465" spans="1:37" x14ac:dyDescent="0.3">
      <c r="A2465" t="s">
        <v>7639</v>
      </c>
      <c r="B2465" t="s">
        <v>7640</v>
      </c>
      <c r="C2465" t="s">
        <v>7641</v>
      </c>
      <c r="D2465" t="s">
        <v>7</v>
      </c>
      <c r="K2465" t="str">
        <f>T("172.515")</f>
        <v>172.515</v>
      </c>
      <c r="AG2465" t="str">
        <f>T("2736")</f>
        <v>2736</v>
      </c>
      <c r="AH2465" t="str">
        <f t="shared" si="28"/>
        <v>3</v>
      </c>
      <c r="AK2465" t="str">
        <f>T("1461")</f>
        <v>1461</v>
      </c>
    </row>
    <row r="2466" spans="1:37" x14ac:dyDescent="0.3">
      <c r="A2466" t="s">
        <v>7642</v>
      </c>
      <c r="B2466" t="s">
        <v>7643</v>
      </c>
      <c r="C2466" t="s">
        <v>7644</v>
      </c>
      <c r="D2466" t="s">
        <v>7</v>
      </c>
      <c r="AG2466" t="str">
        <f>T("2737")</f>
        <v>2737</v>
      </c>
      <c r="AH2466" t="str">
        <f t="shared" si="28"/>
        <v>3</v>
      </c>
      <c r="AK2466" t="str">
        <f>T("1462")</f>
        <v>1462</v>
      </c>
    </row>
    <row r="2467" spans="1:37" x14ac:dyDescent="0.3">
      <c r="A2467" t="s">
        <v>7645</v>
      </c>
      <c r="B2467" t="s">
        <v>7646</v>
      </c>
      <c r="C2467" t="s">
        <v>7647</v>
      </c>
      <c r="D2467" t="s">
        <v>7</v>
      </c>
      <c r="K2467" t="str">
        <f>T("172.515")</f>
        <v>172.515</v>
      </c>
      <c r="AG2467" t="str">
        <f>T("2738")</f>
        <v>2738</v>
      </c>
      <c r="AH2467" t="str">
        <f t="shared" si="28"/>
        <v>3</v>
      </c>
      <c r="AK2467" t="str">
        <f>T("1463")</f>
        <v>1463</v>
      </c>
    </row>
    <row r="2468" spans="1:37" x14ac:dyDescent="0.3">
      <c r="A2468" t="s">
        <v>7648</v>
      </c>
      <c r="B2468" t="s">
        <v>7649</v>
      </c>
      <c r="C2468" t="s">
        <v>7650</v>
      </c>
      <c r="D2468" t="s">
        <v>7</v>
      </c>
      <c r="K2468" t="str">
        <f>T("172.515")</f>
        <v>172.515</v>
      </c>
      <c r="AG2468" t="str">
        <f>T("2739")</f>
        <v>2739</v>
      </c>
      <c r="AH2468" t="str">
        <f t="shared" si="28"/>
        <v>3</v>
      </c>
      <c r="AK2468" t="str">
        <f>T("1464")</f>
        <v>1464</v>
      </c>
    </row>
    <row r="2469" spans="1:37" x14ac:dyDescent="0.3">
      <c r="A2469" t="s">
        <v>7651</v>
      </c>
      <c r="B2469" t="s">
        <v>7652</v>
      </c>
      <c r="C2469" t="s">
        <v>7653</v>
      </c>
      <c r="D2469" t="s">
        <v>7</v>
      </c>
      <c r="AG2469" t="str">
        <f>T("3872")</f>
        <v>3872</v>
      </c>
      <c r="AH2469" t="str">
        <f>T("18")</f>
        <v>18</v>
      </c>
      <c r="AK2469" t="str">
        <f>T("576")</f>
        <v>576</v>
      </c>
    </row>
    <row r="2470" spans="1:37" x14ac:dyDescent="0.3">
      <c r="A2470" t="s">
        <v>7654</v>
      </c>
      <c r="B2470" t="s">
        <v>7655</v>
      </c>
      <c r="C2470" t="s">
        <v>7656</v>
      </c>
      <c r="D2470" t="s">
        <v>7</v>
      </c>
      <c r="AG2470" t="str">
        <f>T("4654")</f>
        <v>4654</v>
      </c>
      <c r="AH2470" t="str">
        <f>T("24")</f>
        <v>24</v>
      </c>
      <c r="AK2470" t="str">
        <f>T("2144")</f>
        <v>2144</v>
      </c>
    </row>
    <row r="2471" spans="1:37" x14ac:dyDescent="0.3">
      <c r="A2471" t="s">
        <v>7657</v>
      </c>
      <c r="B2471" t="s">
        <v>7658</v>
      </c>
      <c r="C2471" t="s">
        <v>7659</v>
      </c>
      <c r="D2471" t="s">
        <v>7</v>
      </c>
      <c r="K2471" t="str">
        <f>T("182.60")</f>
        <v>182.60</v>
      </c>
      <c r="AG2471" t="str">
        <f>T("2444")</f>
        <v>2444</v>
      </c>
      <c r="AH2471" t="str">
        <f>T("3")</f>
        <v>3</v>
      </c>
      <c r="AK2471" t="str">
        <f>T("1577")</f>
        <v>1577</v>
      </c>
    </row>
    <row r="2472" spans="1:37" x14ac:dyDescent="0.3">
      <c r="A2472" t="s">
        <v>7660</v>
      </c>
      <c r="B2472" t="s">
        <v>7661</v>
      </c>
      <c r="C2472" t="s">
        <v>7662</v>
      </c>
      <c r="D2472" t="s">
        <v>7</v>
      </c>
      <c r="AG2472" t="str">
        <f>T("3199")</f>
        <v>3199</v>
      </c>
      <c r="AH2472" t="str">
        <f>T("4")</f>
        <v>4</v>
      </c>
      <c r="AI2472" t="str">
        <f>T("25")</f>
        <v>25</v>
      </c>
      <c r="AK2472" t="str">
        <f>T("1472")</f>
        <v>1472</v>
      </c>
    </row>
    <row r="2473" spans="1:37" x14ac:dyDescent="0.3">
      <c r="A2473" t="s">
        <v>7663</v>
      </c>
      <c r="B2473" t="s">
        <v>7664</v>
      </c>
      <c r="C2473" t="s">
        <v>7665</v>
      </c>
      <c r="D2473" t="s">
        <v>7</v>
      </c>
      <c r="K2473" t="str">
        <f>T("172.515")</f>
        <v>172.515</v>
      </c>
      <c r="AG2473" t="str">
        <f>T("2740")</f>
        <v>2740</v>
      </c>
      <c r="AH2473" t="str">
        <f>T("3")</f>
        <v>3</v>
      </c>
      <c r="AI2473" t="str">
        <f>T("25")</f>
        <v>25</v>
      </c>
      <c r="AK2473" t="str">
        <f>T("828")</f>
        <v>828</v>
      </c>
    </row>
    <row r="2474" spans="1:37" x14ac:dyDescent="0.3">
      <c r="A2474" t="s">
        <v>7666</v>
      </c>
      <c r="B2474" t="s">
        <v>7667</v>
      </c>
      <c r="C2474" t="s">
        <v>7668</v>
      </c>
      <c r="D2474" t="s">
        <v>15</v>
      </c>
      <c r="AG2474" t="str">
        <f>T("3200")</f>
        <v>3200</v>
      </c>
      <c r="AH2474" t="str">
        <f>T("4")</f>
        <v>4</v>
      </c>
      <c r="AI2474" t="str">
        <f>T("25")</f>
        <v>25</v>
      </c>
      <c r="AK2474" t="str">
        <f>T("1473")</f>
        <v>1473</v>
      </c>
    </row>
    <row r="2475" spans="1:37" x14ac:dyDescent="0.3">
      <c r="A2475" t="s">
        <v>7669</v>
      </c>
      <c r="B2475" t="s">
        <v>7670</v>
      </c>
      <c r="C2475" t="s">
        <v>7671</v>
      </c>
      <c r="D2475" t="s">
        <v>7</v>
      </c>
      <c r="K2475" t="str">
        <f>T("172.515")</f>
        <v>172.515</v>
      </c>
      <c r="AG2475" t="str">
        <f>T("2741")</f>
        <v>2741</v>
      </c>
      <c r="AH2475" t="str">
        <f>T("3")</f>
        <v>3</v>
      </c>
      <c r="AI2475" t="str">
        <f>T("25")</f>
        <v>25</v>
      </c>
      <c r="AK2475" t="str">
        <f>T("643")</f>
        <v>643</v>
      </c>
    </row>
    <row r="2476" spans="1:37" x14ac:dyDescent="0.3">
      <c r="A2476" t="s">
        <v>7672</v>
      </c>
      <c r="B2476" t="s">
        <v>7673</v>
      </c>
      <c r="C2476" t="s">
        <v>7674</v>
      </c>
      <c r="D2476" t="s">
        <v>7</v>
      </c>
      <c r="AG2476" t="str">
        <f>T("3873")</f>
        <v>3873</v>
      </c>
      <c r="AH2476" t="str">
        <f>T("18")</f>
        <v>18</v>
      </c>
      <c r="AK2476" t="str">
        <f>T("459")</f>
        <v>459</v>
      </c>
    </row>
    <row r="2477" spans="1:37" x14ac:dyDescent="0.3">
      <c r="A2477" t="s">
        <v>7675</v>
      </c>
      <c r="B2477" t="s">
        <v>7676</v>
      </c>
      <c r="C2477" t="s">
        <v>7677</v>
      </c>
      <c r="D2477" t="s">
        <v>7</v>
      </c>
      <c r="AG2477" t="str">
        <f>T("4244")</f>
        <v>4244</v>
      </c>
      <c r="AH2477" t="str">
        <f>T("22")</f>
        <v>22</v>
      </c>
      <c r="AK2477" t="str">
        <f>T("1608")</f>
        <v>1608</v>
      </c>
    </row>
    <row r="2478" spans="1:37" x14ac:dyDescent="0.3">
      <c r="A2478" t="s">
        <v>7678</v>
      </c>
      <c r="B2478" t="s">
        <v>7679</v>
      </c>
      <c r="C2478" t="s">
        <v>7680</v>
      </c>
      <c r="D2478" t="s">
        <v>569</v>
      </c>
    </row>
    <row r="2479" spans="1:37" x14ac:dyDescent="0.3">
      <c r="A2479" t="s">
        <v>7681</v>
      </c>
      <c r="B2479" t="s">
        <v>7682</v>
      </c>
      <c r="C2479" t="s">
        <v>7683</v>
      </c>
      <c r="D2479" t="s">
        <v>7</v>
      </c>
      <c r="AG2479" t="str">
        <f>T("3866")</f>
        <v>3866</v>
      </c>
      <c r="AH2479" t="str">
        <f>T("18")</f>
        <v>18</v>
      </c>
      <c r="AK2479" t="str">
        <f>T("580")</f>
        <v>580</v>
      </c>
    </row>
    <row r="2480" spans="1:37" x14ac:dyDescent="0.3">
      <c r="A2480" t="s">
        <v>7684</v>
      </c>
      <c r="B2480" t="s">
        <v>7685</v>
      </c>
      <c r="C2480" t="s">
        <v>7686</v>
      </c>
      <c r="D2480" t="s">
        <v>7</v>
      </c>
      <c r="AG2480" t="str">
        <f>T("4172")</f>
        <v>4172</v>
      </c>
      <c r="AH2480" t="str">
        <f>T("22")</f>
        <v>22</v>
      </c>
      <c r="AK2480" t="str">
        <f>T("1678")</f>
        <v>1678</v>
      </c>
    </row>
    <row r="2481" spans="1:37" x14ac:dyDescent="0.3">
      <c r="A2481" t="s">
        <v>7687</v>
      </c>
      <c r="B2481" t="s">
        <v>7688</v>
      </c>
      <c r="C2481" t="s">
        <v>7689</v>
      </c>
      <c r="D2481" t="s">
        <v>7</v>
      </c>
      <c r="AG2481" t="str">
        <f>T("3874")</f>
        <v>3874</v>
      </c>
      <c r="AH2481" t="str">
        <f>T("18")</f>
        <v>18</v>
      </c>
      <c r="AK2481" t="str">
        <f>T("512")</f>
        <v>512</v>
      </c>
    </row>
    <row r="2482" spans="1:37" x14ac:dyDescent="0.3">
      <c r="A2482" t="s">
        <v>7690</v>
      </c>
      <c r="B2482" t="s">
        <v>7691</v>
      </c>
      <c r="C2482" t="s">
        <v>7692</v>
      </c>
      <c r="D2482" t="s">
        <v>7</v>
      </c>
      <c r="AG2482" t="str">
        <f>T("3576")</f>
        <v>3576</v>
      </c>
      <c r="AH2482" t="str">
        <f>T("11")</f>
        <v>11</v>
      </c>
      <c r="AK2482" t="str">
        <f>T("569")</f>
        <v>569</v>
      </c>
    </row>
    <row r="2483" spans="1:37" x14ac:dyDescent="0.3">
      <c r="A2483" t="s">
        <v>7693</v>
      </c>
      <c r="B2483" t="s">
        <v>7694</v>
      </c>
      <c r="C2483" t="s">
        <v>7695</v>
      </c>
      <c r="D2483" t="s">
        <v>7</v>
      </c>
      <c r="AG2483" t="str">
        <f>T("4574")</f>
        <v>4574</v>
      </c>
      <c r="AH2483" t="str">
        <f>T("24")</f>
        <v>24</v>
      </c>
      <c r="AK2483" t="str">
        <f>T("1910")</f>
        <v>1910</v>
      </c>
    </row>
    <row r="2484" spans="1:37" x14ac:dyDescent="0.3">
      <c r="A2484" t="s">
        <v>7696</v>
      </c>
      <c r="B2484" t="s">
        <v>7697</v>
      </c>
      <c r="C2484" t="s">
        <v>7698</v>
      </c>
      <c r="D2484" t="s">
        <v>7</v>
      </c>
      <c r="K2484" t="str">
        <f>T("172.515")</f>
        <v>172.515</v>
      </c>
      <c r="AG2484" t="str">
        <f>T("2743")</f>
        <v>2743</v>
      </c>
      <c r="AH2484" t="str">
        <f>T("3")</f>
        <v>3</v>
      </c>
      <c r="AK2484" t="str">
        <f>T("1465")</f>
        <v>1465</v>
      </c>
    </row>
    <row r="2485" spans="1:37" x14ac:dyDescent="0.3">
      <c r="A2485" t="s">
        <v>7699</v>
      </c>
      <c r="B2485" t="s">
        <v>7700</v>
      </c>
      <c r="C2485" t="s">
        <v>7701</v>
      </c>
      <c r="D2485" t="s">
        <v>7</v>
      </c>
      <c r="K2485" t="str">
        <f>T("172.515")</f>
        <v>172.515</v>
      </c>
      <c r="AG2485" t="str">
        <f>T("2742")</f>
        <v>2742</v>
      </c>
      <c r="AH2485" t="str">
        <f>T("3")</f>
        <v>3</v>
      </c>
      <c r="AK2485" t="str">
        <f>T("141")</f>
        <v>141</v>
      </c>
    </row>
    <row r="2486" spans="1:37" x14ac:dyDescent="0.3">
      <c r="A2486" t="s">
        <v>7702</v>
      </c>
      <c r="B2486" t="s">
        <v>7703</v>
      </c>
      <c r="C2486" t="s">
        <v>7704</v>
      </c>
      <c r="D2486" t="s">
        <v>7</v>
      </c>
      <c r="K2486" t="str">
        <f>T("172.515")</f>
        <v>172.515</v>
      </c>
      <c r="AG2486" t="str">
        <f>T("3577")</f>
        <v>3577</v>
      </c>
      <c r="AH2486" t="str">
        <f>T("11")</f>
        <v>11</v>
      </c>
      <c r="AI2486" t="str">
        <f>T("25")</f>
        <v>25</v>
      </c>
      <c r="AK2486" t="str">
        <f>T("1113")</f>
        <v>1113</v>
      </c>
    </row>
    <row r="2487" spans="1:37" x14ac:dyDescent="0.3">
      <c r="A2487" t="s">
        <v>7705</v>
      </c>
      <c r="B2487" t="s">
        <v>7706</v>
      </c>
      <c r="C2487" t="s">
        <v>7707</v>
      </c>
      <c r="D2487" t="s">
        <v>7</v>
      </c>
      <c r="AG2487" t="str">
        <f>T("3201")</f>
        <v>3201</v>
      </c>
      <c r="AH2487" t="str">
        <f>T("4")</f>
        <v>4</v>
      </c>
      <c r="AI2487" t="str">
        <f>T("25")</f>
        <v>25</v>
      </c>
      <c r="AK2487" t="str">
        <f>T("565")</f>
        <v>565</v>
      </c>
    </row>
    <row r="2488" spans="1:37" x14ac:dyDescent="0.3">
      <c r="A2488" t="s">
        <v>7708</v>
      </c>
      <c r="B2488" t="s">
        <v>7709</v>
      </c>
      <c r="C2488" t="s">
        <v>7710</v>
      </c>
      <c r="D2488" t="s">
        <v>7</v>
      </c>
      <c r="AG2488" t="str">
        <f>T("3369")</f>
        <v>3369</v>
      </c>
      <c r="AH2488" t="str">
        <f>T("6")</f>
        <v>6</v>
      </c>
      <c r="AI2488" t="str">
        <f>T("25")</f>
        <v>25</v>
      </c>
      <c r="AK2488" t="str">
        <f>T("203")</f>
        <v>203</v>
      </c>
    </row>
    <row r="2489" spans="1:37" x14ac:dyDescent="0.3">
      <c r="A2489" t="s">
        <v>7711</v>
      </c>
      <c r="B2489" t="s">
        <v>7712</v>
      </c>
      <c r="C2489" t="s">
        <v>7713</v>
      </c>
      <c r="D2489" t="s">
        <v>7</v>
      </c>
      <c r="AG2489" t="str">
        <f>T("3578")</f>
        <v>3578</v>
      </c>
      <c r="AH2489" t="str">
        <f>T("11")</f>
        <v>11</v>
      </c>
      <c r="AI2489" t="str">
        <f>T("25")</f>
        <v>25</v>
      </c>
      <c r="AK2489" t="str">
        <f>T("464")</f>
        <v>464</v>
      </c>
    </row>
    <row r="2490" spans="1:37" x14ac:dyDescent="0.3">
      <c r="A2490" t="s">
        <v>7714</v>
      </c>
      <c r="B2490" t="s">
        <v>7715</v>
      </c>
      <c r="C2490" t="s">
        <v>7716</v>
      </c>
      <c r="D2490" t="s">
        <v>7</v>
      </c>
      <c r="AG2490" t="str">
        <f>T("4677")</f>
        <v>4677</v>
      </c>
      <c r="AH2490" t="str">
        <f>T("25")</f>
        <v>25</v>
      </c>
      <c r="AK2490" t="str">
        <f>T("2089")</f>
        <v>2089</v>
      </c>
    </row>
    <row r="2491" spans="1:37" x14ac:dyDescent="0.3">
      <c r="A2491" t="s">
        <v>7717</v>
      </c>
      <c r="B2491" t="s">
        <v>7718</v>
      </c>
      <c r="C2491" t="s">
        <v>7719</v>
      </c>
      <c r="D2491" t="s">
        <v>7</v>
      </c>
      <c r="AG2491" t="str">
        <f>T("3370")</f>
        <v>3370</v>
      </c>
      <c r="AH2491" t="str">
        <f>T("6")</f>
        <v>6</v>
      </c>
      <c r="AK2491" t="str">
        <f>T("1311")</f>
        <v>1311</v>
      </c>
    </row>
    <row r="2492" spans="1:37" x14ac:dyDescent="0.3">
      <c r="A2492" t="s">
        <v>7720</v>
      </c>
      <c r="B2492" t="s">
        <v>7721</v>
      </c>
      <c r="C2492" t="s">
        <v>7722</v>
      </c>
      <c r="D2492" t="s">
        <v>7</v>
      </c>
      <c r="AG2492" t="str">
        <f>T("3371")</f>
        <v>3371</v>
      </c>
      <c r="AH2492" t="str">
        <f>T("6")</f>
        <v>6</v>
      </c>
      <c r="AK2492" t="str">
        <f>T("1312")</f>
        <v>1312</v>
      </c>
    </row>
    <row r="2493" spans="1:37" x14ac:dyDescent="0.3">
      <c r="A2493" t="s">
        <v>7723</v>
      </c>
      <c r="B2493" t="s">
        <v>7724</v>
      </c>
      <c r="C2493" t="s">
        <v>7725</v>
      </c>
      <c r="D2493" t="s">
        <v>7</v>
      </c>
      <c r="AG2493" t="str">
        <f>T("3372")</f>
        <v>3372</v>
      </c>
      <c r="AH2493" t="str">
        <f>T("6")</f>
        <v>6</v>
      </c>
      <c r="AK2493" t="str">
        <f>T("1033")</f>
        <v>1033</v>
      </c>
    </row>
    <row r="2494" spans="1:37" x14ac:dyDescent="0.3">
      <c r="A2494" t="s">
        <v>7726</v>
      </c>
      <c r="B2494" t="s">
        <v>7727</v>
      </c>
      <c r="C2494" t="s">
        <v>7728</v>
      </c>
      <c r="D2494" t="s">
        <v>7</v>
      </c>
      <c r="AG2494" t="str">
        <f>T("3308")</f>
        <v>3308</v>
      </c>
      <c r="AH2494" t="str">
        <f>T("5")</f>
        <v>5</v>
      </c>
      <c r="AK2494" t="str">
        <f>T("584")</f>
        <v>584</v>
      </c>
    </row>
    <row r="2495" spans="1:37" x14ac:dyDescent="0.3">
      <c r="A2495" t="s">
        <v>7729</v>
      </c>
      <c r="B2495" t="s">
        <v>7730</v>
      </c>
      <c r="C2495" t="s">
        <v>7731</v>
      </c>
      <c r="D2495" t="s">
        <v>7</v>
      </c>
      <c r="AG2495" t="str">
        <f>T("3309")</f>
        <v>3309</v>
      </c>
      <c r="AH2495" t="str">
        <f>T("5")</f>
        <v>5</v>
      </c>
      <c r="AI2495" t="str">
        <f>T("25")</f>
        <v>25</v>
      </c>
      <c r="AK2495" t="str">
        <f>T("761")</f>
        <v>761</v>
      </c>
    </row>
    <row r="2496" spans="1:37" x14ac:dyDescent="0.3">
      <c r="A2496" t="s">
        <v>7732</v>
      </c>
      <c r="B2496" t="s">
        <v>7733</v>
      </c>
      <c r="C2496" t="s">
        <v>7734</v>
      </c>
      <c r="D2496" t="s">
        <v>7</v>
      </c>
      <c r="AG2496" t="str">
        <f>T("3202")</f>
        <v>3202</v>
      </c>
      <c r="AH2496" t="str">
        <f>T("4")</f>
        <v>4</v>
      </c>
      <c r="AI2496" t="str">
        <f>T("25")</f>
        <v>25</v>
      </c>
      <c r="AK2496" t="str">
        <f>T("1307")</f>
        <v>1307</v>
      </c>
    </row>
    <row r="2497" spans="1:37" x14ac:dyDescent="0.3">
      <c r="A2497" t="s">
        <v>7735</v>
      </c>
      <c r="B2497" t="s">
        <v>7736</v>
      </c>
      <c r="C2497" t="s">
        <v>7737</v>
      </c>
      <c r="D2497" t="s">
        <v>7</v>
      </c>
      <c r="AG2497" t="str">
        <f>T("2744")</f>
        <v>2744</v>
      </c>
      <c r="AH2497" t="str">
        <f>T("3")</f>
        <v>3</v>
      </c>
      <c r="AK2497" t="str">
        <f>T("1302")</f>
        <v>1302</v>
      </c>
    </row>
    <row r="2498" spans="1:37" x14ac:dyDescent="0.3">
      <c r="A2498" t="s">
        <v>7738</v>
      </c>
      <c r="B2498" t="s">
        <v>7739</v>
      </c>
      <c r="C2498" t="s">
        <v>7740</v>
      </c>
      <c r="D2498" t="s">
        <v>7</v>
      </c>
      <c r="AG2498" t="str">
        <f>T("3203")</f>
        <v>3203</v>
      </c>
      <c r="AH2498" t="str">
        <f>T("4")</f>
        <v>4</v>
      </c>
      <c r="AK2498" t="str">
        <f>T("798")</f>
        <v>798</v>
      </c>
    </row>
    <row r="2499" spans="1:37" x14ac:dyDescent="0.3">
      <c r="A2499" t="s">
        <v>7741</v>
      </c>
      <c r="B2499" t="s">
        <v>7742</v>
      </c>
      <c r="C2499" t="s">
        <v>7743</v>
      </c>
      <c r="D2499" t="s">
        <v>7</v>
      </c>
      <c r="K2499" t="str">
        <f>T("175.105")</f>
        <v>175.105</v>
      </c>
      <c r="L2499" t="str">
        <f>T("177.1010")</f>
        <v>177.1010</v>
      </c>
      <c r="AG2499" t="str">
        <f>T("2745")</f>
        <v>2745</v>
      </c>
      <c r="AH2499" t="str">
        <f>T("3")</f>
        <v>3</v>
      </c>
      <c r="AK2499" t="str">
        <f>T("899")</f>
        <v>899</v>
      </c>
    </row>
    <row r="2500" spans="1:37" x14ac:dyDescent="0.3">
      <c r="A2500" t="s">
        <v>7744</v>
      </c>
      <c r="B2500" t="s">
        <v>7745</v>
      </c>
      <c r="C2500" t="s">
        <v>7746</v>
      </c>
      <c r="D2500" t="s">
        <v>7</v>
      </c>
      <c r="AG2500" t="str">
        <f>T("3714")</f>
        <v>3714</v>
      </c>
      <c r="AH2500" t="str">
        <f>T("13")</f>
        <v>13</v>
      </c>
      <c r="AK2500" t="str">
        <f>T("1177")</f>
        <v>1177</v>
      </c>
    </row>
    <row r="2501" spans="1:37" x14ac:dyDescent="0.3">
      <c r="A2501" t="s">
        <v>7747</v>
      </c>
      <c r="B2501" t="s">
        <v>7748</v>
      </c>
      <c r="C2501" t="s">
        <v>7749</v>
      </c>
      <c r="D2501" t="s">
        <v>7</v>
      </c>
      <c r="K2501" t="str">
        <f>T("172.515")</f>
        <v>172.515</v>
      </c>
      <c r="AG2501" t="str">
        <f>T("2746")</f>
        <v>2746</v>
      </c>
      <c r="AH2501" t="str">
        <f>T("3")</f>
        <v>3</v>
      </c>
      <c r="AK2501" t="str">
        <f>T("452")</f>
        <v>452</v>
      </c>
    </row>
    <row r="2502" spans="1:37" x14ac:dyDescent="0.3">
      <c r="A2502" t="s">
        <v>7750</v>
      </c>
      <c r="B2502" t="s">
        <v>7751</v>
      </c>
      <c r="C2502" t="s">
        <v>7752</v>
      </c>
      <c r="D2502" t="s">
        <v>7</v>
      </c>
      <c r="K2502" t="str">
        <f>T("172.515")</f>
        <v>172.515</v>
      </c>
      <c r="AG2502" t="str">
        <f>T("2690")</f>
        <v>2690</v>
      </c>
      <c r="AH2502" t="str">
        <f>T("3")</f>
        <v>3</v>
      </c>
      <c r="AI2502" t="str">
        <f>T("25")</f>
        <v>25</v>
      </c>
      <c r="AK2502" t="str">
        <f>T("1025")</f>
        <v>1025</v>
      </c>
    </row>
    <row r="2503" spans="1:37" x14ac:dyDescent="0.3">
      <c r="A2503" t="s">
        <v>7753</v>
      </c>
      <c r="B2503" t="s">
        <v>7754</v>
      </c>
      <c r="C2503" t="s">
        <v>7755</v>
      </c>
      <c r="D2503" t="s">
        <v>7</v>
      </c>
      <c r="AG2503" t="str">
        <f>T("3373")</f>
        <v>3373</v>
      </c>
      <c r="AH2503" t="s">
        <v>1308</v>
      </c>
      <c r="AK2503" t="str">
        <f>T("1448")</f>
        <v>1448</v>
      </c>
    </row>
    <row r="2504" spans="1:37" x14ac:dyDescent="0.3">
      <c r="A2504" t="s">
        <v>7756</v>
      </c>
      <c r="B2504" t="s">
        <v>7757</v>
      </c>
      <c r="C2504" t="s">
        <v>7758</v>
      </c>
      <c r="D2504" t="s">
        <v>7</v>
      </c>
      <c r="AG2504" t="str">
        <f>T("3787")</f>
        <v>3787</v>
      </c>
      <c r="AH2504" t="str">
        <f>T("16")</f>
        <v>16</v>
      </c>
      <c r="AI2504" t="str">
        <f>T("25")</f>
        <v>25</v>
      </c>
      <c r="AK2504" t="str">
        <f>T("1090")</f>
        <v>1090</v>
      </c>
    </row>
    <row r="2505" spans="1:37" x14ac:dyDescent="0.3">
      <c r="A2505" t="s">
        <v>7759</v>
      </c>
      <c r="B2505" t="s">
        <v>7760</v>
      </c>
      <c r="C2505" t="s">
        <v>7761</v>
      </c>
      <c r="D2505" t="s">
        <v>7</v>
      </c>
      <c r="AG2505" t="str">
        <f>T("4686")</f>
        <v>4686</v>
      </c>
      <c r="AH2505" t="str">
        <f>T("25")</f>
        <v>25</v>
      </c>
      <c r="AK2505" t="str">
        <f>T("2098")</f>
        <v>2098</v>
      </c>
    </row>
    <row r="2506" spans="1:37" x14ac:dyDescent="0.3">
      <c r="A2506" t="s">
        <v>7762</v>
      </c>
      <c r="B2506" t="s">
        <v>7763</v>
      </c>
      <c r="C2506" t="s">
        <v>7764</v>
      </c>
      <c r="D2506" t="s">
        <v>7</v>
      </c>
      <c r="AG2506" t="str">
        <f>T("3715")</f>
        <v>3715</v>
      </c>
      <c r="AH2506" t="str">
        <f>T("13")</f>
        <v>13</v>
      </c>
      <c r="AK2506" t="str">
        <f>T("1405")</f>
        <v>1405</v>
      </c>
    </row>
    <row r="2507" spans="1:37" x14ac:dyDescent="0.3">
      <c r="A2507" t="s">
        <v>7765</v>
      </c>
      <c r="B2507" t="s">
        <v>7766</v>
      </c>
      <c r="C2507" t="s">
        <v>7767</v>
      </c>
      <c r="D2507" t="s">
        <v>15</v>
      </c>
      <c r="AG2507" t="str">
        <f>T("3512")</f>
        <v>3512</v>
      </c>
      <c r="AH2507" t="str">
        <f>T("10")</f>
        <v>10</v>
      </c>
      <c r="AK2507" t="str">
        <f>T("499")</f>
        <v>499</v>
      </c>
    </row>
    <row r="2508" spans="1:37" x14ac:dyDescent="0.3">
      <c r="A2508" t="s">
        <v>7768</v>
      </c>
      <c r="B2508" t="s">
        <v>7769</v>
      </c>
      <c r="C2508" t="s">
        <v>7770</v>
      </c>
      <c r="D2508" t="s">
        <v>7</v>
      </c>
      <c r="AG2508" t="str">
        <f>T("3716")</f>
        <v>3716</v>
      </c>
      <c r="AH2508" t="str">
        <f>T("13")</f>
        <v>13</v>
      </c>
      <c r="AK2508" t="str">
        <f>T("1043")</f>
        <v>1043</v>
      </c>
    </row>
    <row r="2509" spans="1:37" x14ac:dyDescent="0.3">
      <c r="A2509" t="s">
        <v>7771</v>
      </c>
      <c r="B2509" t="s">
        <v>7772</v>
      </c>
      <c r="C2509" t="s">
        <v>7773</v>
      </c>
      <c r="D2509" t="s">
        <v>7</v>
      </c>
      <c r="AG2509" t="str">
        <f>T("3204")</f>
        <v>3204</v>
      </c>
      <c r="AH2509" t="str">
        <f>T("4")</f>
        <v>4</v>
      </c>
      <c r="AI2509" t="str">
        <f>T("25")</f>
        <v>25</v>
      </c>
      <c r="AK2509" t="str">
        <f>T("1031")</f>
        <v>1031</v>
      </c>
    </row>
    <row r="2510" spans="1:37" x14ac:dyDescent="0.3">
      <c r="A2510" t="s">
        <v>7774</v>
      </c>
      <c r="B2510" t="s">
        <v>7775</v>
      </c>
      <c r="C2510" t="s">
        <v>7776</v>
      </c>
      <c r="D2510" t="s">
        <v>7</v>
      </c>
      <c r="AG2510" t="str">
        <f>T("3205")</f>
        <v>3205</v>
      </c>
      <c r="AH2510" t="str">
        <f>T("4")</f>
        <v>4</v>
      </c>
      <c r="AK2510" t="str">
        <f>T("1054")</f>
        <v>1054</v>
      </c>
    </row>
    <row r="2511" spans="1:37" x14ac:dyDescent="0.3">
      <c r="A2511" t="s">
        <v>7777</v>
      </c>
      <c r="B2511" t="s">
        <v>7778</v>
      </c>
      <c r="C2511" t="s">
        <v>7779</v>
      </c>
      <c r="D2511" t="s">
        <v>7</v>
      </c>
      <c r="AG2511" t="str">
        <f>T("4644")</f>
        <v>4644</v>
      </c>
      <c r="AH2511" t="str">
        <f>T("24")</f>
        <v>24</v>
      </c>
      <c r="AK2511" t="str">
        <f>T("2115")</f>
        <v>2115</v>
      </c>
    </row>
    <row r="2512" spans="1:37" x14ac:dyDescent="0.3">
      <c r="A2512" t="s">
        <v>7780</v>
      </c>
      <c r="B2512" t="s">
        <v>7781</v>
      </c>
      <c r="C2512" t="s">
        <v>7782</v>
      </c>
      <c r="D2512" t="s">
        <v>7</v>
      </c>
      <c r="AG2512" t="str">
        <f>T("4277")</f>
        <v>4277</v>
      </c>
      <c r="AH2512" t="str">
        <f t="shared" ref="AH2512:AH2518" si="29">T("23")</f>
        <v>23</v>
      </c>
      <c r="AK2512" t="str">
        <f>T("1753")</f>
        <v>1753</v>
      </c>
    </row>
    <row r="2513" spans="1:37" x14ac:dyDescent="0.3">
      <c r="A2513" t="s">
        <v>7783</v>
      </c>
      <c r="B2513" t="s">
        <v>7784</v>
      </c>
      <c r="C2513" t="s">
        <v>7785</v>
      </c>
      <c r="D2513" t="s">
        <v>7</v>
      </c>
      <c r="AG2513" t="str">
        <f>T("4281")</f>
        <v>4281</v>
      </c>
      <c r="AH2513" t="str">
        <f t="shared" si="29"/>
        <v>23</v>
      </c>
      <c r="AK2513" t="str">
        <f>T("1757")</f>
        <v>1757</v>
      </c>
    </row>
    <row r="2514" spans="1:37" x14ac:dyDescent="0.3">
      <c r="A2514" t="s">
        <v>7786</v>
      </c>
      <c r="B2514" t="s">
        <v>7787</v>
      </c>
      <c r="C2514" t="s">
        <v>7788</v>
      </c>
      <c r="D2514" t="s">
        <v>7</v>
      </c>
      <c r="AG2514" t="str">
        <f>T("4275")</f>
        <v>4275</v>
      </c>
      <c r="AH2514" t="str">
        <f t="shared" si="29"/>
        <v>23</v>
      </c>
      <c r="AK2514" t="str">
        <f>T("1751")</f>
        <v>1751</v>
      </c>
    </row>
    <row r="2515" spans="1:37" x14ac:dyDescent="0.3">
      <c r="A2515" t="s">
        <v>7789</v>
      </c>
      <c r="B2515" t="s">
        <v>7790</v>
      </c>
      <c r="C2515" t="s">
        <v>7791</v>
      </c>
      <c r="D2515" t="s">
        <v>7</v>
      </c>
      <c r="AG2515" t="str">
        <f>T("4279")</f>
        <v>4279</v>
      </c>
      <c r="AH2515" t="str">
        <f t="shared" si="29"/>
        <v>23</v>
      </c>
      <c r="AK2515" t="str">
        <f>T("1755")</f>
        <v>1755</v>
      </c>
    </row>
    <row r="2516" spans="1:37" x14ac:dyDescent="0.3">
      <c r="A2516" t="s">
        <v>7792</v>
      </c>
      <c r="B2516" t="s">
        <v>7793</v>
      </c>
      <c r="C2516" t="s">
        <v>7794</v>
      </c>
      <c r="D2516" t="s">
        <v>7</v>
      </c>
      <c r="AG2516" t="str">
        <f>T("4278")</f>
        <v>4278</v>
      </c>
      <c r="AH2516" t="str">
        <f t="shared" si="29"/>
        <v>23</v>
      </c>
      <c r="AK2516" t="str">
        <f>T("1754")</f>
        <v>1754</v>
      </c>
    </row>
    <row r="2517" spans="1:37" x14ac:dyDescent="0.3">
      <c r="A2517" t="s">
        <v>7795</v>
      </c>
      <c r="B2517" t="s">
        <v>7796</v>
      </c>
      <c r="C2517" t="s">
        <v>7797</v>
      </c>
      <c r="D2517" t="s">
        <v>7</v>
      </c>
      <c r="AG2517" t="str">
        <f>T("4280")</f>
        <v>4280</v>
      </c>
      <c r="AH2517" t="str">
        <f t="shared" si="29"/>
        <v>23</v>
      </c>
      <c r="AK2517" t="str">
        <f>T("1756")</f>
        <v>1756</v>
      </c>
    </row>
    <row r="2518" spans="1:37" x14ac:dyDescent="0.3">
      <c r="A2518" t="s">
        <v>7798</v>
      </c>
      <c r="B2518" t="s">
        <v>7799</v>
      </c>
      <c r="C2518" t="s">
        <v>7800</v>
      </c>
      <c r="D2518" t="s">
        <v>7</v>
      </c>
      <c r="AG2518" t="str">
        <f>T("4276")</f>
        <v>4276</v>
      </c>
      <c r="AH2518" t="str">
        <f t="shared" si="29"/>
        <v>23</v>
      </c>
      <c r="AK2518" t="str">
        <f>T("1752")</f>
        <v>1752</v>
      </c>
    </row>
    <row r="2519" spans="1:37" x14ac:dyDescent="0.3">
      <c r="A2519" t="s">
        <v>7801</v>
      </c>
      <c r="B2519" t="s">
        <v>7802</v>
      </c>
      <c r="C2519" t="s">
        <v>7803</v>
      </c>
      <c r="D2519" t="s">
        <v>7</v>
      </c>
      <c r="AG2519" t="str">
        <f>T("3206")</f>
        <v>3206</v>
      </c>
      <c r="AH2519" t="str">
        <f>T("4")</f>
        <v>4</v>
      </c>
      <c r="AK2519" t="str">
        <f>T("465")</f>
        <v>465</v>
      </c>
    </row>
    <row r="2520" spans="1:37" x14ac:dyDescent="0.3">
      <c r="A2520" t="s">
        <v>7804</v>
      </c>
      <c r="B2520" t="s">
        <v>7805</v>
      </c>
      <c r="C2520" t="s">
        <v>7806</v>
      </c>
      <c r="D2520" t="s">
        <v>7</v>
      </c>
      <c r="AG2520" t="str">
        <f>T("3876")</f>
        <v>3876</v>
      </c>
      <c r="AH2520" t="str">
        <f>T("18")</f>
        <v>18</v>
      </c>
      <c r="AK2520" t="str">
        <f>T("482")</f>
        <v>482</v>
      </c>
    </row>
    <row r="2521" spans="1:37" x14ac:dyDescent="0.3">
      <c r="A2521" t="s">
        <v>7807</v>
      </c>
      <c r="B2521" t="s">
        <v>7808</v>
      </c>
      <c r="C2521" t="s">
        <v>7809</v>
      </c>
      <c r="D2521" t="s">
        <v>7</v>
      </c>
      <c r="AG2521" t="str">
        <f>T("3636")</f>
        <v>3636</v>
      </c>
      <c r="AH2521" t="str">
        <f>T("12")</f>
        <v>12</v>
      </c>
      <c r="AK2521" t="str">
        <f>T("1089")</f>
        <v>1089</v>
      </c>
    </row>
    <row r="2522" spans="1:37" x14ac:dyDescent="0.3">
      <c r="A2522" t="s">
        <v>7810</v>
      </c>
      <c r="B2522" t="s">
        <v>7811</v>
      </c>
      <c r="C2522" t="s">
        <v>7812</v>
      </c>
      <c r="D2522" t="s">
        <v>7</v>
      </c>
      <c r="AG2522" t="str">
        <f>T("3788")</f>
        <v>3788</v>
      </c>
      <c r="AH2522" t="str">
        <f>T("16")</f>
        <v>16</v>
      </c>
      <c r="AK2522" t="str">
        <f>T("492")</f>
        <v>492</v>
      </c>
    </row>
    <row r="2523" spans="1:37" x14ac:dyDescent="0.3">
      <c r="A2523" t="s">
        <v>7813</v>
      </c>
      <c r="B2523" t="s">
        <v>7814</v>
      </c>
      <c r="C2523" t="s">
        <v>7815</v>
      </c>
      <c r="D2523" t="s">
        <v>7</v>
      </c>
      <c r="AG2523" t="str">
        <f>T("3374")</f>
        <v>3374</v>
      </c>
      <c r="AH2523" t="str">
        <f>T("6")</f>
        <v>6</v>
      </c>
      <c r="AK2523" t="str">
        <f>T("467")</f>
        <v>467</v>
      </c>
    </row>
    <row r="2524" spans="1:37" x14ac:dyDescent="0.3">
      <c r="A2524" t="s">
        <v>7816</v>
      </c>
      <c r="B2524" t="s">
        <v>7817</v>
      </c>
      <c r="C2524" t="s">
        <v>7818</v>
      </c>
      <c r="D2524" t="s">
        <v>7</v>
      </c>
      <c r="AG2524" t="str">
        <f>T("3600")</f>
        <v>3600</v>
      </c>
      <c r="AH2524" t="str">
        <f>T("12")</f>
        <v>12</v>
      </c>
      <c r="AK2524" t="str">
        <f>T("462")</f>
        <v>462</v>
      </c>
    </row>
    <row r="2525" spans="1:37" x14ac:dyDescent="0.3">
      <c r="A2525" t="s">
        <v>7819</v>
      </c>
      <c r="B2525" t="s">
        <v>7820</v>
      </c>
      <c r="C2525" t="s">
        <v>7821</v>
      </c>
      <c r="D2525" t="s">
        <v>7</v>
      </c>
      <c r="AG2525" t="str">
        <f>T("4181")</f>
        <v>4181</v>
      </c>
      <c r="AH2525" t="str">
        <f>T("22")</f>
        <v>22</v>
      </c>
      <c r="AK2525" t="str">
        <f>T("1688")</f>
        <v>1688</v>
      </c>
    </row>
    <row r="2526" spans="1:37" x14ac:dyDescent="0.3">
      <c r="A2526" t="s">
        <v>7822</v>
      </c>
      <c r="B2526" t="s">
        <v>7823</v>
      </c>
      <c r="C2526" t="s">
        <v>7824</v>
      </c>
      <c r="D2526" t="s">
        <v>7</v>
      </c>
      <c r="AG2526" t="str">
        <f>T("3207")</f>
        <v>3207</v>
      </c>
      <c r="AH2526" t="str">
        <f>T("4")</f>
        <v>4</v>
      </c>
      <c r="AK2526" t="str">
        <f>T("496")</f>
        <v>496</v>
      </c>
    </row>
    <row r="2527" spans="1:37" x14ac:dyDescent="0.3">
      <c r="A2527" t="s">
        <v>7825</v>
      </c>
      <c r="B2527" t="s">
        <v>7826</v>
      </c>
      <c r="C2527" t="s">
        <v>7827</v>
      </c>
      <c r="D2527" t="s">
        <v>7</v>
      </c>
      <c r="AG2527" t="str">
        <f>T("3375")</f>
        <v>3375</v>
      </c>
      <c r="AH2527" t="str">
        <f>T("6")</f>
        <v>6</v>
      </c>
      <c r="AK2527" t="str">
        <f>T("497")</f>
        <v>497</v>
      </c>
    </row>
    <row r="2528" spans="1:37" x14ac:dyDescent="0.3">
      <c r="A2528" t="s">
        <v>7828</v>
      </c>
      <c r="B2528" t="s">
        <v>7829</v>
      </c>
      <c r="C2528" t="s">
        <v>7830</v>
      </c>
      <c r="D2528" t="s">
        <v>7</v>
      </c>
      <c r="AG2528" t="str">
        <f>T("4414")</f>
        <v>4414</v>
      </c>
      <c r="AH2528" t="str">
        <f>T("23")</f>
        <v>23</v>
      </c>
      <c r="AK2528" t="str">
        <f>T("1892")</f>
        <v>1892</v>
      </c>
    </row>
    <row r="2529" spans="1:37" x14ac:dyDescent="0.3">
      <c r="A2529" t="s">
        <v>7831</v>
      </c>
      <c r="B2529" t="s">
        <v>7832</v>
      </c>
      <c r="C2529" t="s">
        <v>7833</v>
      </c>
      <c r="D2529" t="s">
        <v>7</v>
      </c>
      <c r="AG2529" t="str">
        <f>T("3310")</f>
        <v>3310</v>
      </c>
      <c r="AH2529" t="str">
        <f>T("5")</f>
        <v>5</v>
      </c>
      <c r="AI2529" t="str">
        <f>T("25")</f>
        <v>25</v>
      </c>
      <c r="AK2529" t="str">
        <f>T("484")</f>
        <v>484</v>
      </c>
    </row>
    <row r="2530" spans="1:37" x14ac:dyDescent="0.3">
      <c r="A2530" t="s">
        <v>7834</v>
      </c>
      <c r="B2530" t="s">
        <v>7835</v>
      </c>
      <c r="C2530" t="s">
        <v>7836</v>
      </c>
      <c r="D2530" t="s">
        <v>7</v>
      </c>
      <c r="AG2530" t="str">
        <f>T("4569")</f>
        <v>4569</v>
      </c>
      <c r="AH2530" t="str">
        <f>T("24")</f>
        <v>24</v>
      </c>
      <c r="AK2530" t="str">
        <f>T("1942")</f>
        <v>1942</v>
      </c>
    </row>
    <row r="2531" spans="1:37" x14ac:dyDescent="0.3">
      <c r="A2531" t="s">
        <v>7837</v>
      </c>
      <c r="B2531" t="s">
        <v>7838</v>
      </c>
      <c r="C2531" t="s">
        <v>7839</v>
      </c>
      <c r="D2531" t="s">
        <v>7</v>
      </c>
      <c r="AG2531" t="str">
        <f>T("4004")</f>
        <v>4004</v>
      </c>
      <c r="AH2531" t="str">
        <f>T("20")</f>
        <v>20</v>
      </c>
      <c r="AK2531" t="str">
        <f>T("1297")</f>
        <v>1297</v>
      </c>
    </row>
    <row r="2532" spans="1:37" x14ac:dyDescent="0.3">
      <c r="A2532" t="s">
        <v>7840</v>
      </c>
      <c r="B2532" t="s">
        <v>7841</v>
      </c>
      <c r="C2532" t="s">
        <v>7842</v>
      </c>
      <c r="D2532" t="s">
        <v>7</v>
      </c>
      <c r="AG2532" t="str">
        <f>T("4560")</f>
        <v>4560</v>
      </c>
      <c r="AH2532" t="str">
        <f>T("24")</f>
        <v>24</v>
      </c>
      <c r="AK2532" t="str">
        <f>T("1913")</f>
        <v>1913</v>
      </c>
    </row>
    <row r="2533" spans="1:37" x14ac:dyDescent="0.3">
      <c r="A2533" t="s">
        <v>7843</v>
      </c>
      <c r="B2533" t="s">
        <v>7844</v>
      </c>
      <c r="C2533" t="s">
        <v>7845</v>
      </c>
      <c r="D2533" t="s">
        <v>7</v>
      </c>
      <c r="AG2533" t="str">
        <f>T("3311")</f>
        <v>3311</v>
      </c>
      <c r="AH2533" t="str">
        <f>T("5")</f>
        <v>5</v>
      </c>
      <c r="AI2533" t="str">
        <f>T("25")</f>
        <v>25</v>
      </c>
      <c r="AK2533" t="str">
        <f>T("1083")</f>
        <v>1083</v>
      </c>
    </row>
    <row r="2534" spans="1:37" x14ac:dyDescent="0.3">
      <c r="A2534" t="s">
        <v>7846</v>
      </c>
      <c r="B2534" t="s">
        <v>7847</v>
      </c>
      <c r="C2534" t="s">
        <v>7848</v>
      </c>
      <c r="D2534" t="s">
        <v>7</v>
      </c>
      <c r="AG2534" t="str">
        <f>T("4183")</f>
        <v>4183</v>
      </c>
      <c r="AH2534" t="str">
        <f>T("22")</f>
        <v>22</v>
      </c>
      <c r="AK2534" t="str">
        <f>T("1692")</f>
        <v>1692</v>
      </c>
    </row>
    <row r="2535" spans="1:37" x14ac:dyDescent="0.3">
      <c r="A2535" t="s">
        <v>7849</v>
      </c>
      <c r="B2535" t="s">
        <v>7850</v>
      </c>
      <c r="C2535" t="s">
        <v>7851</v>
      </c>
      <c r="D2535" t="s">
        <v>7</v>
      </c>
      <c r="AG2535" t="str">
        <f>T("3438")</f>
        <v>3438</v>
      </c>
      <c r="AH2535" t="str">
        <f>T("8")</f>
        <v>8</v>
      </c>
      <c r="AI2535" t="str">
        <f>T("25")</f>
        <v>25</v>
      </c>
      <c r="AK2535" t="str">
        <f>T("463")</f>
        <v>463</v>
      </c>
    </row>
    <row r="2536" spans="1:37" x14ac:dyDescent="0.3">
      <c r="A2536" t="s">
        <v>7852</v>
      </c>
      <c r="B2536" t="s">
        <v>7853</v>
      </c>
      <c r="C2536" t="s">
        <v>7854</v>
      </c>
      <c r="D2536" t="s">
        <v>7</v>
      </c>
      <c r="AG2536" t="str">
        <f>T("3877")</f>
        <v>3877</v>
      </c>
      <c r="AH2536" t="str">
        <f>T("18")</f>
        <v>18</v>
      </c>
      <c r="AK2536" t="str">
        <f>T("469")</f>
        <v>469</v>
      </c>
    </row>
    <row r="2537" spans="1:37" x14ac:dyDescent="0.3">
      <c r="A2537" t="s">
        <v>7855</v>
      </c>
      <c r="B2537" t="s">
        <v>7856</v>
      </c>
      <c r="C2537" t="s">
        <v>7857</v>
      </c>
      <c r="D2537" t="s">
        <v>7</v>
      </c>
      <c r="AG2537" t="str">
        <f>T("3789")</f>
        <v>3789</v>
      </c>
      <c r="AH2537" t="str">
        <f>T("16")</f>
        <v>16</v>
      </c>
      <c r="AK2537" t="str">
        <f>T("481")</f>
        <v>481</v>
      </c>
    </row>
    <row r="2538" spans="1:37" x14ac:dyDescent="0.3">
      <c r="A2538" t="s">
        <v>7858</v>
      </c>
      <c r="B2538" t="s">
        <v>7859</v>
      </c>
      <c r="C2538" t="s">
        <v>7860</v>
      </c>
      <c r="D2538" t="s">
        <v>7</v>
      </c>
      <c r="AG2538" t="str">
        <f>T("4415")</f>
        <v>4415</v>
      </c>
      <c r="AH2538" t="str">
        <f>T("23")</f>
        <v>23</v>
      </c>
      <c r="AK2538" t="str">
        <f>T("1897")</f>
        <v>1897</v>
      </c>
    </row>
    <row r="2539" spans="1:37" x14ac:dyDescent="0.3">
      <c r="A2539" t="s">
        <v>7861</v>
      </c>
      <c r="B2539" t="s">
        <v>7862</v>
      </c>
      <c r="C2539" t="s">
        <v>7863</v>
      </c>
      <c r="D2539" t="s">
        <v>7</v>
      </c>
      <c r="AG2539" t="str">
        <f>T("3601")</f>
        <v>3601</v>
      </c>
      <c r="AH2539" t="str">
        <f>T("12")</f>
        <v>12</v>
      </c>
      <c r="AK2539" t="str">
        <f>T("470")</f>
        <v>470</v>
      </c>
    </row>
    <row r="2540" spans="1:37" x14ac:dyDescent="0.3">
      <c r="A2540" t="s">
        <v>7864</v>
      </c>
      <c r="B2540" t="s">
        <v>7865</v>
      </c>
      <c r="C2540" t="s">
        <v>7866</v>
      </c>
      <c r="D2540" t="s">
        <v>7</v>
      </c>
      <c r="AG2540" t="str">
        <f>T("3879")</f>
        <v>3879</v>
      </c>
      <c r="AH2540" t="str">
        <f>T("18")</f>
        <v>18</v>
      </c>
      <c r="AK2540" t="str">
        <f>T("473")</f>
        <v>473</v>
      </c>
    </row>
    <row r="2541" spans="1:37" x14ac:dyDescent="0.3">
      <c r="A2541" t="s">
        <v>7867</v>
      </c>
      <c r="B2541" t="s">
        <v>7868</v>
      </c>
      <c r="C2541" t="s">
        <v>7869</v>
      </c>
      <c r="D2541" t="s">
        <v>7</v>
      </c>
      <c r="AG2541" t="str">
        <f>T("3880")</f>
        <v>3880</v>
      </c>
      <c r="AH2541" t="str">
        <f>T("18")</f>
        <v>18</v>
      </c>
      <c r="AK2541" t="str">
        <f>T("479")</f>
        <v>479</v>
      </c>
    </row>
    <row r="2542" spans="1:37" x14ac:dyDescent="0.3">
      <c r="A2542" t="s">
        <v>7870</v>
      </c>
      <c r="B2542" t="s">
        <v>7871</v>
      </c>
      <c r="C2542" t="s">
        <v>7872</v>
      </c>
      <c r="D2542" t="s">
        <v>7</v>
      </c>
      <c r="AG2542" t="str">
        <f>T("4185")</f>
        <v>4185</v>
      </c>
      <c r="AH2542" t="str">
        <f>T("22")</f>
        <v>22</v>
      </c>
      <c r="AK2542" t="str">
        <f>T("1675")</f>
        <v>1675</v>
      </c>
    </row>
    <row r="2543" spans="1:37" x14ac:dyDescent="0.3">
      <c r="A2543" t="s">
        <v>7873</v>
      </c>
      <c r="B2543" t="s">
        <v>7874</v>
      </c>
      <c r="C2543" t="s">
        <v>7875</v>
      </c>
      <c r="D2543" t="s">
        <v>7</v>
      </c>
      <c r="AG2543" t="str">
        <f>T("3717")</f>
        <v>3717</v>
      </c>
      <c r="AH2543" t="str">
        <f>T("13")</f>
        <v>13</v>
      </c>
      <c r="AK2543" t="str">
        <f>T("505")</f>
        <v>505</v>
      </c>
    </row>
    <row r="2544" spans="1:37" x14ac:dyDescent="0.3">
      <c r="A2544" t="s">
        <v>7876</v>
      </c>
      <c r="B2544" t="s">
        <v>7877</v>
      </c>
      <c r="C2544" t="s">
        <v>7878</v>
      </c>
      <c r="D2544" t="s">
        <v>7</v>
      </c>
      <c r="AG2544" t="str">
        <f>T("4184")</f>
        <v>4184</v>
      </c>
      <c r="AH2544" t="str">
        <f>T("22")</f>
        <v>22</v>
      </c>
      <c r="AK2544" t="str">
        <f>T("1765")</f>
        <v>1765</v>
      </c>
    </row>
    <row r="2545" spans="1:37" x14ac:dyDescent="0.3">
      <c r="A2545" t="s">
        <v>7879</v>
      </c>
      <c r="B2545" t="s">
        <v>7880</v>
      </c>
      <c r="C2545" t="s">
        <v>7881</v>
      </c>
      <c r="D2545" t="s">
        <v>7</v>
      </c>
      <c r="AG2545" t="str">
        <f>T("4707")</f>
        <v>4707</v>
      </c>
      <c r="AH2545" t="str">
        <f>T("25")</f>
        <v>25</v>
      </c>
      <c r="AK2545" t="str">
        <f>T("2086")</f>
        <v>2086</v>
      </c>
    </row>
    <row r="2546" spans="1:37" x14ac:dyDescent="0.3">
      <c r="A2546" t="s">
        <v>7882</v>
      </c>
      <c r="B2546" t="s">
        <v>7883</v>
      </c>
      <c r="C2546" t="s">
        <v>7884</v>
      </c>
      <c r="D2546" t="s">
        <v>7</v>
      </c>
      <c r="AG2546" t="str">
        <f>T("3881")</f>
        <v>3881</v>
      </c>
      <c r="AH2546" t="str">
        <f>T("18")</f>
        <v>18</v>
      </c>
      <c r="AK2546" t="str">
        <f>T("501")</f>
        <v>501</v>
      </c>
    </row>
    <row r="2547" spans="1:37" x14ac:dyDescent="0.3">
      <c r="A2547" t="s">
        <v>7885</v>
      </c>
      <c r="B2547" t="s">
        <v>7886</v>
      </c>
      <c r="C2547" t="s">
        <v>7887</v>
      </c>
      <c r="D2547" t="s">
        <v>7</v>
      </c>
      <c r="AG2547" t="str">
        <f>T("4182")</f>
        <v>4182</v>
      </c>
      <c r="AH2547" t="str">
        <f>T("22")</f>
        <v>22</v>
      </c>
      <c r="AK2547" t="str">
        <f>T("1689")</f>
        <v>1689</v>
      </c>
    </row>
    <row r="2548" spans="1:37" x14ac:dyDescent="0.3">
      <c r="A2548" t="s">
        <v>7888</v>
      </c>
      <c r="B2548" t="s">
        <v>7889</v>
      </c>
      <c r="C2548" t="s">
        <v>7890</v>
      </c>
      <c r="D2548" t="s">
        <v>7</v>
      </c>
      <c r="AG2548" t="str">
        <f>T("4416")</f>
        <v>4416</v>
      </c>
      <c r="AH2548" t="str">
        <f>T("23")</f>
        <v>23</v>
      </c>
      <c r="AK2548" t="str">
        <f>T("1896")</f>
        <v>1896</v>
      </c>
    </row>
    <row r="2549" spans="1:37" x14ac:dyDescent="0.3">
      <c r="A2549" t="s">
        <v>7891</v>
      </c>
      <c r="B2549" t="s">
        <v>7892</v>
      </c>
      <c r="C2549" t="s">
        <v>7893</v>
      </c>
      <c r="D2549" t="s">
        <v>7</v>
      </c>
      <c r="AG2549" t="str">
        <f>T("3209")</f>
        <v>3209</v>
      </c>
      <c r="AH2549" t="str">
        <f>T("4")</f>
        <v>4</v>
      </c>
      <c r="AI2549" t="str">
        <f>T("25")</f>
        <v>25</v>
      </c>
      <c r="AK2549" t="str">
        <f>T("1050")</f>
        <v>1050</v>
      </c>
    </row>
    <row r="2550" spans="1:37" x14ac:dyDescent="0.3">
      <c r="A2550" t="s">
        <v>7894</v>
      </c>
      <c r="B2550" t="s">
        <v>7895</v>
      </c>
      <c r="C2550" t="s">
        <v>7896</v>
      </c>
      <c r="D2550" t="s">
        <v>7</v>
      </c>
      <c r="AG2550" t="str">
        <f>T("3210")</f>
        <v>3210</v>
      </c>
      <c r="AH2550" t="str">
        <f>T("4")</f>
        <v>4</v>
      </c>
      <c r="AK2550" t="str">
        <f>T("503")</f>
        <v>503</v>
      </c>
    </row>
    <row r="2551" spans="1:37" x14ac:dyDescent="0.3">
      <c r="A2551" t="s">
        <v>7897</v>
      </c>
      <c r="B2551" t="s">
        <v>7898</v>
      </c>
      <c r="C2551" t="s">
        <v>7899</v>
      </c>
      <c r="D2551" t="s">
        <v>7</v>
      </c>
      <c r="AG2551" t="str">
        <f>T("3882")</f>
        <v>3882</v>
      </c>
      <c r="AH2551" t="str">
        <f>T("18")</f>
        <v>18</v>
      </c>
      <c r="AK2551" t="str">
        <f>T("495")</f>
        <v>495</v>
      </c>
    </row>
    <row r="2552" spans="1:37" x14ac:dyDescent="0.3">
      <c r="A2552" t="s">
        <v>7900</v>
      </c>
      <c r="B2552" t="s">
        <v>7901</v>
      </c>
      <c r="C2552" t="s">
        <v>7902</v>
      </c>
      <c r="D2552" t="s">
        <v>7</v>
      </c>
      <c r="K2552" t="str">
        <f>T("172.515")</f>
        <v>172.515</v>
      </c>
      <c r="AG2552" t="str">
        <f>T("2747")</f>
        <v>2747</v>
      </c>
      <c r="AH2552" t="str">
        <f>T("3")</f>
        <v>3</v>
      </c>
      <c r="AI2552" t="str">
        <f>T("25")</f>
        <v>25</v>
      </c>
      <c r="AK2552" t="str">
        <f>T("466")</f>
        <v>466</v>
      </c>
    </row>
    <row r="2553" spans="1:37" x14ac:dyDescent="0.3">
      <c r="A2553" t="s">
        <v>7903</v>
      </c>
      <c r="B2553" t="s">
        <v>7904</v>
      </c>
      <c r="C2553" t="s">
        <v>7905</v>
      </c>
      <c r="D2553" t="s">
        <v>7</v>
      </c>
      <c r="AG2553" t="str">
        <f>T("3790")</f>
        <v>3790</v>
      </c>
      <c r="AH2553" t="str">
        <f>T("16")</f>
        <v>16</v>
      </c>
      <c r="AK2553" t="str">
        <f>T("493")</f>
        <v>493</v>
      </c>
    </row>
    <row r="2554" spans="1:37" x14ac:dyDescent="0.3">
      <c r="A2554" t="s">
        <v>7906</v>
      </c>
      <c r="B2554" t="s">
        <v>7907</v>
      </c>
      <c r="C2554" t="s">
        <v>7908</v>
      </c>
      <c r="D2554" t="s">
        <v>7</v>
      </c>
      <c r="AG2554" t="str">
        <f>T("3883")</f>
        <v>3883</v>
      </c>
      <c r="AH2554" t="str">
        <f>T("18")</f>
        <v>18</v>
      </c>
      <c r="AK2554" t="str">
        <f>T("478")</f>
        <v>478</v>
      </c>
    </row>
    <row r="2555" spans="1:37" x14ac:dyDescent="0.3">
      <c r="A2555" t="s">
        <v>7909</v>
      </c>
      <c r="B2555" t="s">
        <v>7910</v>
      </c>
      <c r="C2555" t="s">
        <v>7911</v>
      </c>
      <c r="D2555" t="s">
        <v>7</v>
      </c>
      <c r="AG2555" t="str">
        <f>T("4649")</f>
        <v>4649</v>
      </c>
      <c r="AH2555" t="str">
        <f>T("24")</f>
        <v>24</v>
      </c>
      <c r="AK2555" t="str">
        <f>T("2004")</f>
        <v>2004</v>
      </c>
    </row>
    <row r="2556" spans="1:37" x14ac:dyDescent="0.3">
      <c r="A2556" t="s">
        <v>7912</v>
      </c>
      <c r="B2556" t="s">
        <v>7913</v>
      </c>
      <c r="C2556" t="s">
        <v>7914</v>
      </c>
      <c r="D2556" t="s">
        <v>7</v>
      </c>
      <c r="AG2556" t="str">
        <f>T("4436")</f>
        <v>4436</v>
      </c>
      <c r="AH2556" t="str">
        <f>T("24")</f>
        <v>24</v>
      </c>
      <c r="AK2556" t="str">
        <f>T("1941")</f>
        <v>1941</v>
      </c>
    </row>
    <row r="2557" spans="1:37" x14ac:dyDescent="0.3">
      <c r="A2557" t="s">
        <v>7915</v>
      </c>
      <c r="B2557" t="s">
        <v>7916</v>
      </c>
      <c r="C2557" t="s">
        <v>7917</v>
      </c>
      <c r="D2557" t="s">
        <v>7</v>
      </c>
      <c r="AG2557" t="str">
        <f>T("3312")</f>
        <v>3312</v>
      </c>
      <c r="AH2557" t="str">
        <f>T("5")</f>
        <v>5</v>
      </c>
      <c r="AI2557" t="str">
        <f>T("25")</f>
        <v>25</v>
      </c>
      <c r="AK2557" t="str">
        <f>T("1564")</f>
        <v>1564</v>
      </c>
    </row>
    <row r="2558" spans="1:37" x14ac:dyDescent="0.3">
      <c r="A2558" t="s">
        <v>7918</v>
      </c>
      <c r="B2558" t="s">
        <v>7919</v>
      </c>
      <c r="C2558" t="s">
        <v>7920</v>
      </c>
      <c r="D2558" t="s">
        <v>7</v>
      </c>
      <c r="AG2558" t="str">
        <f>T("4561")</f>
        <v>4561</v>
      </c>
      <c r="AH2558" t="str">
        <f>T("24")</f>
        <v>24</v>
      </c>
      <c r="AK2558" t="str">
        <f>T("1914")</f>
        <v>1914</v>
      </c>
    </row>
    <row r="2559" spans="1:37" x14ac:dyDescent="0.3">
      <c r="A2559" t="s">
        <v>7921</v>
      </c>
      <c r="B2559" t="s">
        <v>7922</v>
      </c>
      <c r="C2559" t="s">
        <v>7923</v>
      </c>
      <c r="D2559" t="s">
        <v>7</v>
      </c>
      <c r="K2559" t="str">
        <f>T("172.515")</f>
        <v>172.515</v>
      </c>
      <c r="AG2559" t="str">
        <f>T("2748")</f>
        <v>2748</v>
      </c>
      <c r="AH2559" t="str">
        <f>T("3")</f>
        <v>3</v>
      </c>
      <c r="AK2559" t="str">
        <f>T("1466")</f>
        <v>1466</v>
      </c>
    </row>
    <row r="2560" spans="1:37" x14ac:dyDescent="0.3">
      <c r="A2560" t="s">
        <v>7924</v>
      </c>
      <c r="B2560" t="s">
        <v>7925</v>
      </c>
      <c r="C2560" t="s">
        <v>7926</v>
      </c>
      <c r="D2560" t="s">
        <v>7</v>
      </c>
      <c r="AG2560" t="str">
        <f>T("4005")</f>
        <v>4005</v>
      </c>
      <c r="AH2560" t="str">
        <f>T("20")</f>
        <v>20</v>
      </c>
      <c r="AI2560" t="str">
        <f>T("21")</f>
        <v>21</v>
      </c>
      <c r="AK2560" t="str">
        <f>T("1229")</f>
        <v>1229</v>
      </c>
    </row>
    <row r="2561" spans="1:37" x14ac:dyDescent="0.3">
      <c r="A2561" t="s">
        <v>7927</v>
      </c>
      <c r="B2561" t="s">
        <v>7928</v>
      </c>
      <c r="C2561" t="s">
        <v>7929</v>
      </c>
      <c r="D2561" t="s">
        <v>7</v>
      </c>
      <c r="AG2561" t="str">
        <f>T("3718")</f>
        <v>3718</v>
      </c>
      <c r="AH2561" t="str">
        <f>T("13")</f>
        <v>13</v>
      </c>
      <c r="AK2561" t="str">
        <f>T("574")</f>
        <v>574</v>
      </c>
    </row>
    <row r="2562" spans="1:37" x14ac:dyDescent="0.3">
      <c r="A2562" t="s">
        <v>7930</v>
      </c>
      <c r="B2562" t="s">
        <v>7931</v>
      </c>
      <c r="C2562" t="s">
        <v>7932</v>
      </c>
      <c r="D2562" t="s">
        <v>7</v>
      </c>
      <c r="K2562" t="str">
        <f>T("172.515")</f>
        <v>172.515</v>
      </c>
      <c r="AG2562" t="str">
        <f>T("2749")</f>
        <v>2749</v>
      </c>
      <c r="AH2562" t="str">
        <f>T("3")</f>
        <v>3</v>
      </c>
      <c r="AK2562" t="str">
        <f>T("275")</f>
        <v>275</v>
      </c>
    </row>
    <row r="2563" spans="1:37" x14ac:dyDescent="0.3">
      <c r="A2563" t="s">
        <v>7933</v>
      </c>
      <c r="B2563" t="s">
        <v>7934</v>
      </c>
      <c r="C2563" t="s">
        <v>7935</v>
      </c>
      <c r="D2563" t="s">
        <v>7</v>
      </c>
      <c r="AG2563" t="str">
        <f>T("4253")</f>
        <v>4253</v>
      </c>
      <c r="AH2563" t="str">
        <f>T("22")</f>
        <v>22</v>
      </c>
      <c r="AK2563" t="str">
        <f>T("1639")</f>
        <v>1639</v>
      </c>
    </row>
    <row r="2564" spans="1:37" x14ac:dyDescent="0.3">
      <c r="A2564" t="s">
        <v>7936</v>
      </c>
      <c r="B2564" t="s">
        <v>7937</v>
      </c>
      <c r="C2564" t="s">
        <v>7938</v>
      </c>
      <c r="D2564" t="s">
        <v>7</v>
      </c>
      <c r="K2564" t="str">
        <f>T("172.515")</f>
        <v>172.515</v>
      </c>
      <c r="AG2564" t="str">
        <f>T("2750")</f>
        <v>2750</v>
      </c>
      <c r="AH2564" t="str">
        <f>T("3")</f>
        <v>3</v>
      </c>
      <c r="AI2564" t="str">
        <f>T("25")</f>
        <v>25</v>
      </c>
      <c r="AK2564" t="str">
        <f>T("342")</f>
        <v>342</v>
      </c>
    </row>
    <row r="2565" spans="1:37" x14ac:dyDescent="0.3">
      <c r="A2565" t="s">
        <v>7939</v>
      </c>
      <c r="B2565" t="s">
        <v>7940</v>
      </c>
      <c r="C2565" t="s">
        <v>7941</v>
      </c>
      <c r="D2565" t="s">
        <v>7</v>
      </c>
      <c r="K2565" t="str">
        <f>T("172.515")</f>
        <v>172.515</v>
      </c>
      <c r="AG2565" t="str">
        <f>T("2751")</f>
        <v>2751</v>
      </c>
      <c r="AH2565" t="str">
        <f>T("3")</f>
        <v>3</v>
      </c>
      <c r="AI2565" t="str">
        <f>T("25")</f>
        <v>25</v>
      </c>
      <c r="AK2565" t="str">
        <f>T("1358")</f>
        <v>1358</v>
      </c>
    </row>
    <row r="2566" spans="1:37" x14ac:dyDescent="0.3">
      <c r="A2566" t="s">
        <v>7942</v>
      </c>
      <c r="B2566" t="s">
        <v>7943</v>
      </c>
      <c r="C2566" t="s">
        <v>7944</v>
      </c>
      <c r="D2566" t="s">
        <v>7</v>
      </c>
      <c r="K2566" t="str">
        <f>T("172.515")</f>
        <v>172.515</v>
      </c>
      <c r="AG2566" t="str">
        <f>T("2752")</f>
        <v>2752</v>
      </c>
      <c r="AH2566" t="str">
        <f>T("3")</f>
        <v>3</v>
      </c>
      <c r="AI2566" t="str">
        <f>T("25")</f>
        <v>25</v>
      </c>
      <c r="AK2566" t="str">
        <f>T("159")</f>
        <v>159</v>
      </c>
    </row>
    <row r="2567" spans="1:37" x14ac:dyDescent="0.3">
      <c r="A2567" t="s">
        <v>7945</v>
      </c>
      <c r="B2567" t="s">
        <v>7946</v>
      </c>
      <c r="C2567" t="s">
        <v>7947</v>
      </c>
      <c r="D2567" t="s">
        <v>7</v>
      </c>
      <c r="K2567" t="str">
        <f>T("172.515")</f>
        <v>172.515</v>
      </c>
      <c r="AG2567" t="str">
        <f>T("2754")</f>
        <v>2754</v>
      </c>
      <c r="AH2567" t="str">
        <f>T("3")</f>
        <v>3</v>
      </c>
      <c r="AI2567" t="str">
        <f>T("25")</f>
        <v>25</v>
      </c>
      <c r="AK2567" t="str">
        <f>T("261")</f>
        <v>261</v>
      </c>
    </row>
    <row r="2568" spans="1:37" x14ac:dyDescent="0.3">
      <c r="A2568" t="s">
        <v>7948</v>
      </c>
      <c r="B2568" t="s">
        <v>7949</v>
      </c>
      <c r="C2568" t="s">
        <v>7950</v>
      </c>
      <c r="D2568" t="s">
        <v>7</v>
      </c>
      <c r="AG2568" t="str">
        <f>T("3211")</f>
        <v>3211</v>
      </c>
      <c r="AH2568" t="str">
        <f>T("25")</f>
        <v>25</v>
      </c>
      <c r="AK2568" t="str">
        <f>T("2127")</f>
        <v>2127</v>
      </c>
    </row>
    <row r="2569" spans="1:37" x14ac:dyDescent="0.3">
      <c r="A2569" t="s">
        <v>7951</v>
      </c>
      <c r="B2569" t="s">
        <v>7952</v>
      </c>
      <c r="C2569" t="s">
        <v>7953</v>
      </c>
      <c r="D2569" t="s">
        <v>7</v>
      </c>
      <c r="AG2569" t="str">
        <f>T("4058")</f>
        <v>4058</v>
      </c>
      <c r="AH2569" t="str">
        <f>T("21")</f>
        <v>21</v>
      </c>
      <c r="AK2569" t="str">
        <f>T("1457")</f>
        <v>1457</v>
      </c>
    </row>
    <row r="2570" spans="1:37" x14ac:dyDescent="0.3">
      <c r="A2570" t="s">
        <v>7954</v>
      </c>
      <c r="B2570" t="s">
        <v>7955</v>
      </c>
      <c r="C2570" t="s">
        <v>7956</v>
      </c>
      <c r="D2570" t="s">
        <v>7</v>
      </c>
      <c r="AG2570" t="str">
        <f>T("3313")</f>
        <v>3313</v>
      </c>
      <c r="AH2570" t="str">
        <f>T("5")</f>
        <v>5</v>
      </c>
      <c r="AK2570" t="str">
        <f>T("1038")</f>
        <v>1038</v>
      </c>
    </row>
    <row r="2571" spans="1:37" x14ac:dyDescent="0.3">
      <c r="A2571" t="s">
        <v>7957</v>
      </c>
      <c r="B2571" t="s">
        <v>7958</v>
      </c>
      <c r="C2571" t="s">
        <v>7959</v>
      </c>
      <c r="D2571" t="s">
        <v>606</v>
      </c>
      <c r="E2571" t="str">
        <f>T("73.1496")</f>
        <v>73.1496</v>
      </c>
      <c r="F2571" t="str">
        <f>T("73.2496")</f>
        <v>73.2496</v>
      </c>
      <c r="G2571" t="str">
        <f>T("73.3128")</f>
        <v>73.3128</v>
      </c>
      <c r="H2571" t="str">
        <f>T("73.350")</f>
        <v>73.350</v>
      </c>
      <c r="K2571" t="str">
        <f>T("177.2410")</f>
        <v>177.2410</v>
      </c>
      <c r="L2571" t="str">
        <f>T("177.2600")</f>
        <v>177.2600</v>
      </c>
      <c r="M2571" t="str">
        <f>T("178.3297")</f>
        <v>178.3297</v>
      </c>
    </row>
    <row r="2572" spans="1:37" x14ac:dyDescent="0.3">
      <c r="A2572" t="s">
        <v>7960</v>
      </c>
      <c r="B2572" t="s">
        <v>7961</v>
      </c>
      <c r="C2572" t="s">
        <v>7962</v>
      </c>
      <c r="D2572" t="s">
        <v>7</v>
      </c>
      <c r="AG2572" t="str">
        <f>T("3950")</f>
        <v>3950</v>
      </c>
      <c r="AH2572" t="str">
        <f>T("19")</f>
        <v>19</v>
      </c>
    </row>
    <row r="2573" spans="1:37" x14ac:dyDescent="0.3">
      <c r="A2573" t="s">
        <v>7963</v>
      </c>
      <c r="B2573" t="s">
        <v>7964</v>
      </c>
      <c r="C2573" t="s">
        <v>7965</v>
      </c>
      <c r="D2573" t="s">
        <v>137</v>
      </c>
      <c r="K2573" t="str">
        <f>T("184.1498")</f>
        <v>184.1498</v>
      </c>
    </row>
    <row r="2574" spans="1:37" x14ac:dyDescent="0.3">
      <c r="A2574" t="s">
        <v>7966</v>
      </c>
      <c r="B2574" t="s">
        <v>7967</v>
      </c>
      <c r="C2574" t="s">
        <v>7968</v>
      </c>
      <c r="D2574" t="s">
        <v>74</v>
      </c>
      <c r="K2574" t="str">
        <f>T("173.150")</f>
        <v>173.150</v>
      </c>
    </row>
    <row r="2575" spans="1:37" x14ac:dyDescent="0.3">
      <c r="A2575" t="s">
        <v>7969</v>
      </c>
      <c r="B2575" t="s">
        <v>7970</v>
      </c>
      <c r="C2575" t="s">
        <v>7971</v>
      </c>
      <c r="D2575" t="s">
        <v>74</v>
      </c>
      <c r="K2575" t="str">
        <f>T("173.150")</f>
        <v>173.150</v>
      </c>
    </row>
    <row r="2576" spans="1:37" x14ac:dyDescent="0.3">
      <c r="A2576" t="s">
        <v>7972</v>
      </c>
      <c r="B2576" t="s">
        <v>7973</v>
      </c>
      <c r="C2576" t="s">
        <v>7974</v>
      </c>
      <c r="D2576" t="s">
        <v>74</v>
      </c>
      <c r="K2576" t="str">
        <f>T("173.150")</f>
        <v>173.150</v>
      </c>
    </row>
    <row r="2577" spans="1:37" x14ac:dyDescent="0.3">
      <c r="A2577" t="s">
        <v>7975</v>
      </c>
      <c r="B2577" t="s">
        <v>7976</v>
      </c>
      <c r="C2577" t="s">
        <v>7977</v>
      </c>
      <c r="K2577" t="str">
        <f>T("173.150")</f>
        <v>173.150</v>
      </c>
    </row>
    <row r="2578" spans="1:37" x14ac:dyDescent="0.3">
      <c r="A2578" t="s">
        <v>7978</v>
      </c>
      <c r="B2578" t="s">
        <v>7979</v>
      </c>
      <c r="C2578" t="s">
        <v>7980</v>
      </c>
      <c r="D2578" t="s">
        <v>74</v>
      </c>
      <c r="K2578" t="str">
        <f>T("173.150")</f>
        <v>173.150</v>
      </c>
    </row>
    <row r="2579" spans="1:37" x14ac:dyDescent="0.3">
      <c r="A2579" t="s">
        <v>7981</v>
      </c>
      <c r="B2579" t="s">
        <v>7982</v>
      </c>
      <c r="C2579" t="s">
        <v>7983</v>
      </c>
      <c r="D2579" t="s">
        <v>7984</v>
      </c>
    </row>
    <row r="2580" spans="1:37" x14ac:dyDescent="0.3">
      <c r="A2580" t="s">
        <v>7985</v>
      </c>
      <c r="B2580" t="s">
        <v>7986</v>
      </c>
      <c r="C2580" t="s">
        <v>7987</v>
      </c>
      <c r="D2580" t="s">
        <v>7</v>
      </c>
      <c r="K2580" t="str">
        <f>T("172.510")</f>
        <v>172.510</v>
      </c>
      <c r="AG2580" t="str">
        <f>T("2755")</f>
        <v>2755</v>
      </c>
      <c r="AH2580" t="str">
        <f>T("3")</f>
        <v>3</v>
      </c>
    </row>
    <row r="2581" spans="1:37" x14ac:dyDescent="0.3">
      <c r="A2581" t="s">
        <v>7988</v>
      </c>
      <c r="B2581" t="s">
        <v>7989</v>
      </c>
      <c r="C2581" t="s">
        <v>7990</v>
      </c>
      <c r="D2581" t="s">
        <v>7</v>
      </c>
      <c r="K2581" t="str">
        <f>T("172.510")</f>
        <v>172.510</v>
      </c>
    </row>
    <row r="2582" spans="1:37" x14ac:dyDescent="0.3">
      <c r="A2582" t="s">
        <v>7991</v>
      </c>
      <c r="B2582" t="s">
        <v>7992</v>
      </c>
      <c r="C2582" t="s">
        <v>7993</v>
      </c>
      <c r="D2582" t="s">
        <v>7994</v>
      </c>
      <c r="K2582" t="str">
        <f>T("172.842")</f>
        <v>172.842</v>
      </c>
      <c r="L2582" t="str">
        <f>T("172.878")</f>
        <v>172.878</v>
      </c>
      <c r="M2582" t="str">
        <f>T("173.340")</f>
        <v>173.340</v>
      </c>
      <c r="N2582" t="str">
        <f>T("175.105")</f>
        <v>175.105</v>
      </c>
      <c r="O2582" t="str">
        <f>T("175.210")</f>
        <v>175.210</v>
      </c>
      <c r="P2582" t="str">
        <f>T("175.230")</f>
        <v>175.230</v>
      </c>
      <c r="Q2582" t="str">
        <f>T("175.300")</f>
        <v>175.300</v>
      </c>
      <c r="R2582" t="str">
        <f>T("176.170")</f>
        <v>176.170</v>
      </c>
      <c r="S2582" t="str">
        <f>T("177.1200")</f>
        <v>177.1200</v>
      </c>
      <c r="T2582" t="str">
        <f>T("177.2260")</f>
        <v>177.2260</v>
      </c>
      <c r="U2582" t="str">
        <f>T("177.2600")</f>
        <v>177.2600</v>
      </c>
      <c r="V2582" t="str">
        <f>T("177.2800")</f>
        <v>177.2800</v>
      </c>
      <c r="W2582" t="str">
        <f>T("178.2010")</f>
        <v>178.2010</v>
      </c>
      <c r="X2582" t="str">
        <f>T("178.3570")</f>
        <v>178.3570</v>
      </c>
      <c r="Y2582" t="str">
        <f>T("178.3740")</f>
        <v>178.3740</v>
      </c>
      <c r="Z2582" t="str">
        <f>T("178.391")</f>
        <v>178.391</v>
      </c>
    </row>
    <row r="2583" spans="1:37" x14ac:dyDescent="0.3">
      <c r="A2583" t="s">
        <v>7995</v>
      </c>
      <c r="B2583" t="s">
        <v>7996</v>
      </c>
      <c r="C2583" t="s">
        <v>7997</v>
      </c>
      <c r="D2583" t="s">
        <v>7</v>
      </c>
      <c r="AG2583" t="str">
        <f>T("3764")</f>
        <v>3764</v>
      </c>
      <c r="AH2583" t="str">
        <f>T("15")</f>
        <v>15</v>
      </c>
      <c r="AK2583" t="str">
        <f>T("1162")</f>
        <v>1162</v>
      </c>
    </row>
    <row r="2584" spans="1:37" x14ac:dyDescent="0.3">
      <c r="A2584" t="s">
        <v>7998</v>
      </c>
      <c r="B2584" t="s">
        <v>7999</v>
      </c>
      <c r="C2584" t="s">
        <v>8000</v>
      </c>
      <c r="D2584" t="s">
        <v>7</v>
      </c>
      <c r="AG2584" t="str">
        <f>T("4577")</f>
        <v>4577</v>
      </c>
      <c r="AH2584" t="str">
        <f>T("24")</f>
        <v>24</v>
      </c>
      <c r="AK2584" t="str">
        <f>T("1932")</f>
        <v>1932</v>
      </c>
    </row>
    <row r="2585" spans="1:37" x14ac:dyDescent="0.3">
      <c r="A2585" t="s">
        <v>8001</v>
      </c>
      <c r="B2585" t="s">
        <v>8002</v>
      </c>
      <c r="C2585" t="s">
        <v>8003</v>
      </c>
      <c r="D2585" t="s">
        <v>7</v>
      </c>
      <c r="K2585" t="str">
        <f>T("182.20")</f>
        <v>182.20</v>
      </c>
    </row>
    <row r="2586" spans="1:37" x14ac:dyDescent="0.3">
      <c r="A2586" t="s">
        <v>8004</v>
      </c>
      <c r="B2586" t="s">
        <v>8005</v>
      </c>
      <c r="C2586" t="s">
        <v>8006</v>
      </c>
      <c r="D2586" t="s">
        <v>7</v>
      </c>
      <c r="K2586" t="str">
        <f>T("182.20")</f>
        <v>182.20</v>
      </c>
    </row>
    <row r="2587" spans="1:37" x14ac:dyDescent="0.3">
      <c r="A2587" t="s">
        <v>8007</v>
      </c>
      <c r="B2587" t="s">
        <v>8008</v>
      </c>
      <c r="C2587" t="s">
        <v>8009</v>
      </c>
      <c r="D2587" t="s">
        <v>5272</v>
      </c>
      <c r="E2587" t="str">
        <f>T("73.85")</f>
        <v>73.85</v>
      </c>
      <c r="K2587" t="str">
        <f>T("172.816")</f>
        <v>172.816</v>
      </c>
      <c r="AF2587" t="s">
        <v>8010</v>
      </c>
    </row>
    <row r="2588" spans="1:37" x14ac:dyDescent="0.3">
      <c r="A2588" t="s">
        <v>8011</v>
      </c>
      <c r="B2588" t="s">
        <v>8012</v>
      </c>
      <c r="C2588" t="s">
        <v>8013</v>
      </c>
      <c r="D2588" t="s">
        <v>199</v>
      </c>
      <c r="K2588" t="str">
        <f>T("173.40")</f>
        <v>173.40</v>
      </c>
    </row>
    <row r="2589" spans="1:37" x14ac:dyDescent="0.3">
      <c r="A2589" t="s">
        <v>8014</v>
      </c>
      <c r="B2589" t="s">
        <v>8015</v>
      </c>
      <c r="C2589" t="s">
        <v>8016</v>
      </c>
      <c r="D2589" t="s">
        <v>3285</v>
      </c>
      <c r="K2589" t="str">
        <f>T("182.1500")</f>
        <v>182.1500</v>
      </c>
    </row>
    <row r="2590" spans="1:37" x14ac:dyDescent="0.3">
      <c r="A2590" t="s">
        <v>8017</v>
      </c>
      <c r="B2590" t="s">
        <v>8018</v>
      </c>
      <c r="C2590" t="s">
        <v>8019</v>
      </c>
      <c r="D2590" t="s">
        <v>8020</v>
      </c>
      <c r="K2590" t="str">
        <f>T("172.812")</f>
        <v>172.812</v>
      </c>
      <c r="L2590" t="str">
        <f>T("175.105")</f>
        <v>175.105</v>
      </c>
      <c r="M2590" t="str">
        <f>T("184.1505")</f>
        <v>184.1505</v>
      </c>
      <c r="AF2590" t="str">
        <f>T("136.11")</f>
        <v>136.11</v>
      </c>
      <c r="AG2590" t="str">
        <f>T("4186")</f>
        <v>4186</v>
      </c>
      <c r="AH2590" t="str">
        <f>T("22")</f>
        <v>22</v>
      </c>
    </row>
    <row r="2591" spans="1:37" x14ac:dyDescent="0.3">
      <c r="A2591" t="s">
        <v>8021</v>
      </c>
      <c r="B2591" t="s">
        <v>8022</v>
      </c>
      <c r="C2591" t="s">
        <v>8023</v>
      </c>
      <c r="D2591" t="s">
        <v>2687</v>
      </c>
    </row>
    <row r="2592" spans="1:37" x14ac:dyDescent="0.3">
      <c r="A2592" t="s">
        <v>8024</v>
      </c>
      <c r="B2592" t="s">
        <v>8025</v>
      </c>
      <c r="C2592" t="s">
        <v>8026</v>
      </c>
      <c r="D2592" t="s">
        <v>8027</v>
      </c>
    </row>
    <row r="2593" spans="1:37" x14ac:dyDescent="0.3">
      <c r="A2593" t="s">
        <v>8028</v>
      </c>
      <c r="B2593" t="s">
        <v>8029</v>
      </c>
      <c r="C2593" t="s">
        <v>8030</v>
      </c>
      <c r="D2593" t="s">
        <v>2687</v>
      </c>
    </row>
    <row r="2594" spans="1:37" x14ac:dyDescent="0.3">
      <c r="A2594" t="s">
        <v>8031</v>
      </c>
      <c r="B2594" t="s">
        <v>8032</v>
      </c>
      <c r="C2594" t="s">
        <v>8033</v>
      </c>
      <c r="D2594" t="s">
        <v>8027</v>
      </c>
      <c r="K2594" t="str">
        <f>T("184.1101")</f>
        <v>184.1101</v>
      </c>
      <c r="AF2594" t="str">
        <f>T("136.11")</f>
        <v>136.11</v>
      </c>
      <c r="AG2594" t="str">
        <f>T("4092")</f>
        <v>4092</v>
      </c>
      <c r="AH2594" t="str">
        <f>T("22")</f>
        <v>22</v>
      </c>
    </row>
    <row r="2595" spans="1:37" x14ac:dyDescent="0.3">
      <c r="A2595" t="s">
        <v>8034</v>
      </c>
      <c r="B2595" t="s">
        <v>8035</v>
      </c>
      <c r="C2595" t="s">
        <v>8036</v>
      </c>
      <c r="D2595" t="s">
        <v>8037</v>
      </c>
      <c r="K2595" t="str">
        <f>T("172.834")</f>
        <v>172.834</v>
      </c>
    </row>
    <row r="2596" spans="1:37" x14ac:dyDescent="0.3">
      <c r="A2596" t="s">
        <v>8038</v>
      </c>
      <c r="B2596" t="s">
        <v>8039</v>
      </c>
      <c r="C2596" t="s">
        <v>8040</v>
      </c>
      <c r="D2596" t="s">
        <v>2687</v>
      </c>
    </row>
    <row r="2597" spans="1:37" x14ac:dyDescent="0.3">
      <c r="A2597" t="s">
        <v>8041</v>
      </c>
      <c r="B2597" t="s">
        <v>8042</v>
      </c>
      <c r="C2597" t="s">
        <v>8043</v>
      </c>
      <c r="D2597" t="s">
        <v>8044</v>
      </c>
      <c r="K2597" t="str">
        <f>T("184.1521")</f>
        <v>184.1521</v>
      </c>
    </row>
    <row r="2598" spans="1:37" x14ac:dyDescent="0.3">
      <c r="A2598" t="s">
        <v>8045</v>
      </c>
      <c r="B2598" t="s">
        <v>8046</v>
      </c>
      <c r="C2598" t="s">
        <v>8047</v>
      </c>
      <c r="D2598" t="s">
        <v>7</v>
      </c>
    </row>
    <row r="2599" spans="1:37" x14ac:dyDescent="0.3">
      <c r="A2599" t="s">
        <v>8048</v>
      </c>
      <c r="B2599" t="s">
        <v>8049</v>
      </c>
      <c r="C2599" t="s">
        <v>8050</v>
      </c>
      <c r="D2599" t="s">
        <v>184</v>
      </c>
      <c r="K2599" t="str">
        <f>T("175.105")</f>
        <v>175.105</v>
      </c>
      <c r="AD2599" t="str">
        <f>T("189.155")</f>
        <v>189.155</v>
      </c>
    </row>
    <row r="2600" spans="1:37" x14ac:dyDescent="0.3">
      <c r="A2600" t="s">
        <v>8051</v>
      </c>
      <c r="B2600" t="s">
        <v>8052</v>
      </c>
      <c r="C2600" t="s">
        <v>8053</v>
      </c>
      <c r="D2600" t="s">
        <v>846</v>
      </c>
      <c r="K2600" t="str">
        <f>T("172.736")</f>
        <v>172.736</v>
      </c>
    </row>
    <row r="2601" spans="1:37" x14ac:dyDescent="0.3">
      <c r="A2601" t="s">
        <v>8054</v>
      </c>
      <c r="B2601" t="s">
        <v>8055</v>
      </c>
      <c r="C2601" t="s">
        <v>8056</v>
      </c>
      <c r="D2601" t="s">
        <v>3667</v>
      </c>
      <c r="K2601" t="str">
        <f>T("173.315")</f>
        <v>173.315</v>
      </c>
      <c r="L2601" t="str">
        <f>T("175.105")</f>
        <v>175.105</v>
      </c>
      <c r="M2601" t="str">
        <f>T("176.180")</f>
        <v>176.180</v>
      </c>
      <c r="N2601" t="str">
        <f>T("176.210")</f>
        <v>176.210</v>
      </c>
      <c r="O2601" t="str">
        <f>T("176.300")</f>
        <v>176.300</v>
      </c>
      <c r="P2601" t="str">
        <f>T("178.3120")</f>
        <v>178.3120</v>
      </c>
    </row>
    <row r="2602" spans="1:37" x14ac:dyDescent="0.3">
      <c r="A2602" t="s">
        <v>8057</v>
      </c>
      <c r="B2602" t="s">
        <v>8058</v>
      </c>
      <c r="C2602" t="s">
        <v>8059</v>
      </c>
      <c r="D2602" t="s">
        <v>8060</v>
      </c>
      <c r="K2602" t="str">
        <f>T("172.832")</f>
        <v>172.832</v>
      </c>
      <c r="L2602" t="str">
        <f>T("176.170")</f>
        <v>176.170</v>
      </c>
      <c r="M2602" t="str">
        <f>T("176.180")</f>
        <v>176.180</v>
      </c>
    </row>
    <row r="2603" spans="1:37" x14ac:dyDescent="0.3">
      <c r="A2603" t="s">
        <v>8061</v>
      </c>
      <c r="B2603" t="s">
        <v>8062</v>
      </c>
      <c r="C2603" t="s">
        <v>8063</v>
      </c>
      <c r="D2603" t="s">
        <v>8064</v>
      </c>
      <c r="K2603" t="str">
        <f>T("172.828")</f>
        <v>172.828</v>
      </c>
      <c r="L2603" t="str">
        <f>T("175.230")</f>
        <v>175.230</v>
      </c>
    </row>
    <row r="2604" spans="1:37" x14ac:dyDescent="0.3">
      <c r="A2604" t="s">
        <v>8065</v>
      </c>
      <c r="B2604" t="s">
        <v>8066</v>
      </c>
      <c r="C2604" t="s">
        <v>8067</v>
      </c>
      <c r="D2604" t="s">
        <v>8068</v>
      </c>
      <c r="K2604" t="str">
        <f>T("175.300")</f>
        <v>175.300</v>
      </c>
      <c r="L2604" t="str">
        <f>T("181.27")</f>
        <v>181.27</v>
      </c>
    </row>
    <row r="2605" spans="1:37" x14ac:dyDescent="0.3">
      <c r="A2605" t="s">
        <v>8069</v>
      </c>
      <c r="B2605" t="s">
        <v>8070</v>
      </c>
      <c r="C2605" t="s">
        <v>8071</v>
      </c>
      <c r="D2605" t="s">
        <v>7</v>
      </c>
      <c r="AG2605" t="str">
        <f>T("4006")</f>
        <v>4006</v>
      </c>
      <c r="AH2605" t="str">
        <f>T("20")</f>
        <v>20</v>
      </c>
      <c r="AI2605" t="str">
        <f>T("26")</f>
        <v>26</v>
      </c>
      <c r="AK2605" t="str">
        <f>T("1414")</f>
        <v>1414</v>
      </c>
    </row>
    <row r="2606" spans="1:37" x14ac:dyDescent="0.3">
      <c r="A2606" t="s">
        <v>8072</v>
      </c>
      <c r="B2606" t="s">
        <v>8073</v>
      </c>
      <c r="C2606" t="s">
        <v>8074</v>
      </c>
      <c r="D2606" t="s">
        <v>7</v>
      </c>
      <c r="AG2606" t="str">
        <f>T("3810")</f>
        <v>3810</v>
      </c>
      <c r="AH2606" t="str">
        <f>T("17")</f>
        <v>17</v>
      </c>
      <c r="AI2606" t="str">
        <f>T("22")</f>
        <v>22</v>
      </c>
      <c r="AK2606" t="str">
        <f>T("447")</f>
        <v>447</v>
      </c>
    </row>
    <row r="2607" spans="1:37" x14ac:dyDescent="0.3">
      <c r="A2607" t="s">
        <v>8075</v>
      </c>
      <c r="B2607" t="s">
        <v>8076</v>
      </c>
      <c r="C2607" t="s">
        <v>8077</v>
      </c>
      <c r="D2607" t="s">
        <v>8078</v>
      </c>
      <c r="K2607" t="str">
        <f>T("172.320")</f>
        <v>172.320</v>
      </c>
      <c r="L2607" t="str">
        <f>T("182.1516")</f>
        <v>182.1516</v>
      </c>
    </row>
    <row r="2608" spans="1:37" x14ac:dyDescent="0.3">
      <c r="A2608" t="s">
        <v>8079</v>
      </c>
      <c r="B2608" t="s">
        <v>8080</v>
      </c>
      <c r="C2608" t="s">
        <v>8081</v>
      </c>
      <c r="D2608" t="s">
        <v>2253</v>
      </c>
      <c r="K2608" t="str">
        <f>T("172.210")</f>
        <v>172.210</v>
      </c>
      <c r="L2608" t="str">
        <f>T("178.3770")</f>
        <v>178.3770</v>
      </c>
    </row>
    <row r="2609" spans="1:36" x14ac:dyDescent="0.3">
      <c r="A2609" t="s">
        <v>8082</v>
      </c>
      <c r="B2609" t="s">
        <v>8083</v>
      </c>
      <c r="C2609" t="s">
        <v>8084</v>
      </c>
      <c r="D2609" t="s">
        <v>192</v>
      </c>
      <c r="K2609" t="str">
        <f>T("173.310")</f>
        <v>173.310</v>
      </c>
      <c r="L2609" t="str">
        <f>T("175.105")</f>
        <v>175.105</v>
      </c>
      <c r="M2609" t="str">
        <f>T("176.180")</f>
        <v>176.180</v>
      </c>
      <c r="N2609" t="str">
        <f>T("176.210")</f>
        <v>176.210</v>
      </c>
      <c r="O2609" t="str">
        <f>T("178.3300")</f>
        <v>178.3300</v>
      </c>
    </row>
    <row r="2610" spans="1:36" x14ac:dyDescent="0.3">
      <c r="A2610" t="s">
        <v>8085</v>
      </c>
      <c r="B2610" t="s">
        <v>8086</v>
      </c>
      <c r="C2610" t="s">
        <v>8087</v>
      </c>
      <c r="D2610" t="s">
        <v>2253</v>
      </c>
      <c r="K2610" t="str">
        <f>T("172.235")</f>
        <v>172.235</v>
      </c>
    </row>
    <row r="2611" spans="1:36" x14ac:dyDescent="0.3">
      <c r="A2611" t="s">
        <v>8088</v>
      </c>
      <c r="B2611" t="s">
        <v>8089</v>
      </c>
      <c r="C2611" t="s">
        <v>8090</v>
      </c>
      <c r="D2611" t="s">
        <v>7</v>
      </c>
      <c r="K2611" t="str">
        <f>T("172.510")</f>
        <v>172.510</v>
      </c>
    </row>
    <row r="2612" spans="1:36" x14ac:dyDescent="0.3">
      <c r="A2612" t="s">
        <v>8091</v>
      </c>
      <c r="B2612" t="s">
        <v>8092</v>
      </c>
      <c r="C2612" t="s">
        <v>8093</v>
      </c>
      <c r="D2612" t="s">
        <v>7</v>
      </c>
      <c r="K2612" t="str">
        <f>T("172.510")</f>
        <v>172.510</v>
      </c>
    </row>
    <row r="2613" spans="1:36" x14ac:dyDescent="0.3">
      <c r="A2613" t="s">
        <v>8094</v>
      </c>
      <c r="B2613" t="s">
        <v>8095</v>
      </c>
      <c r="C2613" t="s">
        <v>8096</v>
      </c>
      <c r="D2613" t="s">
        <v>7</v>
      </c>
      <c r="K2613" t="str">
        <f>T("172.510")</f>
        <v>172.510</v>
      </c>
      <c r="AG2613" t="str">
        <f>T("2757")</f>
        <v>2757</v>
      </c>
      <c r="AH2613" t="str">
        <f>T("3")</f>
        <v>3</v>
      </c>
    </row>
    <row r="2614" spans="1:36" x14ac:dyDescent="0.3">
      <c r="A2614" t="s">
        <v>8097</v>
      </c>
      <c r="B2614" t="s">
        <v>8098</v>
      </c>
      <c r="C2614" t="s">
        <v>8099</v>
      </c>
      <c r="D2614" t="s">
        <v>7</v>
      </c>
      <c r="K2614" t="str">
        <f>T("172.510")</f>
        <v>172.510</v>
      </c>
    </row>
    <row r="2615" spans="1:36" x14ac:dyDescent="0.3">
      <c r="A2615" t="s">
        <v>8100</v>
      </c>
      <c r="B2615" t="s">
        <v>8101</v>
      </c>
      <c r="C2615" t="s">
        <v>8102</v>
      </c>
      <c r="D2615" t="s">
        <v>7</v>
      </c>
      <c r="AG2615" t="str">
        <f>T("4487")</f>
        <v>4487</v>
      </c>
      <c r="AH2615" t="str">
        <f>T("24")</f>
        <v>24</v>
      </c>
    </row>
    <row r="2616" spans="1:36" x14ac:dyDescent="0.3">
      <c r="A2616" t="s">
        <v>8103</v>
      </c>
      <c r="B2616" t="s">
        <v>8104</v>
      </c>
      <c r="C2616" t="s">
        <v>8105</v>
      </c>
      <c r="D2616" t="s">
        <v>7</v>
      </c>
      <c r="AG2616" t="s">
        <v>8106</v>
      </c>
      <c r="AH2616" t="s">
        <v>8107</v>
      </c>
      <c r="AI2616" t="str">
        <f>T("17")</f>
        <v>17</v>
      </c>
      <c r="AJ2616" t="s">
        <v>8108</v>
      </c>
    </row>
    <row r="2617" spans="1:36" x14ac:dyDescent="0.3">
      <c r="A2617" t="s">
        <v>8109</v>
      </c>
      <c r="B2617" t="s">
        <v>8110</v>
      </c>
      <c r="C2617" t="s">
        <v>8111</v>
      </c>
      <c r="D2617" t="s">
        <v>7</v>
      </c>
    </row>
    <row r="2618" spans="1:36" x14ac:dyDescent="0.3">
      <c r="A2618" t="s">
        <v>8112</v>
      </c>
      <c r="B2618" t="s">
        <v>8113</v>
      </c>
      <c r="C2618" t="s">
        <v>8114</v>
      </c>
      <c r="D2618" t="s">
        <v>7</v>
      </c>
      <c r="K2618" t="str">
        <f>T("182.50")</f>
        <v>182.50</v>
      </c>
      <c r="AG2618" t="str">
        <f>T("2759")</f>
        <v>2759</v>
      </c>
      <c r="AH2618" t="str">
        <f>T("3")</f>
        <v>3</v>
      </c>
    </row>
    <row r="2619" spans="1:36" x14ac:dyDescent="0.3">
      <c r="A2619" t="s">
        <v>8115</v>
      </c>
      <c r="B2619" t="s">
        <v>8116</v>
      </c>
      <c r="C2619" t="s">
        <v>8117</v>
      </c>
      <c r="D2619" t="s">
        <v>8118</v>
      </c>
      <c r="K2619" t="str">
        <f>T("182.10")</f>
        <v>182.10</v>
      </c>
      <c r="AG2619" t="str">
        <f>T("2760")</f>
        <v>2760</v>
      </c>
      <c r="AH2619" t="str">
        <f>T("3")</f>
        <v>3</v>
      </c>
    </row>
    <row r="2620" spans="1:36" x14ac:dyDescent="0.3">
      <c r="A2620" t="s">
        <v>8119</v>
      </c>
      <c r="B2620" t="s">
        <v>8120</v>
      </c>
      <c r="C2620" t="s">
        <v>8121</v>
      </c>
      <c r="D2620" t="s">
        <v>7</v>
      </c>
      <c r="K2620" t="str">
        <f>T("182.20")</f>
        <v>182.20</v>
      </c>
    </row>
    <row r="2621" spans="1:36" x14ac:dyDescent="0.3">
      <c r="A2621" t="s">
        <v>8122</v>
      </c>
      <c r="B2621" t="s">
        <v>8123</v>
      </c>
      <c r="C2621" t="s">
        <v>8124</v>
      </c>
      <c r="D2621" t="s">
        <v>8125</v>
      </c>
      <c r="AF2621" t="str">
        <f>T("101.22")</f>
        <v>101.22</v>
      </c>
    </row>
    <row r="2622" spans="1:36" x14ac:dyDescent="0.3">
      <c r="A2622" t="s">
        <v>8126</v>
      </c>
      <c r="B2622" t="s">
        <v>8127</v>
      </c>
      <c r="C2622" t="s">
        <v>8128</v>
      </c>
      <c r="D2622" t="s">
        <v>7</v>
      </c>
      <c r="K2622" t="str">
        <f>T("176.180")</f>
        <v>176.180</v>
      </c>
      <c r="L2622" t="str">
        <f>T("176.210")</f>
        <v>176.210</v>
      </c>
      <c r="M2622" t="str">
        <f>T("177.2800")</f>
        <v>177.2800</v>
      </c>
      <c r="N2622" t="str">
        <f>T("182.20")</f>
        <v>182.20</v>
      </c>
    </row>
    <row r="2623" spans="1:36" x14ac:dyDescent="0.3">
      <c r="A2623" t="s">
        <v>8129</v>
      </c>
      <c r="B2623" t="s">
        <v>8130</v>
      </c>
      <c r="C2623" t="s">
        <v>8131</v>
      </c>
      <c r="D2623" t="s">
        <v>7</v>
      </c>
    </row>
    <row r="2624" spans="1:36" x14ac:dyDescent="0.3">
      <c r="A2624" t="s">
        <v>8132</v>
      </c>
      <c r="B2624" t="s">
        <v>8133</v>
      </c>
      <c r="C2624" t="s">
        <v>8134</v>
      </c>
      <c r="D2624" t="s">
        <v>8135</v>
      </c>
      <c r="K2624" t="str">
        <f>T("182.10")</f>
        <v>182.10</v>
      </c>
      <c r="AG2624" t="str">
        <f>T("2761")</f>
        <v>2761</v>
      </c>
      <c r="AH2624" t="str">
        <f>T("3")</f>
        <v>3</v>
      </c>
    </row>
    <row r="2625" spans="1:37" x14ac:dyDescent="0.3">
      <c r="A2625" t="s">
        <v>8136</v>
      </c>
      <c r="B2625" t="s">
        <v>8137</v>
      </c>
      <c r="C2625" t="s">
        <v>8138</v>
      </c>
      <c r="D2625" t="s">
        <v>7</v>
      </c>
      <c r="K2625" t="str">
        <f>T("182.20")</f>
        <v>182.20</v>
      </c>
    </row>
    <row r="2626" spans="1:37" x14ac:dyDescent="0.3">
      <c r="A2626" t="s">
        <v>8139</v>
      </c>
      <c r="B2626" t="s">
        <v>8140</v>
      </c>
      <c r="C2626" t="s">
        <v>8141</v>
      </c>
      <c r="D2626" t="s">
        <v>7</v>
      </c>
      <c r="AG2626" t="str">
        <f>T("4592")</f>
        <v>4592</v>
      </c>
      <c r="AH2626" t="str">
        <f>T("24")</f>
        <v>24</v>
      </c>
      <c r="AK2626" t="str">
        <f>T("2139")</f>
        <v>2139</v>
      </c>
    </row>
    <row r="2627" spans="1:37" x14ac:dyDescent="0.3">
      <c r="A2627" t="s">
        <v>8142</v>
      </c>
      <c r="B2627" t="s">
        <v>8143</v>
      </c>
      <c r="C2627" t="s">
        <v>8144</v>
      </c>
      <c r="D2627" t="s">
        <v>7</v>
      </c>
      <c r="AG2627" t="str">
        <f>T("4491")</f>
        <v>4491</v>
      </c>
      <c r="AH2627" t="str">
        <f>T("24")</f>
        <v>24</v>
      </c>
      <c r="AK2627" t="str">
        <f>T("2207")</f>
        <v>2207</v>
      </c>
    </row>
    <row r="2628" spans="1:37" x14ac:dyDescent="0.3">
      <c r="A2628" t="s">
        <v>8145</v>
      </c>
      <c r="B2628" t="s">
        <v>8146</v>
      </c>
      <c r="C2628" t="s">
        <v>8147</v>
      </c>
      <c r="D2628" t="s">
        <v>7</v>
      </c>
      <c r="K2628" t="str">
        <f>T("172.515")</f>
        <v>172.515</v>
      </c>
      <c r="AG2628" t="str">
        <f>T("2763")</f>
        <v>2763</v>
      </c>
      <c r="AH2628" t="str">
        <f>T("3")</f>
        <v>3</v>
      </c>
      <c r="AI2628" t="str">
        <f>T("25")</f>
        <v>25</v>
      </c>
      <c r="AK2628" t="str">
        <f>T("112")</f>
        <v>112</v>
      </c>
    </row>
    <row r="2629" spans="1:37" x14ac:dyDescent="0.3">
      <c r="A2629" t="s">
        <v>8148</v>
      </c>
      <c r="B2629" t="s">
        <v>8149</v>
      </c>
      <c r="C2629" t="s">
        <v>8150</v>
      </c>
      <c r="D2629" t="s">
        <v>2584</v>
      </c>
      <c r="K2629" t="str">
        <f>T("172.210")</f>
        <v>172.210</v>
      </c>
      <c r="L2629" t="str">
        <f>T("172.860")</f>
        <v>172.860</v>
      </c>
      <c r="M2629" t="str">
        <f>T("173.340")</f>
        <v>173.340</v>
      </c>
      <c r="AG2629" t="str">
        <f>T("2764")</f>
        <v>2764</v>
      </c>
      <c r="AH2629" t="str">
        <f>T("3")</f>
        <v>3</v>
      </c>
      <c r="AI2629" t="str">
        <f>T("25")</f>
        <v>25</v>
      </c>
      <c r="AK2629" t="str">
        <f>T("113")</f>
        <v>113</v>
      </c>
    </row>
    <row r="2630" spans="1:37" x14ac:dyDescent="0.3">
      <c r="A2630" t="s">
        <v>8151</v>
      </c>
      <c r="B2630" t="s">
        <v>8152</v>
      </c>
      <c r="C2630" t="s">
        <v>8153</v>
      </c>
      <c r="D2630" t="s">
        <v>8154</v>
      </c>
      <c r="K2630" t="str">
        <f>T("172.864")</f>
        <v>172.864</v>
      </c>
      <c r="L2630" t="str">
        <f>T("175.105")</f>
        <v>175.105</v>
      </c>
      <c r="M2630" t="str">
        <f>T("175.300")</f>
        <v>175.300</v>
      </c>
      <c r="N2630" t="str">
        <f>T("176.180")</f>
        <v>176.180</v>
      </c>
      <c r="O2630" t="str">
        <f>T("176.200")</f>
        <v>176.200</v>
      </c>
      <c r="P2630" t="str">
        <f>T("176.210")</f>
        <v>176.210</v>
      </c>
      <c r="Q2630" t="str">
        <f>T("177.1200")</f>
        <v>177.1200</v>
      </c>
      <c r="R2630" t="str">
        <f>T("177.1390")</f>
        <v>177.1390</v>
      </c>
      <c r="S2630" t="str">
        <f>T("178.3480")</f>
        <v>178.3480</v>
      </c>
    </row>
    <row r="2631" spans="1:37" x14ac:dyDescent="0.3">
      <c r="A2631" t="s">
        <v>8155</v>
      </c>
      <c r="B2631" t="s">
        <v>8156</v>
      </c>
      <c r="C2631" t="s">
        <v>8157</v>
      </c>
      <c r="D2631" t="s">
        <v>7</v>
      </c>
      <c r="K2631" t="str">
        <f>T("172.510")</f>
        <v>172.510</v>
      </c>
    </row>
    <row r="2632" spans="1:37" x14ac:dyDescent="0.3">
      <c r="A2632" t="s">
        <v>8158</v>
      </c>
      <c r="B2632" t="s">
        <v>8159</v>
      </c>
      <c r="C2632" t="s">
        <v>8160</v>
      </c>
      <c r="D2632" t="s">
        <v>7</v>
      </c>
      <c r="K2632" t="str">
        <f>T("172.510")</f>
        <v>172.510</v>
      </c>
      <c r="AG2632" t="str">
        <f>T("2765")</f>
        <v>2765</v>
      </c>
      <c r="AH2632" t="str">
        <f>T("3")</f>
        <v>3</v>
      </c>
    </row>
    <row r="2633" spans="1:37" x14ac:dyDescent="0.3">
      <c r="A2633" t="s">
        <v>8161</v>
      </c>
      <c r="B2633" t="s">
        <v>8162</v>
      </c>
      <c r="C2633" t="s">
        <v>8163</v>
      </c>
      <c r="D2633" t="s">
        <v>7</v>
      </c>
      <c r="K2633" t="str">
        <f>T("172.510")</f>
        <v>172.510</v>
      </c>
      <c r="AG2633" t="str">
        <f>T("2766")</f>
        <v>2766</v>
      </c>
      <c r="AH2633" t="str">
        <f>T("3")</f>
        <v>3</v>
      </c>
    </row>
    <row r="2634" spans="1:37" x14ac:dyDescent="0.3">
      <c r="A2634" t="s">
        <v>8164</v>
      </c>
      <c r="B2634" t="s">
        <v>8165</v>
      </c>
      <c r="C2634" t="s">
        <v>8166</v>
      </c>
      <c r="D2634" t="s">
        <v>7</v>
      </c>
      <c r="AG2634" t="str">
        <f>T("3439")</f>
        <v>3439</v>
      </c>
      <c r="AH2634" t="str">
        <f>T("8")</f>
        <v>8</v>
      </c>
      <c r="AK2634" t="str">
        <f>T("981")</f>
        <v>981</v>
      </c>
    </row>
    <row r="2635" spans="1:37" x14ac:dyDescent="0.3">
      <c r="A2635" t="s">
        <v>8167</v>
      </c>
      <c r="B2635" t="s">
        <v>8168</v>
      </c>
      <c r="C2635" t="s">
        <v>8169</v>
      </c>
      <c r="D2635" t="s">
        <v>7</v>
      </c>
      <c r="AG2635" t="str">
        <f>T("3765")</f>
        <v>3765</v>
      </c>
      <c r="AH2635" t="str">
        <f>T("15")</f>
        <v>15</v>
      </c>
      <c r="AK2635" t="str">
        <f>T("982")</f>
        <v>982</v>
      </c>
    </row>
    <row r="2636" spans="1:37" x14ac:dyDescent="0.3">
      <c r="A2636" t="s">
        <v>8170</v>
      </c>
      <c r="B2636" t="s">
        <v>8171</v>
      </c>
      <c r="C2636" t="s">
        <v>8172</v>
      </c>
      <c r="D2636" t="s">
        <v>7</v>
      </c>
      <c r="K2636" t="str">
        <f>T("172.510")</f>
        <v>172.510</v>
      </c>
    </row>
    <row r="2637" spans="1:37" x14ac:dyDescent="0.3">
      <c r="A2637" t="s">
        <v>8173</v>
      </c>
      <c r="B2637" t="s">
        <v>8174</v>
      </c>
      <c r="C2637" t="s">
        <v>8175</v>
      </c>
      <c r="D2637" t="s">
        <v>7</v>
      </c>
      <c r="K2637" t="str">
        <f>T("172.510")</f>
        <v>172.510</v>
      </c>
    </row>
    <row r="2638" spans="1:37" x14ac:dyDescent="0.3">
      <c r="A2638" t="s">
        <v>8176</v>
      </c>
      <c r="B2638" t="s">
        <v>8177</v>
      </c>
      <c r="C2638" t="s">
        <v>8178</v>
      </c>
      <c r="D2638" t="s">
        <v>846</v>
      </c>
      <c r="E2638" t="str">
        <f>T("73.1")</f>
        <v>73.1</v>
      </c>
      <c r="K2638" t="str">
        <f>T("175.105")</f>
        <v>175.105</v>
      </c>
      <c r="L2638" t="str">
        <f>T("176.200")</f>
        <v>176.200</v>
      </c>
      <c r="M2638" t="str">
        <f>T("176.210")</f>
        <v>176.210</v>
      </c>
    </row>
    <row r="2639" spans="1:37" x14ac:dyDescent="0.3">
      <c r="A2639" t="s">
        <v>8179</v>
      </c>
      <c r="B2639" t="s">
        <v>8180</v>
      </c>
      <c r="C2639" t="s">
        <v>8181</v>
      </c>
      <c r="D2639" t="s">
        <v>15</v>
      </c>
      <c r="AG2639" t="str">
        <f>T("3314")</f>
        <v>3314</v>
      </c>
      <c r="AH2639" t="str">
        <f>T("5")</f>
        <v>5</v>
      </c>
      <c r="AK2639" t="str">
        <f>T("531")</f>
        <v>531</v>
      </c>
    </row>
    <row r="2640" spans="1:37" x14ac:dyDescent="0.3">
      <c r="A2640" t="s">
        <v>8182</v>
      </c>
      <c r="B2640" t="s">
        <v>8183</v>
      </c>
      <c r="C2640" t="s">
        <v>8184</v>
      </c>
      <c r="D2640" t="s">
        <v>15</v>
      </c>
      <c r="AG2640" t="str">
        <f>T("2767")</f>
        <v>2767</v>
      </c>
      <c r="AH2640" t="str">
        <f>T("3")</f>
        <v>3</v>
      </c>
      <c r="AK2640" t="str">
        <f>T("1544")</f>
        <v>1544</v>
      </c>
    </row>
    <row r="2641" spans="1:37" x14ac:dyDescent="0.3">
      <c r="A2641" t="s">
        <v>8185</v>
      </c>
      <c r="B2641" t="s">
        <v>8186</v>
      </c>
      <c r="C2641" t="s">
        <v>8187</v>
      </c>
      <c r="D2641" t="s">
        <v>15</v>
      </c>
      <c r="AG2641" t="str">
        <f>T("2768")</f>
        <v>2768</v>
      </c>
      <c r="AH2641" t="str">
        <f>T("3")</f>
        <v>3</v>
      </c>
      <c r="AK2641" t="str">
        <f>T("1258")</f>
        <v>1258</v>
      </c>
    </row>
    <row r="2642" spans="1:37" x14ac:dyDescent="0.3">
      <c r="A2642" t="s">
        <v>8188</v>
      </c>
      <c r="B2642" t="s">
        <v>8189</v>
      </c>
      <c r="C2642" t="s">
        <v>8190</v>
      </c>
      <c r="D2642" t="s">
        <v>15</v>
      </c>
      <c r="AG2642" t="str">
        <f>T("3719")</f>
        <v>3719</v>
      </c>
      <c r="AH2642" t="str">
        <f>T("13")</f>
        <v>13</v>
      </c>
      <c r="AK2642" t="str">
        <f>T("1259")</f>
        <v>1259</v>
      </c>
    </row>
    <row r="2643" spans="1:37" x14ac:dyDescent="0.3">
      <c r="A2643" t="s">
        <v>8191</v>
      </c>
      <c r="B2643" t="s">
        <v>8192</v>
      </c>
      <c r="C2643" t="s">
        <v>8193</v>
      </c>
      <c r="D2643" t="s">
        <v>7</v>
      </c>
      <c r="AG2643" t="str">
        <f>T("4704")</f>
        <v>4704</v>
      </c>
      <c r="AH2643" t="str">
        <f>T("25")</f>
        <v>25</v>
      </c>
      <c r="AK2643" t="str">
        <f>T("1257")</f>
        <v>1257</v>
      </c>
    </row>
    <row r="2644" spans="1:37" x14ac:dyDescent="0.3">
      <c r="A2644" t="s">
        <v>8194</v>
      </c>
      <c r="B2644" t="s">
        <v>8195</v>
      </c>
      <c r="C2644" t="s">
        <v>8196</v>
      </c>
      <c r="D2644" t="s">
        <v>7</v>
      </c>
      <c r="AG2644" t="str">
        <f>T("4495")</f>
        <v>4495</v>
      </c>
      <c r="AH2644" t="str">
        <f>T("24")</f>
        <v>24</v>
      </c>
      <c r="AI2644" t="str">
        <f>T("26")</f>
        <v>26</v>
      </c>
      <c r="AK2644" t="str">
        <f>T("2208")</f>
        <v>2208</v>
      </c>
    </row>
    <row r="2645" spans="1:37" x14ac:dyDescent="0.3">
      <c r="A2645" t="s">
        <v>8197</v>
      </c>
      <c r="B2645" t="s">
        <v>8198</v>
      </c>
      <c r="C2645" t="s">
        <v>8199</v>
      </c>
      <c r="D2645" t="s">
        <v>15</v>
      </c>
      <c r="K2645" t="str">
        <f>T("182.20")</f>
        <v>182.20</v>
      </c>
      <c r="AG2645" t="str">
        <f>T("2769")</f>
        <v>2769</v>
      </c>
      <c r="AH2645" t="str">
        <f>T("3")</f>
        <v>3</v>
      </c>
    </row>
    <row r="2646" spans="1:37" x14ac:dyDescent="0.3">
      <c r="A2646" t="s">
        <v>8200</v>
      </c>
      <c r="B2646" t="s">
        <v>8201</v>
      </c>
      <c r="C2646" t="s">
        <v>8202</v>
      </c>
      <c r="D2646" t="s">
        <v>3660</v>
      </c>
      <c r="K2646" t="str">
        <f>T("172.155")</f>
        <v>172.155</v>
      </c>
    </row>
    <row r="2647" spans="1:37" x14ac:dyDescent="0.3">
      <c r="A2647" t="s">
        <v>8203</v>
      </c>
      <c r="B2647" t="s">
        <v>8204</v>
      </c>
      <c r="C2647" t="s">
        <v>8205</v>
      </c>
      <c r="D2647" t="s">
        <v>2253</v>
      </c>
      <c r="K2647" t="str">
        <f>T("173.350")</f>
        <v>173.350</v>
      </c>
    </row>
    <row r="2648" spans="1:37" x14ac:dyDescent="0.3">
      <c r="A2648" t="s">
        <v>8206</v>
      </c>
      <c r="B2648" t="s">
        <v>8207</v>
      </c>
      <c r="C2648" t="s">
        <v>8208</v>
      </c>
      <c r="D2648" t="s">
        <v>7</v>
      </c>
      <c r="AG2648" t="str">
        <f>T("4603")</f>
        <v>4603</v>
      </c>
      <c r="AH2648" t="str">
        <f>T("24")</f>
        <v>24</v>
      </c>
      <c r="AK2648" t="str">
        <f>T("2011")</f>
        <v>2011</v>
      </c>
    </row>
    <row r="2649" spans="1:37" x14ac:dyDescent="0.3">
      <c r="A2649" t="s">
        <v>8209</v>
      </c>
      <c r="B2649" t="s">
        <v>8210</v>
      </c>
      <c r="C2649" t="s">
        <v>8211</v>
      </c>
      <c r="D2649" t="s">
        <v>7</v>
      </c>
      <c r="AG2649" t="str">
        <f>T("3811")</f>
        <v>3811</v>
      </c>
      <c r="AH2649" t="s">
        <v>8212</v>
      </c>
      <c r="AI2649" t="str">
        <f>T("25")</f>
        <v>25</v>
      </c>
    </row>
    <row r="2650" spans="1:37" x14ac:dyDescent="0.3">
      <c r="A2650" t="s">
        <v>8213</v>
      </c>
      <c r="B2650" t="s">
        <v>8214</v>
      </c>
      <c r="C2650" t="s">
        <v>8215</v>
      </c>
      <c r="D2650" t="s">
        <v>7</v>
      </c>
      <c r="K2650" t="str">
        <f>T("172.515")</f>
        <v>172.515</v>
      </c>
      <c r="AG2650" t="str">
        <f>T("2666")</f>
        <v>2666</v>
      </c>
      <c r="AH2650" t="str">
        <f>T("3")</f>
        <v>3</v>
      </c>
      <c r="AI2650" t="str">
        <f>T("25")</f>
        <v>25</v>
      </c>
      <c r="AK2650" t="str">
        <f>T("428")</f>
        <v>428</v>
      </c>
    </row>
    <row r="2651" spans="1:37" x14ac:dyDescent="0.3">
      <c r="A2651" t="s">
        <v>8216</v>
      </c>
      <c r="B2651" t="s">
        <v>8217</v>
      </c>
      <c r="C2651" t="s">
        <v>8218</v>
      </c>
      <c r="D2651" t="s">
        <v>839</v>
      </c>
      <c r="K2651" t="str">
        <f>T("172.829")</f>
        <v>172.829</v>
      </c>
    </row>
    <row r="2652" spans="1:37" x14ac:dyDescent="0.3">
      <c r="A2652" t="s">
        <v>8219</v>
      </c>
      <c r="B2652" t="s">
        <v>8220</v>
      </c>
      <c r="C2652" t="s">
        <v>8221</v>
      </c>
      <c r="D2652" t="s">
        <v>7</v>
      </c>
      <c r="K2652" t="str">
        <f>T("172.515")</f>
        <v>172.515</v>
      </c>
      <c r="AG2652" t="str">
        <f>T("2770")</f>
        <v>2770</v>
      </c>
      <c r="AH2652" t="str">
        <f>T("3")</f>
        <v>3</v>
      </c>
      <c r="AK2652" t="str">
        <f>T("1224")</f>
        <v>1224</v>
      </c>
    </row>
    <row r="2653" spans="1:37" x14ac:dyDescent="0.3">
      <c r="A2653" t="s">
        <v>8222</v>
      </c>
      <c r="B2653" t="s">
        <v>8223</v>
      </c>
      <c r="C2653" t="s">
        <v>8224</v>
      </c>
      <c r="D2653" t="s">
        <v>7</v>
      </c>
      <c r="K2653" t="str">
        <f>T("182.20")</f>
        <v>182.20</v>
      </c>
      <c r="AG2653" t="str">
        <f>T("2771")</f>
        <v>2771</v>
      </c>
      <c r="AH2653" t="str">
        <f>T("3")</f>
        <v>3</v>
      </c>
    </row>
    <row r="2654" spans="1:37" x14ac:dyDescent="0.3">
      <c r="A2654" t="s">
        <v>8225</v>
      </c>
      <c r="B2654" t="s">
        <v>8226</v>
      </c>
      <c r="C2654" t="s">
        <v>8227</v>
      </c>
      <c r="D2654" t="s">
        <v>7</v>
      </c>
      <c r="K2654" t="str">
        <f>T("172.515")</f>
        <v>172.515</v>
      </c>
      <c r="AG2654" t="str">
        <f>T("2772")</f>
        <v>2772</v>
      </c>
      <c r="AH2654" t="str">
        <f>T("3")</f>
        <v>3</v>
      </c>
      <c r="AI2654" t="str">
        <f>T("25")</f>
        <v>25</v>
      </c>
      <c r="AK2654" t="str">
        <f>T("1646")</f>
        <v>1646</v>
      </c>
    </row>
    <row r="2655" spans="1:37" x14ac:dyDescent="0.3">
      <c r="A2655" t="s">
        <v>8228</v>
      </c>
      <c r="B2655" t="s">
        <v>8229</v>
      </c>
      <c r="C2655" t="s">
        <v>8230</v>
      </c>
      <c r="D2655" t="s">
        <v>7</v>
      </c>
      <c r="AG2655" t="str">
        <f>T("4536")</f>
        <v>4536</v>
      </c>
      <c r="AH2655" t="str">
        <f>T("24")</f>
        <v>24</v>
      </c>
      <c r="AK2655" t="str">
        <f>T("2137")</f>
        <v>2137</v>
      </c>
    </row>
    <row r="2656" spans="1:37" x14ac:dyDescent="0.3">
      <c r="A2656" t="s">
        <v>8231</v>
      </c>
      <c r="B2656" t="s">
        <v>8232</v>
      </c>
      <c r="C2656" t="s">
        <v>8233</v>
      </c>
      <c r="D2656" t="s">
        <v>15</v>
      </c>
      <c r="K2656" t="str">
        <f t="shared" ref="K2656:K2661" si="30">T("172.515")</f>
        <v>172.515</v>
      </c>
      <c r="AG2656" t="str">
        <f>T("2773")</f>
        <v>2773</v>
      </c>
      <c r="AH2656" t="str">
        <f t="shared" ref="AH2656:AH2661" si="31">T("3")</f>
        <v>3</v>
      </c>
      <c r="AI2656" t="str">
        <f>T("25")</f>
        <v>25</v>
      </c>
      <c r="AK2656" t="str">
        <f>T("59")</f>
        <v>59</v>
      </c>
    </row>
    <row r="2657" spans="1:37" x14ac:dyDescent="0.3">
      <c r="A2657" t="s">
        <v>8234</v>
      </c>
      <c r="B2657" t="s">
        <v>8235</v>
      </c>
      <c r="C2657" t="s">
        <v>8236</v>
      </c>
      <c r="D2657" t="s">
        <v>15</v>
      </c>
      <c r="K2657" t="str">
        <f t="shared" si="30"/>
        <v>172.515</v>
      </c>
      <c r="AG2657" t="str">
        <f>T("2774")</f>
        <v>2774</v>
      </c>
      <c r="AH2657" t="str">
        <f t="shared" si="31"/>
        <v>3</v>
      </c>
      <c r="AI2657" t="str">
        <f>T("25")</f>
        <v>25</v>
      </c>
      <c r="AK2657" t="str">
        <f>T("67")</f>
        <v>67</v>
      </c>
    </row>
    <row r="2658" spans="1:37" x14ac:dyDescent="0.3">
      <c r="A2658" t="s">
        <v>8237</v>
      </c>
      <c r="B2658" t="s">
        <v>8238</v>
      </c>
      <c r="C2658" t="s">
        <v>8239</v>
      </c>
      <c r="D2658" t="s">
        <v>15</v>
      </c>
      <c r="K2658" t="str">
        <f t="shared" si="30"/>
        <v>172.515</v>
      </c>
      <c r="AG2658" t="str">
        <f>T("2776")</f>
        <v>2776</v>
      </c>
      <c r="AH2658" t="str">
        <f t="shared" si="31"/>
        <v>3</v>
      </c>
      <c r="AI2658" t="str">
        <f>T("25")</f>
        <v>25</v>
      </c>
      <c r="AK2658" t="str">
        <f>T("55")</f>
        <v>55</v>
      </c>
    </row>
    <row r="2659" spans="1:37" x14ac:dyDescent="0.3">
      <c r="A2659" t="s">
        <v>8240</v>
      </c>
      <c r="B2659" t="s">
        <v>8241</v>
      </c>
      <c r="C2659" t="s">
        <v>8242</v>
      </c>
      <c r="D2659" t="s">
        <v>7</v>
      </c>
      <c r="K2659" t="str">
        <f t="shared" si="30"/>
        <v>172.515</v>
      </c>
      <c r="AG2659" t="str">
        <f>T("2775")</f>
        <v>2775</v>
      </c>
      <c r="AH2659" t="str">
        <f t="shared" si="31"/>
        <v>3</v>
      </c>
      <c r="AI2659" t="str">
        <f>T("25")</f>
        <v>25</v>
      </c>
      <c r="AK2659" t="str">
        <f>T("73")</f>
        <v>73</v>
      </c>
    </row>
    <row r="2660" spans="1:37" x14ac:dyDescent="0.3">
      <c r="A2660" t="s">
        <v>8243</v>
      </c>
      <c r="B2660" t="s">
        <v>8244</v>
      </c>
      <c r="C2660" t="s">
        <v>8245</v>
      </c>
      <c r="D2660" t="s">
        <v>15</v>
      </c>
      <c r="K2660" t="str">
        <f t="shared" si="30"/>
        <v>172.515</v>
      </c>
      <c r="AG2660" t="str">
        <f>T("2778")</f>
        <v>2778</v>
      </c>
      <c r="AH2660" t="str">
        <f t="shared" si="31"/>
        <v>3</v>
      </c>
      <c r="AI2660" t="str">
        <f>T("25")</f>
        <v>25</v>
      </c>
      <c r="AK2660" t="str">
        <f>T("76")</f>
        <v>76</v>
      </c>
    </row>
    <row r="2661" spans="1:37" x14ac:dyDescent="0.3">
      <c r="A2661" t="s">
        <v>8246</v>
      </c>
      <c r="B2661" t="s">
        <v>8247</v>
      </c>
      <c r="C2661" t="s">
        <v>8248</v>
      </c>
      <c r="D2661" t="s">
        <v>15</v>
      </c>
      <c r="K2661" t="str">
        <f t="shared" si="30"/>
        <v>172.515</v>
      </c>
      <c r="AG2661" t="str">
        <f>T("2777")</f>
        <v>2777</v>
      </c>
      <c r="AH2661" t="str">
        <f t="shared" si="31"/>
        <v>3</v>
      </c>
      <c r="AK2661" t="str">
        <f>T("63")</f>
        <v>63</v>
      </c>
    </row>
    <row r="2662" spans="1:37" x14ac:dyDescent="0.3">
      <c r="A2662" t="s">
        <v>8249</v>
      </c>
      <c r="B2662" t="s">
        <v>8250</v>
      </c>
      <c r="C2662" t="s">
        <v>8251</v>
      </c>
      <c r="D2662" t="s">
        <v>7</v>
      </c>
      <c r="AG2662" t="str">
        <f>T("4557")</f>
        <v>4557</v>
      </c>
      <c r="AH2662" t="str">
        <f>T("24")</f>
        <v>24</v>
      </c>
      <c r="AK2662" t="str">
        <f>T("2005")</f>
        <v>2005</v>
      </c>
    </row>
    <row r="2663" spans="1:37" x14ac:dyDescent="0.3">
      <c r="A2663" t="s">
        <v>8252</v>
      </c>
      <c r="B2663" t="s">
        <v>8253</v>
      </c>
      <c r="C2663" t="s">
        <v>8254</v>
      </c>
      <c r="D2663" t="s">
        <v>7</v>
      </c>
      <c r="AG2663" t="str">
        <f>T("4602")</f>
        <v>4602</v>
      </c>
      <c r="AH2663" t="str">
        <f>T("24")</f>
        <v>24</v>
      </c>
      <c r="AK2663" t="str">
        <f>T("2010")</f>
        <v>2010</v>
      </c>
    </row>
    <row r="2664" spans="1:37" x14ac:dyDescent="0.3">
      <c r="A2664" t="s">
        <v>8255</v>
      </c>
      <c r="B2664" t="s">
        <v>8256</v>
      </c>
      <c r="C2664" t="s">
        <v>8257</v>
      </c>
      <c r="D2664" t="s">
        <v>137</v>
      </c>
      <c r="K2664" t="str">
        <f>T("184.1530")</f>
        <v>184.1530</v>
      </c>
      <c r="AF2664" t="s">
        <v>8258</v>
      </c>
    </row>
    <row r="2665" spans="1:37" x14ac:dyDescent="0.3">
      <c r="A2665" t="s">
        <v>8259</v>
      </c>
      <c r="B2665" t="s">
        <v>8260</v>
      </c>
      <c r="C2665" t="s">
        <v>8261</v>
      </c>
      <c r="D2665" t="s">
        <v>213</v>
      </c>
      <c r="K2665" t="str">
        <f>T("184.1535")</f>
        <v>184.1535</v>
      </c>
      <c r="AF2665" t="s">
        <v>8262</v>
      </c>
    </row>
    <row r="2666" spans="1:37" x14ac:dyDescent="0.3">
      <c r="A2666" t="s">
        <v>8263</v>
      </c>
      <c r="B2666" t="s">
        <v>8264</v>
      </c>
      <c r="C2666" t="s">
        <v>8265</v>
      </c>
      <c r="D2666" t="s">
        <v>199</v>
      </c>
      <c r="K2666" t="str">
        <f>T("172.864")</f>
        <v>172.864</v>
      </c>
      <c r="L2666" t="str">
        <f>T("176.180")</f>
        <v>176.180</v>
      </c>
      <c r="M2666" t="str">
        <f>T("184.1537")</f>
        <v>184.1537</v>
      </c>
    </row>
    <row r="2667" spans="1:37" x14ac:dyDescent="0.3">
      <c r="A2667" t="s">
        <v>8266</v>
      </c>
      <c r="B2667" t="s">
        <v>8267</v>
      </c>
      <c r="C2667" t="s">
        <v>8268</v>
      </c>
      <c r="D2667" t="s">
        <v>137</v>
      </c>
      <c r="K2667" t="str">
        <f>T("172.315")</f>
        <v>172.315</v>
      </c>
    </row>
    <row r="2668" spans="1:37" x14ac:dyDescent="0.3">
      <c r="A2668" t="s">
        <v>8269</v>
      </c>
      <c r="B2668" t="s">
        <v>8270</v>
      </c>
      <c r="C2668" t="s">
        <v>8271</v>
      </c>
      <c r="D2668" t="s">
        <v>1175</v>
      </c>
      <c r="K2668" t="str">
        <f>T("172.615")</f>
        <v>172.615</v>
      </c>
    </row>
    <row r="2669" spans="1:37" x14ac:dyDescent="0.3">
      <c r="A2669" t="s">
        <v>8272</v>
      </c>
      <c r="B2669" t="s">
        <v>8273</v>
      </c>
      <c r="C2669" t="s">
        <v>8274</v>
      </c>
      <c r="D2669" t="s">
        <v>184</v>
      </c>
      <c r="K2669" t="str">
        <f>T("184.1538")</f>
        <v>184.1538</v>
      </c>
      <c r="AF2669" t="str">
        <f>T("133.179")</f>
        <v>133.179</v>
      </c>
    </row>
    <row r="2670" spans="1:37" x14ac:dyDescent="0.3">
      <c r="A2670" t="s">
        <v>8275</v>
      </c>
      <c r="B2670" t="s">
        <v>8276</v>
      </c>
      <c r="C2670" t="s">
        <v>8277</v>
      </c>
      <c r="D2670" t="s">
        <v>1175</v>
      </c>
      <c r="K2670" t="str">
        <f>T("172.615")</f>
        <v>172.615</v>
      </c>
    </row>
    <row r="2671" spans="1:37" x14ac:dyDescent="0.3">
      <c r="A2671" t="s">
        <v>8278</v>
      </c>
      <c r="B2671" t="s">
        <v>8279</v>
      </c>
      <c r="C2671" t="s">
        <v>8280</v>
      </c>
      <c r="D2671" t="s">
        <v>8281</v>
      </c>
      <c r="K2671" t="str">
        <f>T("170.60")</f>
        <v>170.60</v>
      </c>
      <c r="L2671" t="str">
        <f>T("181.33")</f>
        <v>181.33</v>
      </c>
    </row>
    <row r="2672" spans="1:37" x14ac:dyDescent="0.3">
      <c r="A2672" t="s">
        <v>8282</v>
      </c>
      <c r="B2672" t="s">
        <v>8283</v>
      </c>
      <c r="C2672" t="s">
        <v>8284</v>
      </c>
      <c r="D2672" t="s">
        <v>8285</v>
      </c>
      <c r="K2672" t="str">
        <f>T("170.60")</f>
        <v>170.60</v>
      </c>
      <c r="L2672" t="str">
        <f>T("181.34")</f>
        <v>181.34</v>
      </c>
    </row>
    <row r="2673" spans="1:37" x14ac:dyDescent="0.3">
      <c r="A2673" t="s">
        <v>8286</v>
      </c>
      <c r="B2673" t="s">
        <v>8287</v>
      </c>
      <c r="C2673" t="s">
        <v>8288</v>
      </c>
      <c r="D2673" t="s">
        <v>1185</v>
      </c>
      <c r="AF2673" t="str">
        <f>T("137.105")</f>
        <v>137.105</v>
      </c>
    </row>
    <row r="2674" spans="1:37" x14ac:dyDescent="0.3">
      <c r="A2674" t="s">
        <v>8289</v>
      </c>
      <c r="B2674" t="s">
        <v>8290</v>
      </c>
      <c r="C2674" t="s">
        <v>8291</v>
      </c>
      <c r="AF2674" t="s">
        <v>623</v>
      </c>
    </row>
    <row r="2675" spans="1:37" x14ac:dyDescent="0.3">
      <c r="A2675" t="s">
        <v>8292</v>
      </c>
      <c r="B2675" t="s">
        <v>8293</v>
      </c>
      <c r="C2675" t="s">
        <v>8294</v>
      </c>
      <c r="D2675" t="s">
        <v>8295</v>
      </c>
      <c r="K2675" t="str">
        <f>T("184.1545")</f>
        <v>184.1545</v>
      </c>
      <c r="AG2675" t="str">
        <f>T("2779")</f>
        <v>2779</v>
      </c>
      <c r="AH2675" t="str">
        <f>T("3")</f>
        <v>3</v>
      </c>
    </row>
    <row r="2676" spans="1:37" x14ac:dyDescent="0.3">
      <c r="A2676" t="s">
        <v>8296</v>
      </c>
      <c r="B2676" t="s">
        <v>8297</v>
      </c>
      <c r="C2676" t="s">
        <v>8298</v>
      </c>
      <c r="D2676" t="s">
        <v>7</v>
      </c>
      <c r="AG2676" t="str">
        <f>T("4550")</f>
        <v>4550</v>
      </c>
      <c r="AH2676" t="str">
        <f>T("24")</f>
        <v>24</v>
      </c>
      <c r="AK2676" t="str">
        <f>T("2007")</f>
        <v>2007</v>
      </c>
    </row>
    <row r="2677" spans="1:37" x14ac:dyDescent="0.3">
      <c r="A2677" t="s">
        <v>8299</v>
      </c>
      <c r="B2677" t="s">
        <v>8300</v>
      </c>
      <c r="C2677" t="s">
        <v>8301</v>
      </c>
      <c r="D2677" t="s">
        <v>7</v>
      </c>
      <c r="AG2677" t="str">
        <f>T("3212")</f>
        <v>3212</v>
      </c>
      <c r="AH2677" t="str">
        <f>T("4")</f>
        <v>4</v>
      </c>
      <c r="AI2677" t="str">
        <f>T("25")</f>
        <v>25</v>
      </c>
      <c r="AK2677" t="str">
        <f>T("1185")</f>
        <v>1185</v>
      </c>
    </row>
    <row r="2678" spans="1:37" x14ac:dyDescent="0.3">
      <c r="A2678" t="s">
        <v>8302</v>
      </c>
      <c r="B2678" t="s">
        <v>8303</v>
      </c>
      <c r="C2678" t="s">
        <v>8304</v>
      </c>
      <c r="D2678" t="s">
        <v>7</v>
      </c>
      <c r="AG2678" t="str">
        <f>T("3766")</f>
        <v>3766</v>
      </c>
      <c r="AH2678" t="str">
        <f>T("15")</f>
        <v>15</v>
      </c>
      <c r="AK2678" t="str">
        <f>T("1187")</f>
        <v>1187</v>
      </c>
    </row>
    <row r="2679" spans="1:37" x14ac:dyDescent="0.3">
      <c r="A2679" t="s">
        <v>8305</v>
      </c>
      <c r="B2679" t="s">
        <v>8306</v>
      </c>
      <c r="C2679" t="s">
        <v>8307</v>
      </c>
      <c r="D2679" t="s">
        <v>7</v>
      </c>
      <c r="AG2679" t="str">
        <f>T("3378")</f>
        <v>3378</v>
      </c>
      <c r="AH2679" t="str">
        <f>T("6")</f>
        <v>6</v>
      </c>
      <c r="AI2679" t="str">
        <f>T("25")</f>
        <v>25</v>
      </c>
      <c r="AK2679" t="str">
        <f>T("946")</f>
        <v>946</v>
      </c>
    </row>
    <row r="2680" spans="1:37" x14ac:dyDescent="0.3">
      <c r="A2680" t="s">
        <v>8308</v>
      </c>
      <c r="B2680" t="s">
        <v>8309</v>
      </c>
      <c r="C2680" t="s">
        <v>8310</v>
      </c>
      <c r="D2680" t="s">
        <v>7</v>
      </c>
      <c r="AG2680" t="str">
        <f>T("3951")</f>
        <v>3951</v>
      </c>
      <c r="AH2680" t="str">
        <f>T("19")</f>
        <v>19</v>
      </c>
      <c r="AK2680" t="str">
        <f>T("1183")</f>
        <v>1183</v>
      </c>
    </row>
    <row r="2681" spans="1:37" x14ac:dyDescent="0.3">
      <c r="A2681" t="s">
        <v>8311</v>
      </c>
      <c r="B2681" t="s">
        <v>8312</v>
      </c>
      <c r="C2681" t="s">
        <v>8313</v>
      </c>
      <c r="D2681" t="s">
        <v>7</v>
      </c>
      <c r="K2681" t="str">
        <f>T("172.515")</f>
        <v>172.515</v>
      </c>
      <c r="AG2681" t="str">
        <f>T("2780")</f>
        <v>2780</v>
      </c>
      <c r="AH2681" t="str">
        <f>T("3")</f>
        <v>3</v>
      </c>
      <c r="AI2681" t="str">
        <f>T("25")</f>
        <v>25</v>
      </c>
      <c r="AK2681" t="str">
        <f>T("1184")</f>
        <v>1184</v>
      </c>
    </row>
    <row r="2682" spans="1:37" x14ac:dyDescent="0.3">
      <c r="A2682" t="s">
        <v>8314</v>
      </c>
      <c r="B2682" t="s">
        <v>8315</v>
      </c>
      <c r="C2682" t="s">
        <v>8316</v>
      </c>
      <c r="D2682" t="s">
        <v>7</v>
      </c>
      <c r="AG2682" t="str">
        <f>T("3884")</f>
        <v>3884</v>
      </c>
      <c r="AH2682" t="str">
        <f>T("18")</f>
        <v>18</v>
      </c>
      <c r="AK2682" t="str">
        <f>T("1284")</f>
        <v>1284</v>
      </c>
    </row>
    <row r="2683" spans="1:37" x14ac:dyDescent="0.3">
      <c r="A2683" t="s">
        <v>8317</v>
      </c>
      <c r="B2683" t="s">
        <v>8318</v>
      </c>
      <c r="C2683" t="s">
        <v>8319</v>
      </c>
      <c r="D2683" t="s">
        <v>7</v>
      </c>
      <c r="AG2683" t="str">
        <f>T("3885")</f>
        <v>3885</v>
      </c>
      <c r="AH2683" t="str">
        <f>T("18")</f>
        <v>18</v>
      </c>
      <c r="AK2683" t="str">
        <f>T("1283")</f>
        <v>1283</v>
      </c>
    </row>
    <row r="2684" spans="1:37" x14ac:dyDescent="0.3">
      <c r="A2684" t="s">
        <v>8320</v>
      </c>
      <c r="B2684" t="s">
        <v>8321</v>
      </c>
      <c r="C2684" t="s">
        <v>8322</v>
      </c>
      <c r="D2684" t="s">
        <v>7</v>
      </c>
      <c r="AG2684" t="str">
        <f>T("3952")</f>
        <v>3952</v>
      </c>
      <c r="AH2684" t="str">
        <f>T("19")</f>
        <v>19</v>
      </c>
      <c r="AK2684" t="str">
        <f>T("1188")</f>
        <v>1188</v>
      </c>
    </row>
    <row r="2685" spans="1:37" x14ac:dyDescent="0.3">
      <c r="A2685" t="s">
        <v>8323</v>
      </c>
      <c r="B2685" t="s">
        <v>8324</v>
      </c>
      <c r="C2685" t="s">
        <v>8325</v>
      </c>
      <c r="D2685" t="s">
        <v>7</v>
      </c>
      <c r="AG2685" t="str">
        <f>T("3953")</f>
        <v>3953</v>
      </c>
      <c r="AH2685" t="str">
        <f>T("19")</f>
        <v>19</v>
      </c>
      <c r="AK2685" t="str">
        <f>T("1285")</f>
        <v>1285</v>
      </c>
    </row>
    <row r="2686" spans="1:37" x14ac:dyDescent="0.3">
      <c r="A2686" t="s">
        <v>8326</v>
      </c>
      <c r="B2686" t="s">
        <v>8327</v>
      </c>
      <c r="C2686" t="s">
        <v>8328</v>
      </c>
      <c r="D2686" t="s">
        <v>7</v>
      </c>
      <c r="AG2686" t="str">
        <f>T("4551")</f>
        <v>4551</v>
      </c>
      <c r="AH2686" t="str">
        <f>T("24")</f>
        <v>24</v>
      </c>
      <c r="AK2686" t="str">
        <f>T("2179")</f>
        <v>2179</v>
      </c>
    </row>
    <row r="2687" spans="1:37" x14ac:dyDescent="0.3">
      <c r="A2687" t="s">
        <v>8329</v>
      </c>
      <c r="B2687" t="s">
        <v>8330</v>
      </c>
      <c r="C2687" t="s">
        <v>8331</v>
      </c>
      <c r="D2687" t="s">
        <v>7</v>
      </c>
      <c r="K2687" t="str">
        <f>T("172.515")</f>
        <v>172.515</v>
      </c>
      <c r="AG2687" t="str">
        <f>T("2781")</f>
        <v>2781</v>
      </c>
      <c r="AH2687" t="str">
        <f>T("3")</f>
        <v>3</v>
      </c>
      <c r="AK2687" t="str">
        <f>T("229")</f>
        <v>229</v>
      </c>
    </row>
    <row r="2688" spans="1:37" x14ac:dyDescent="0.3">
      <c r="A2688" t="s">
        <v>8332</v>
      </c>
      <c r="B2688" t="s">
        <v>8333</v>
      </c>
      <c r="C2688" t="s">
        <v>8334</v>
      </c>
      <c r="D2688" t="s">
        <v>7</v>
      </c>
      <c r="K2688" t="str">
        <f>T("172.515")</f>
        <v>172.515</v>
      </c>
      <c r="AG2688" t="str">
        <f>T("2782")</f>
        <v>2782</v>
      </c>
      <c r="AH2688" t="str">
        <f>T("3")</f>
        <v>3</v>
      </c>
      <c r="AK2688" t="str">
        <f>T("101")</f>
        <v>101</v>
      </c>
    </row>
    <row r="2689" spans="1:37" x14ac:dyDescent="0.3">
      <c r="A2689" t="s">
        <v>8335</v>
      </c>
      <c r="B2689" t="s">
        <v>8336</v>
      </c>
      <c r="C2689" t="s">
        <v>8337</v>
      </c>
      <c r="D2689" t="s">
        <v>7</v>
      </c>
      <c r="AG2689" t="str">
        <f>T("4367")</f>
        <v>4367</v>
      </c>
      <c r="AH2689" t="str">
        <f>T("23")</f>
        <v>23</v>
      </c>
      <c r="AK2689" t="str">
        <f>T("1742")</f>
        <v>1742</v>
      </c>
    </row>
    <row r="2690" spans="1:37" x14ac:dyDescent="0.3">
      <c r="A2690" t="s">
        <v>8338</v>
      </c>
      <c r="B2690" t="s">
        <v>8339</v>
      </c>
      <c r="C2690" t="s">
        <v>8340</v>
      </c>
      <c r="D2690" t="s">
        <v>7</v>
      </c>
      <c r="AG2690" t="str">
        <f>T("4373")</f>
        <v>4373</v>
      </c>
      <c r="AH2690" t="str">
        <f>T("23")</f>
        <v>23</v>
      </c>
      <c r="AK2690" t="str">
        <f>T("1743")</f>
        <v>1743</v>
      </c>
    </row>
    <row r="2691" spans="1:37" x14ac:dyDescent="0.3">
      <c r="A2691" t="s">
        <v>8341</v>
      </c>
      <c r="B2691" t="s">
        <v>8342</v>
      </c>
      <c r="C2691" t="s">
        <v>8343</v>
      </c>
      <c r="D2691" t="s">
        <v>7</v>
      </c>
      <c r="K2691" t="str">
        <f>T("172.515")</f>
        <v>172.515</v>
      </c>
      <c r="AG2691" t="str">
        <f>T("2783")</f>
        <v>2783</v>
      </c>
      <c r="AH2691" t="str">
        <f>T("3")</f>
        <v>3</v>
      </c>
      <c r="AK2691" t="str">
        <f>T("605")</f>
        <v>605</v>
      </c>
    </row>
    <row r="2692" spans="1:37" x14ac:dyDescent="0.3">
      <c r="A2692" t="s">
        <v>8344</v>
      </c>
      <c r="B2692" t="s">
        <v>8345</v>
      </c>
      <c r="C2692" t="s">
        <v>8346</v>
      </c>
      <c r="D2692" t="s">
        <v>7</v>
      </c>
      <c r="AG2692" t="str">
        <f>T("3579")</f>
        <v>3579</v>
      </c>
      <c r="AH2692" t="str">
        <f>T("11")</f>
        <v>11</v>
      </c>
      <c r="AI2692" t="str">
        <f>T("25")</f>
        <v>25</v>
      </c>
      <c r="AK2692" t="str">
        <f>T("609")</f>
        <v>609</v>
      </c>
    </row>
    <row r="2693" spans="1:37" x14ac:dyDescent="0.3">
      <c r="A2693" t="s">
        <v>8347</v>
      </c>
      <c r="B2693" t="s">
        <v>8348</v>
      </c>
      <c r="C2693" t="s">
        <v>8349</v>
      </c>
      <c r="D2693" t="s">
        <v>7</v>
      </c>
      <c r="AG2693" t="str">
        <f>T("3513")</f>
        <v>3513</v>
      </c>
      <c r="AH2693" t="str">
        <f>T("10")</f>
        <v>10</v>
      </c>
      <c r="AK2693" t="str">
        <f>T("542")</f>
        <v>542</v>
      </c>
    </row>
    <row r="2694" spans="1:37" x14ac:dyDescent="0.3">
      <c r="A2694" t="s">
        <v>8350</v>
      </c>
      <c r="B2694" t="s">
        <v>8351</v>
      </c>
      <c r="C2694" t="s">
        <v>8352</v>
      </c>
      <c r="D2694" t="s">
        <v>7</v>
      </c>
      <c r="K2694" t="str">
        <f>T("172.515")</f>
        <v>172.515</v>
      </c>
      <c r="L2694" t="str">
        <f>T("173.315")</f>
        <v>173.315</v>
      </c>
      <c r="M2694" t="str">
        <f>T("178.1010")</f>
        <v>178.1010</v>
      </c>
      <c r="AG2694" t="str">
        <f>T("2784")</f>
        <v>2784</v>
      </c>
      <c r="AH2694" t="str">
        <f>T("3")</f>
        <v>3</v>
      </c>
      <c r="AK2694" t="str">
        <f>T("102")</f>
        <v>102</v>
      </c>
    </row>
    <row r="2695" spans="1:37" x14ac:dyDescent="0.3">
      <c r="A2695" t="s">
        <v>8353</v>
      </c>
      <c r="B2695" t="s">
        <v>8354</v>
      </c>
      <c r="C2695" t="s">
        <v>8355</v>
      </c>
      <c r="D2695" t="s">
        <v>7</v>
      </c>
      <c r="AG2695" t="str">
        <f>T("3315")</f>
        <v>3315</v>
      </c>
      <c r="AH2695" t="str">
        <f>T("5")</f>
        <v>5</v>
      </c>
      <c r="AK2695" t="str">
        <f>T("293")</f>
        <v>293</v>
      </c>
    </row>
    <row r="2696" spans="1:37" x14ac:dyDescent="0.3">
      <c r="A2696" t="s">
        <v>8356</v>
      </c>
      <c r="B2696" t="s">
        <v>8357</v>
      </c>
      <c r="C2696" t="s">
        <v>8358</v>
      </c>
      <c r="D2696" t="s">
        <v>7</v>
      </c>
      <c r="K2696" t="str">
        <f>T("172.515")</f>
        <v>172.515</v>
      </c>
      <c r="AG2696" t="str">
        <f>T("2785")</f>
        <v>2785</v>
      </c>
      <c r="AH2696" t="str">
        <f>T("3")</f>
        <v>3</v>
      </c>
      <c r="AI2696" t="str">
        <f>T("25")</f>
        <v>25</v>
      </c>
      <c r="AK2696" t="str">
        <f>T("292")</f>
        <v>292</v>
      </c>
    </row>
    <row r="2697" spans="1:37" x14ac:dyDescent="0.3">
      <c r="A2697" t="s">
        <v>8359</v>
      </c>
      <c r="B2697" t="s">
        <v>8360</v>
      </c>
      <c r="C2697" t="s">
        <v>8361</v>
      </c>
      <c r="D2697" t="s">
        <v>7</v>
      </c>
      <c r="AG2697" t="str">
        <f>T("3440")</f>
        <v>3440</v>
      </c>
      <c r="AH2697" t="str">
        <f>T("8")</f>
        <v>8</v>
      </c>
      <c r="AK2697" t="str">
        <f>T("294")</f>
        <v>294</v>
      </c>
    </row>
    <row r="2698" spans="1:37" x14ac:dyDescent="0.3">
      <c r="A2698" t="s">
        <v>8362</v>
      </c>
      <c r="B2698" t="s">
        <v>8363</v>
      </c>
      <c r="C2698" t="s">
        <v>8364</v>
      </c>
      <c r="D2698" t="s">
        <v>7</v>
      </c>
      <c r="AG2698" t="str">
        <f>T("4399")</f>
        <v>4399</v>
      </c>
      <c r="AH2698" t="str">
        <f>T("23")</f>
        <v>23</v>
      </c>
      <c r="AK2698" t="str">
        <f>T("2076")</f>
        <v>2076</v>
      </c>
    </row>
    <row r="2699" spans="1:37" x14ac:dyDescent="0.3">
      <c r="A2699" t="s">
        <v>8365</v>
      </c>
      <c r="B2699" t="s">
        <v>8366</v>
      </c>
      <c r="C2699" t="s">
        <v>8367</v>
      </c>
      <c r="D2699" t="s">
        <v>7</v>
      </c>
    </row>
    <row r="2700" spans="1:37" x14ac:dyDescent="0.3">
      <c r="A2700" t="s">
        <v>8368</v>
      </c>
      <c r="B2700" t="s">
        <v>8369</v>
      </c>
      <c r="C2700" t="s">
        <v>8370</v>
      </c>
      <c r="D2700" t="s">
        <v>7</v>
      </c>
      <c r="K2700" t="str">
        <f>T("172.515")</f>
        <v>172.515</v>
      </c>
    </row>
    <row r="2701" spans="1:37" x14ac:dyDescent="0.3">
      <c r="A2701" t="s">
        <v>8371</v>
      </c>
      <c r="B2701" t="s">
        <v>8372</v>
      </c>
      <c r="C2701" t="s">
        <v>8373</v>
      </c>
      <c r="D2701" t="s">
        <v>15</v>
      </c>
      <c r="K2701" t="str">
        <f>T("172.515")</f>
        <v>172.515</v>
      </c>
      <c r="AG2701" t="str">
        <f>T("2787")</f>
        <v>2787</v>
      </c>
      <c r="AH2701" t="str">
        <f>T("3")</f>
        <v>3</v>
      </c>
      <c r="AK2701" t="str">
        <f>T("1599")</f>
        <v>1599</v>
      </c>
    </row>
    <row r="2702" spans="1:37" x14ac:dyDescent="0.3">
      <c r="A2702" t="s">
        <v>8374</v>
      </c>
      <c r="B2702" t="s">
        <v>8375</v>
      </c>
      <c r="C2702" t="s">
        <v>8376</v>
      </c>
      <c r="D2702" t="s">
        <v>7</v>
      </c>
      <c r="AG2702" t="str">
        <f>T("4187")</f>
        <v>4187</v>
      </c>
      <c r="AH2702" t="str">
        <f>T("22")</f>
        <v>22</v>
      </c>
      <c r="AK2702" t="str">
        <f>T("1785")</f>
        <v>1785</v>
      </c>
    </row>
    <row r="2703" spans="1:37" x14ac:dyDescent="0.3">
      <c r="A2703" t="s">
        <v>8377</v>
      </c>
      <c r="B2703" t="s">
        <v>8378</v>
      </c>
      <c r="C2703" t="s">
        <v>8379</v>
      </c>
      <c r="D2703" t="s">
        <v>7</v>
      </c>
      <c r="AG2703" t="str">
        <f>T("3213")</f>
        <v>3213</v>
      </c>
      <c r="AH2703" t="str">
        <f>T("4")</f>
        <v>4</v>
      </c>
      <c r="AI2703" t="str">
        <f>T("25")</f>
        <v>25</v>
      </c>
      <c r="AK2703" t="str">
        <f>T("1362")</f>
        <v>1362</v>
      </c>
    </row>
    <row r="2704" spans="1:37" x14ac:dyDescent="0.3">
      <c r="A2704" t="s">
        <v>8380</v>
      </c>
      <c r="B2704" t="s">
        <v>8381</v>
      </c>
      <c r="C2704" t="s">
        <v>8382</v>
      </c>
      <c r="D2704" t="s">
        <v>7</v>
      </c>
      <c r="AG2704" t="str">
        <f>T("3580")</f>
        <v>3580</v>
      </c>
      <c r="AH2704" t="str">
        <f>T("11")</f>
        <v>11</v>
      </c>
      <c r="AK2704" t="str">
        <f>T("325")</f>
        <v>325</v>
      </c>
    </row>
    <row r="2705" spans="1:37" x14ac:dyDescent="0.3">
      <c r="A2705" t="s">
        <v>8383</v>
      </c>
      <c r="B2705" t="s">
        <v>8384</v>
      </c>
      <c r="C2705" t="s">
        <v>8385</v>
      </c>
      <c r="D2705" t="s">
        <v>7</v>
      </c>
      <c r="AG2705" t="str">
        <f>T("4651")</f>
        <v>4651</v>
      </c>
      <c r="AH2705" t="str">
        <f>T("24")</f>
        <v>24</v>
      </c>
      <c r="AK2705" t="str">
        <f>T("2195")</f>
        <v>2195</v>
      </c>
    </row>
    <row r="2706" spans="1:37" x14ac:dyDescent="0.3">
      <c r="A2706" t="s">
        <v>8386</v>
      </c>
      <c r="B2706" t="s">
        <v>8387</v>
      </c>
      <c r="C2706" t="s">
        <v>8388</v>
      </c>
      <c r="D2706" t="s">
        <v>7</v>
      </c>
      <c r="AG2706" t="str">
        <f>T("3954")</f>
        <v>3954</v>
      </c>
      <c r="AH2706" t="str">
        <f>T("19")</f>
        <v>19</v>
      </c>
      <c r="AK2706" t="str">
        <f>T("1380")</f>
        <v>1380</v>
      </c>
    </row>
    <row r="2707" spans="1:37" x14ac:dyDescent="0.3">
      <c r="A2707" t="s">
        <v>8389</v>
      </c>
      <c r="B2707" t="s">
        <v>8390</v>
      </c>
      <c r="C2707" t="s">
        <v>8391</v>
      </c>
      <c r="D2707" t="s">
        <v>7</v>
      </c>
      <c r="AG2707" t="str">
        <f>T("4188")</f>
        <v>4188</v>
      </c>
      <c r="AH2707" t="str">
        <f>T("22")</f>
        <v>22</v>
      </c>
      <c r="AK2707" t="str">
        <f>T("2001")</f>
        <v>2001</v>
      </c>
    </row>
    <row r="2708" spans="1:37" x14ac:dyDescent="0.3">
      <c r="A2708" t="s">
        <v>8392</v>
      </c>
      <c r="B2708" t="s">
        <v>8393</v>
      </c>
      <c r="C2708" t="s">
        <v>8394</v>
      </c>
      <c r="D2708" t="s">
        <v>7</v>
      </c>
      <c r="AG2708" t="str">
        <f>T("3720")</f>
        <v>3720</v>
      </c>
      <c r="AH2708" t="str">
        <f>T("13")</f>
        <v>13</v>
      </c>
      <c r="AK2708" t="str">
        <f>T("1369")</f>
        <v>1369</v>
      </c>
    </row>
    <row r="2709" spans="1:37" x14ac:dyDescent="0.3">
      <c r="A2709" t="s">
        <v>8395</v>
      </c>
      <c r="B2709" t="s">
        <v>8396</v>
      </c>
      <c r="C2709" t="s">
        <v>8397</v>
      </c>
      <c r="D2709" t="s">
        <v>15</v>
      </c>
      <c r="AG2709" t="str">
        <f>T("3379")</f>
        <v>3379</v>
      </c>
      <c r="AH2709" t="str">
        <f>T("6")</f>
        <v>6</v>
      </c>
      <c r="AK2709" t="str">
        <f>T("1365")</f>
        <v>1365</v>
      </c>
    </row>
    <row r="2710" spans="1:37" x14ac:dyDescent="0.3">
      <c r="A2710" t="s">
        <v>8398</v>
      </c>
      <c r="B2710" t="s">
        <v>8399</v>
      </c>
      <c r="C2710" t="s">
        <v>8400</v>
      </c>
      <c r="D2710" t="s">
        <v>7</v>
      </c>
      <c r="AG2710" t="str">
        <f>T("3465")</f>
        <v>3465</v>
      </c>
      <c r="AH2710" t="str">
        <f>T("9")</f>
        <v>9</v>
      </c>
      <c r="AI2710" t="str">
        <f>T("25")</f>
        <v>25</v>
      </c>
      <c r="AK2710" t="str">
        <f>T("324")</f>
        <v>324</v>
      </c>
    </row>
    <row r="2711" spans="1:37" x14ac:dyDescent="0.3">
      <c r="A2711" t="s">
        <v>8401</v>
      </c>
      <c r="B2711" t="s">
        <v>8402</v>
      </c>
      <c r="C2711" t="s">
        <v>8403</v>
      </c>
      <c r="D2711" t="s">
        <v>7</v>
      </c>
      <c r="AG2711" t="str">
        <f>T("3955")</f>
        <v>3955</v>
      </c>
      <c r="AH2711" t="str">
        <f>T("19")</f>
        <v>19</v>
      </c>
      <c r="AK2711" t="str">
        <f>T("1136")</f>
        <v>1136</v>
      </c>
    </row>
    <row r="2712" spans="1:37" x14ac:dyDescent="0.3">
      <c r="A2712" t="s">
        <v>8404</v>
      </c>
      <c r="B2712" t="s">
        <v>8405</v>
      </c>
      <c r="C2712" t="s">
        <v>8406</v>
      </c>
      <c r="D2712" t="s">
        <v>7</v>
      </c>
      <c r="AG2712" t="str">
        <f>T("4408")</f>
        <v>4408</v>
      </c>
      <c r="AH2712" t="str">
        <f>T("23")</f>
        <v>23</v>
      </c>
      <c r="AK2712" t="str">
        <f>T("1851")</f>
        <v>1851</v>
      </c>
    </row>
    <row r="2713" spans="1:37" x14ac:dyDescent="0.3">
      <c r="A2713" t="s">
        <v>8407</v>
      </c>
      <c r="B2713" t="s">
        <v>8408</v>
      </c>
      <c r="C2713" t="s">
        <v>8409</v>
      </c>
      <c r="D2713" t="s">
        <v>7</v>
      </c>
      <c r="AG2713" t="str">
        <f>T("4326")</f>
        <v>4326</v>
      </c>
      <c r="AH2713" t="str">
        <f>T("23")</f>
        <v>23</v>
      </c>
      <c r="AK2713" t="str">
        <f>T("1845")</f>
        <v>1845</v>
      </c>
    </row>
    <row r="2714" spans="1:37" x14ac:dyDescent="0.3">
      <c r="A2714" t="s">
        <v>8410</v>
      </c>
      <c r="B2714" t="s">
        <v>8411</v>
      </c>
      <c r="C2714" t="s">
        <v>8412</v>
      </c>
      <c r="D2714" t="s">
        <v>7</v>
      </c>
      <c r="AG2714" t="str">
        <f>T("4553")</f>
        <v>4553</v>
      </c>
      <c r="AH2714" t="str">
        <f>T("24")</f>
        <v>24</v>
      </c>
      <c r="AK2714" t="str">
        <f>T("2182")</f>
        <v>2182</v>
      </c>
    </row>
    <row r="2715" spans="1:37" x14ac:dyDescent="0.3">
      <c r="A2715" t="s">
        <v>8413</v>
      </c>
      <c r="B2715" t="s">
        <v>8414</v>
      </c>
      <c r="C2715" t="s">
        <v>8415</v>
      </c>
      <c r="D2715" t="s">
        <v>7</v>
      </c>
      <c r="AG2715" t="str">
        <f>T("4554")</f>
        <v>4554</v>
      </c>
      <c r="AH2715" t="str">
        <f>T("24")</f>
        <v>24</v>
      </c>
      <c r="AK2715" t="str">
        <f>T("2183")</f>
        <v>2183</v>
      </c>
    </row>
    <row r="2716" spans="1:37" x14ac:dyDescent="0.3">
      <c r="A2716" t="s">
        <v>8416</v>
      </c>
      <c r="B2716" t="s">
        <v>8417</v>
      </c>
      <c r="C2716" t="s">
        <v>8418</v>
      </c>
      <c r="D2716" t="s">
        <v>7</v>
      </c>
      <c r="K2716" t="str">
        <f>T("172.515")</f>
        <v>172.515</v>
      </c>
      <c r="AG2716" t="str">
        <f>T("2788")</f>
        <v>2788</v>
      </c>
      <c r="AH2716" t="str">
        <f>T("3")</f>
        <v>3</v>
      </c>
      <c r="AK2716" t="str">
        <f>T("131")</f>
        <v>131</v>
      </c>
    </row>
    <row r="2717" spans="1:37" x14ac:dyDescent="0.3">
      <c r="A2717" t="s">
        <v>8419</v>
      </c>
      <c r="B2717" t="s">
        <v>8420</v>
      </c>
      <c r="C2717" t="s">
        <v>8421</v>
      </c>
      <c r="D2717" t="s">
        <v>7</v>
      </c>
      <c r="AG2717" t="str">
        <f>T("4007")</f>
        <v>4007</v>
      </c>
      <c r="AH2717" t="str">
        <f>T("20")</f>
        <v>20</v>
      </c>
      <c r="AK2717" t="str">
        <f>T("1145")</f>
        <v>1145</v>
      </c>
    </row>
    <row r="2718" spans="1:37" x14ac:dyDescent="0.3">
      <c r="A2718" t="s">
        <v>8422</v>
      </c>
      <c r="B2718" t="s">
        <v>8423</v>
      </c>
      <c r="C2718" t="s">
        <v>8424</v>
      </c>
      <c r="D2718" t="s">
        <v>7</v>
      </c>
      <c r="K2718" t="str">
        <f>T("172.515")</f>
        <v>172.515</v>
      </c>
      <c r="AG2718" t="str">
        <f>T("2789")</f>
        <v>2789</v>
      </c>
      <c r="AH2718" t="str">
        <f>T("3")</f>
        <v>3</v>
      </c>
      <c r="AK2718" t="str">
        <f>T("100")</f>
        <v>100</v>
      </c>
    </row>
    <row r="2719" spans="1:37" x14ac:dyDescent="0.3">
      <c r="A2719" t="s">
        <v>8425</v>
      </c>
      <c r="B2719" t="s">
        <v>8426</v>
      </c>
      <c r="C2719" t="s">
        <v>8427</v>
      </c>
      <c r="D2719" t="s">
        <v>7</v>
      </c>
      <c r="K2719" t="str">
        <f>T("172.515")</f>
        <v>172.515</v>
      </c>
      <c r="AG2719" t="str">
        <f>T("2791")</f>
        <v>2791</v>
      </c>
      <c r="AH2719" t="str">
        <f>T("3")</f>
        <v>3</v>
      </c>
      <c r="AI2719" t="str">
        <f>T("25")</f>
        <v>25</v>
      </c>
      <c r="AK2719" t="str">
        <f>T("201")</f>
        <v>201</v>
      </c>
    </row>
    <row r="2720" spans="1:37" x14ac:dyDescent="0.3">
      <c r="A2720" t="s">
        <v>8428</v>
      </c>
      <c r="B2720" t="s">
        <v>8429</v>
      </c>
      <c r="C2720" t="s">
        <v>8430</v>
      </c>
      <c r="D2720" t="s">
        <v>7</v>
      </c>
      <c r="K2720" t="str">
        <f>T("172.515")</f>
        <v>172.515</v>
      </c>
      <c r="AG2720" t="str">
        <f>T("2790")</f>
        <v>2790</v>
      </c>
      <c r="AH2720" t="str">
        <f>T("3")</f>
        <v>3</v>
      </c>
      <c r="AK2720" t="str">
        <f>T("178")</f>
        <v>178</v>
      </c>
    </row>
    <row r="2721" spans="1:37" x14ac:dyDescent="0.3">
      <c r="A2721" t="s">
        <v>8431</v>
      </c>
      <c r="B2721" t="s">
        <v>8432</v>
      </c>
      <c r="C2721" t="s">
        <v>8433</v>
      </c>
      <c r="D2721" t="s">
        <v>7</v>
      </c>
      <c r="K2721" t="str">
        <f>T("172.515")</f>
        <v>172.515</v>
      </c>
      <c r="AG2721" t="str">
        <f>T("3166")</f>
        <v>3166</v>
      </c>
      <c r="AH2721" t="str">
        <f>T("4")</f>
        <v>4</v>
      </c>
      <c r="AI2721" t="str">
        <f>T("25")</f>
        <v>25</v>
      </c>
      <c r="AK2721" t="str">
        <f>T("1398")</f>
        <v>1398</v>
      </c>
    </row>
    <row r="2722" spans="1:37" x14ac:dyDescent="0.3">
      <c r="A2722" t="s">
        <v>8434</v>
      </c>
      <c r="B2722" t="s">
        <v>8435</v>
      </c>
      <c r="C2722" t="s">
        <v>8436</v>
      </c>
      <c r="D2722" t="s">
        <v>773</v>
      </c>
      <c r="K2722" t="str">
        <f>T("175.300")</f>
        <v>175.300</v>
      </c>
      <c r="L2722" t="str">
        <f>T("177.1010")</f>
        <v>177.1010</v>
      </c>
      <c r="M2722" t="str">
        <f>T("181.24")</f>
        <v>181.24</v>
      </c>
      <c r="AD2722" t="str">
        <f>T("189.165")</f>
        <v>189.165</v>
      </c>
    </row>
    <row r="2723" spans="1:37" x14ac:dyDescent="0.3">
      <c r="A2723" t="s">
        <v>8437</v>
      </c>
      <c r="B2723" t="s">
        <v>8438</v>
      </c>
      <c r="C2723" t="s">
        <v>8439</v>
      </c>
      <c r="D2723" t="s">
        <v>7</v>
      </c>
      <c r="AG2723" t="str">
        <f>T("4496")</f>
        <v>4496</v>
      </c>
      <c r="AH2723" t="str">
        <f>T("24")</f>
        <v>24</v>
      </c>
      <c r="AK2723" t="str">
        <f>T("2009")</f>
        <v>2009</v>
      </c>
    </row>
    <row r="2724" spans="1:37" x14ac:dyDescent="0.3">
      <c r="A2724" t="s">
        <v>8440</v>
      </c>
      <c r="B2724" t="s">
        <v>8441</v>
      </c>
      <c r="C2724" t="s">
        <v>8442</v>
      </c>
      <c r="D2724" t="s">
        <v>7</v>
      </c>
      <c r="AG2724" t="str">
        <f>T("4549")</f>
        <v>4549</v>
      </c>
      <c r="AH2724" t="str">
        <f>T("24")</f>
        <v>24</v>
      </c>
      <c r="AK2724" t="str">
        <f>T("2008")</f>
        <v>2008</v>
      </c>
    </row>
    <row r="2725" spans="1:37" x14ac:dyDescent="0.3">
      <c r="A2725" t="s">
        <v>8443</v>
      </c>
      <c r="B2725" t="s">
        <v>8444</v>
      </c>
      <c r="C2725" t="s">
        <v>8445</v>
      </c>
      <c r="D2725" t="s">
        <v>8446</v>
      </c>
      <c r="K2725" t="str">
        <f>T("182.10")</f>
        <v>182.10</v>
      </c>
      <c r="AF2725" t="str">
        <f>T("101.22")</f>
        <v>101.22</v>
      </c>
      <c r="AG2725" t="str">
        <f>T("2792")</f>
        <v>2792</v>
      </c>
      <c r="AH2725" t="str">
        <f>T("3")</f>
        <v>3</v>
      </c>
    </row>
    <row r="2726" spans="1:37" x14ac:dyDescent="0.3">
      <c r="A2726" t="s">
        <v>8447</v>
      </c>
      <c r="B2726" t="s">
        <v>8448</v>
      </c>
      <c r="C2726" t="s">
        <v>8449</v>
      </c>
      <c r="D2726" t="s">
        <v>7</v>
      </c>
      <c r="K2726" t="str">
        <f>T("182.20")</f>
        <v>182.20</v>
      </c>
      <c r="AG2726" t="str">
        <f>T("2793")</f>
        <v>2793</v>
      </c>
      <c r="AH2726" t="str">
        <f>T("3")</f>
        <v>3</v>
      </c>
    </row>
    <row r="2727" spans="1:37" x14ac:dyDescent="0.3">
      <c r="A2727" t="s">
        <v>8450</v>
      </c>
      <c r="B2727" t="s">
        <v>8451</v>
      </c>
      <c r="C2727" t="s">
        <v>8452</v>
      </c>
      <c r="D2727" t="s">
        <v>7</v>
      </c>
      <c r="K2727" t="str">
        <f>T("182.20")</f>
        <v>182.20</v>
      </c>
    </row>
    <row r="2728" spans="1:37" x14ac:dyDescent="0.3">
      <c r="A2728" t="s">
        <v>8453</v>
      </c>
      <c r="B2728" t="s">
        <v>8454</v>
      </c>
      <c r="C2728" t="s">
        <v>8455</v>
      </c>
      <c r="D2728" t="s">
        <v>7</v>
      </c>
      <c r="K2728" t="str">
        <f>T("172.510")</f>
        <v>172.510</v>
      </c>
      <c r="AG2728" t="str">
        <f>T("2794")</f>
        <v>2794</v>
      </c>
      <c r="AH2728" t="str">
        <f>T("3")</f>
        <v>3</v>
      </c>
    </row>
    <row r="2729" spans="1:37" x14ac:dyDescent="0.3">
      <c r="A2729" t="s">
        <v>8456</v>
      </c>
      <c r="B2729" t="s">
        <v>8457</v>
      </c>
      <c r="C2729" t="s">
        <v>8458</v>
      </c>
      <c r="D2729" t="s">
        <v>7</v>
      </c>
      <c r="K2729" t="str">
        <f>T("172.510")</f>
        <v>172.510</v>
      </c>
      <c r="AG2729" t="str">
        <f>T("2795")</f>
        <v>2795</v>
      </c>
      <c r="AH2729" t="str">
        <f>T("3")</f>
        <v>3</v>
      </c>
    </row>
    <row r="2730" spans="1:37" x14ac:dyDescent="0.3">
      <c r="A2730" t="s">
        <v>8459</v>
      </c>
      <c r="B2730" t="s">
        <v>8460</v>
      </c>
      <c r="C2730" t="s">
        <v>8461</v>
      </c>
      <c r="D2730" t="s">
        <v>7</v>
      </c>
      <c r="K2730" t="str">
        <f>T("172.510")</f>
        <v>172.510</v>
      </c>
    </row>
    <row r="2731" spans="1:37" x14ac:dyDescent="0.3">
      <c r="A2731" t="s">
        <v>8462</v>
      </c>
      <c r="B2731" t="s">
        <v>8463</v>
      </c>
      <c r="C2731" t="s">
        <v>8464</v>
      </c>
      <c r="D2731" t="s">
        <v>7</v>
      </c>
      <c r="K2731" t="str">
        <f>T("172.510")</f>
        <v>172.510</v>
      </c>
    </row>
    <row r="2732" spans="1:37" x14ac:dyDescent="0.3">
      <c r="A2732" t="s">
        <v>8465</v>
      </c>
      <c r="B2732" t="s">
        <v>8466</v>
      </c>
      <c r="C2732" t="s">
        <v>8467</v>
      </c>
      <c r="D2732" t="s">
        <v>2687</v>
      </c>
      <c r="AF2732" t="s">
        <v>4513</v>
      </c>
    </row>
    <row r="2733" spans="1:37" x14ac:dyDescent="0.3">
      <c r="A2733" t="s">
        <v>8468</v>
      </c>
      <c r="B2733" t="s">
        <v>8469</v>
      </c>
      <c r="C2733" t="s">
        <v>8470</v>
      </c>
      <c r="D2733" t="s">
        <v>7</v>
      </c>
      <c r="K2733" t="str">
        <f>T("172.515")</f>
        <v>172.515</v>
      </c>
      <c r="AG2733" t="str">
        <f>T("3539")</f>
        <v>3539</v>
      </c>
      <c r="AH2733" t="str">
        <f>T("11")</f>
        <v>11</v>
      </c>
      <c r="AI2733" t="str">
        <f>T("25")</f>
        <v>25</v>
      </c>
      <c r="AK2733" t="str">
        <f>T("1338")</f>
        <v>1338</v>
      </c>
    </row>
    <row r="2734" spans="1:37" x14ac:dyDescent="0.3">
      <c r="A2734" t="s">
        <v>8471</v>
      </c>
      <c r="B2734" t="s">
        <v>8472</v>
      </c>
      <c r="C2734" t="s">
        <v>8473</v>
      </c>
      <c r="D2734" t="s">
        <v>8474</v>
      </c>
      <c r="AG2734" t="str">
        <f>T("3380")</f>
        <v>3380</v>
      </c>
      <c r="AH2734" t="str">
        <f>T("6")</f>
        <v>6</v>
      </c>
      <c r="AI2734" t="str">
        <f>T("25")</f>
        <v>25</v>
      </c>
      <c r="AK2734" t="str">
        <f>T("332")</f>
        <v>332</v>
      </c>
    </row>
    <row r="2735" spans="1:37" x14ac:dyDescent="0.3">
      <c r="A2735" t="s">
        <v>8475</v>
      </c>
      <c r="B2735" t="s">
        <v>8476</v>
      </c>
      <c r="C2735" t="s">
        <v>8477</v>
      </c>
      <c r="D2735" t="s">
        <v>7</v>
      </c>
      <c r="AG2735" t="str">
        <f>T("4447")</f>
        <v>4447</v>
      </c>
      <c r="AH2735" t="str">
        <f>T("24")</f>
        <v>24</v>
      </c>
      <c r="AI2735" t="str">
        <f>T("25")</f>
        <v>25</v>
      </c>
      <c r="AK2735" t="str">
        <f>T("1999")</f>
        <v>1999</v>
      </c>
    </row>
    <row r="2736" spans="1:37" x14ac:dyDescent="0.3">
      <c r="A2736" t="s">
        <v>8478</v>
      </c>
      <c r="B2736" t="s">
        <v>8479</v>
      </c>
      <c r="C2736" t="s">
        <v>8480</v>
      </c>
      <c r="D2736" t="s">
        <v>7</v>
      </c>
      <c r="AG2736" t="str">
        <f>T("4446")</f>
        <v>4446</v>
      </c>
      <c r="AH2736" t="str">
        <f>T("24")</f>
        <v>24</v>
      </c>
      <c r="AI2736" t="str">
        <f>T("25")</f>
        <v>25</v>
      </c>
      <c r="AK2736" t="str">
        <f>T("1998")</f>
        <v>1998</v>
      </c>
    </row>
    <row r="2737" spans="1:37" x14ac:dyDescent="0.3">
      <c r="A2737" t="s">
        <v>8481</v>
      </c>
      <c r="B2737" t="s">
        <v>8482</v>
      </c>
      <c r="C2737" t="s">
        <v>8483</v>
      </c>
      <c r="D2737" t="s">
        <v>7</v>
      </c>
      <c r="AG2737" t="str">
        <f>T("4059")</f>
        <v>4059</v>
      </c>
      <c r="AH2737" t="str">
        <f>T("21")</f>
        <v>21</v>
      </c>
      <c r="AK2737" t="str">
        <f>T("1641")</f>
        <v>1641</v>
      </c>
    </row>
    <row r="2738" spans="1:37" x14ac:dyDescent="0.3">
      <c r="A2738" t="s">
        <v>8484</v>
      </c>
      <c r="B2738" t="s">
        <v>8485</v>
      </c>
      <c r="C2738" t="s">
        <v>8486</v>
      </c>
      <c r="D2738" t="s">
        <v>192</v>
      </c>
      <c r="K2738" t="str">
        <f>T("173.310")</f>
        <v>173.310</v>
      </c>
    </row>
    <row r="2739" spans="1:37" x14ac:dyDescent="0.3">
      <c r="A2739" t="s">
        <v>8487</v>
      </c>
      <c r="B2739" t="s">
        <v>8488</v>
      </c>
      <c r="C2739" t="s">
        <v>8489</v>
      </c>
      <c r="D2739" t="s">
        <v>15</v>
      </c>
      <c r="AG2739" t="str">
        <f>T("3721")</f>
        <v>3721</v>
      </c>
      <c r="AH2739" t="str">
        <f>T("13")</f>
        <v>13</v>
      </c>
      <c r="AK2739" t="str">
        <f>T("1181")</f>
        <v>1181</v>
      </c>
    </row>
    <row r="2740" spans="1:37" x14ac:dyDescent="0.3">
      <c r="A2740" t="s">
        <v>8490</v>
      </c>
      <c r="B2740" t="s">
        <v>8491</v>
      </c>
      <c r="C2740" t="s">
        <v>8492</v>
      </c>
      <c r="D2740" t="s">
        <v>15</v>
      </c>
      <c r="AG2740" t="str">
        <f>T("3466")</f>
        <v>3466</v>
      </c>
      <c r="AH2740" t="str">
        <f>T("9")</f>
        <v>9</v>
      </c>
      <c r="AI2740" t="str">
        <f>T("25")</f>
        <v>25</v>
      </c>
      <c r="AK2740" t="str">
        <f>T("1182")</f>
        <v>1182</v>
      </c>
    </row>
    <row r="2741" spans="1:37" x14ac:dyDescent="0.3">
      <c r="A2741" t="s">
        <v>8493</v>
      </c>
      <c r="B2741" t="s">
        <v>8494</v>
      </c>
      <c r="C2741" t="s">
        <v>8495</v>
      </c>
      <c r="D2741" t="s">
        <v>7</v>
      </c>
      <c r="AG2741" t="str">
        <f>T("3956")</f>
        <v>3956</v>
      </c>
      <c r="AH2741" t="str">
        <f>T("19")</f>
        <v>19</v>
      </c>
      <c r="AK2741" t="str">
        <f>T("1180")</f>
        <v>1180</v>
      </c>
    </row>
    <row r="2742" spans="1:37" x14ac:dyDescent="0.3">
      <c r="A2742" t="s">
        <v>8496</v>
      </c>
      <c r="B2742" t="s">
        <v>8497</v>
      </c>
      <c r="C2742" t="s">
        <v>8498</v>
      </c>
      <c r="D2742" t="s">
        <v>7</v>
      </c>
      <c r="AG2742" t="str">
        <f>T("4405")</f>
        <v>4405</v>
      </c>
      <c r="AH2742" t="str">
        <f>T("23")</f>
        <v>23</v>
      </c>
      <c r="AK2742" t="str">
        <f>T("1848")</f>
        <v>1848</v>
      </c>
    </row>
    <row r="2743" spans="1:37" x14ac:dyDescent="0.3">
      <c r="A2743" t="s">
        <v>8499</v>
      </c>
      <c r="B2743" t="s">
        <v>8500</v>
      </c>
      <c r="C2743" t="s">
        <v>8501</v>
      </c>
      <c r="D2743" t="s">
        <v>7</v>
      </c>
      <c r="AG2743" t="str">
        <f>T("4008")</f>
        <v>4008</v>
      </c>
      <c r="AH2743" t="str">
        <f>T("20")</f>
        <v>20</v>
      </c>
      <c r="AK2743" t="str">
        <f>T("1139")</f>
        <v>1139</v>
      </c>
    </row>
    <row r="2744" spans="1:37" x14ac:dyDescent="0.3">
      <c r="A2744" t="s">
        <v>8502</v>
      </c>
      <c r="B2744" t="s">
        <v>8503</v>
      </c>
      <c r="C2744" t="s">
        <v>8504</v>
      </c>
      <c r="D2744" t="s">
        <v>1185</v>
      </c>
      <c r="K2744" t="str">
        <f>T("173.360")</f>
        <v>173.360</v>
      </c>
    </row>
    <row r="2745" spans="1:37" x14ac:dyDescent="0.3">
      <c r="A2745" t="s">
        <v>8505</v>
      </c>
      <c r="B2745" t="s">
        <v>8506</v>
      </c>
      <c r="C2745" t="s">
        <v>8507</v>
      </c>
      <c r="D2745" t="s">
        <v>7</v>
      </c>
      <c r="AG2745" t="str">
        <f>T("4682")</f>
        <v>4682</v>
      </c>
      <c r="AH2745" t="str">
        <f>T("25")</f>
        <v>25</v>
      </c>
    </row>
    <row r="2746" spans="1:37" x14ac:dyDescent="0.3">
      <c r="A2746" t="s">
        <v>8508</v>
      </c>
      <c r="B2746" t="s">
        <v>8509</v>
      </c>
      <c r="C2746" t="s">
        <v>8510</v>
      </c>
      <c r="D2746" t="s">
        <v>7</v>
      </c>
      <c r="AG2746" t="str">
        <f>T("3791")</f>
        <v>3791</v>
      </c>
      <c r="AH2746" t="str">
        <f>T("16")</f>
        <v>16</v>
      </c>
      <c r="AK2746" t="str">
        <f>T("1166")</f>
        <v>1166</v>
      </c>
    </row>
    <row r="2747" spans="1:37" x14ac:dyDescent="0.3">
      <c r="A2747" t="s">
        <v>8511</v>
      </c>
      <c r="B2747" t="s">
        <v>8512</v>
      </c>
      <c r="C2747" t="s">
        <v>8513</v>
      </c>
      <c r="D2747" t="s">
        <v>7</v>
      </c>
      <c r="AG2747" t="str">
        <f>T("3214")</f>
        <v>3214</v>
      </c>
      <c r="AH2747" t="str">
        <f>T("4")</f>
        <v>4</v>
      </c>
      <c r="AI2747" t="str">
        <f>T("25")</f>
        <v>25</v>
      </c>
      <c r="AK2747" t="str">
        <f>T("228")</f>
        <v>228</v>
      </c>
    </row>
    <row r="2748" spans="1:37" x14ac:dyDescent="0.3">
      <c r="A2748" t="s">
        <v>8514</v>
      </c>
      <c r="B2748" t="s">
        <v>8515</v>
      </c>
      <c r="C2748" t="s">
        <v>8516</v>
      </c>
      <c r="D2748" t="s">
        <v>7</v>
      </c>
      <c r="K2748" t="str">
        <f>T("172.515")</f>
        <v>172.515</v>
      </c>
      <c r="AG2748" t="str">
        <f>T("2796")</f>
        <v>2796</v>
      </c>
      <c r="AH2748" t="str">
        <f>T("3")</f>
        <v>3</v>
      </c>
      <c r="AK2748" t="str">
        <f>T("226")</f>
        <v>226</v>
      </c>
    </row>
    <row r="2749" spans="1:37" x14ac:dyDescent="0.3">
      <c r="A2749" t="s">
        <v>8517</v>
      </c>
      <c r="B2749" t="s">
        <v>8518</v>
      </c>
      <c r="C2749" t="s">
        <v>8519</v>
      </c>
      <c r="D2749" t="s">
        <v>7</v>
      </c>
      <c r="K2749" t="str">
        <f>T("172.515")</f>
        <v>172.515</v>
      </c>
      <c r="AG2749" t="str">
        <f>T("2797")</f>
        <v>2797</v>
      </c>
      <c r="AH2749" t="str">
        <f>T("3")</f>
        <v>3</v>
      </c>
      <c r="AK2749" t="str">
        <f>T("98")</f>
        <v>98</v>
      </c>
    </row>
    <row r="2750" spans="1:37" x14ac:dyDescent="0.3">
      <c r="A2750" t="s">
        <v>8520</v>
      </c>
      <c r="B2750" t="s">
        <v>8521</v>
      </c>
      <c r="C2750" t="s">
        <v>8522</v>
      </c>
      <c r="D2750" t="s">
        <v>7</v>
      </c>
      <c r="K2750" t="str">
        <f>T("172.515")</f>
        <v>172.515</v>
      </c>
      <c r="AG2750" t="str">
        <f>T("2798")</f>
        <v>2798</v>
      </c>
      <c r="AH2750" t="str">
        <f>T("3")</f>
        <v>3</v>
      </c>
      <c r="AK2750" t="str">
        <f>T("942")</f>
        <v>942</v>
      </c>
    </row>
    <row r="2751" spans="1:37" x14ac:dyDescent="0.3">
      <c r="A2751" t="s">
        <v>8523</v>
      </c>
      <c r="B2751" t="s">
        <v>8524</v>
      </c>
      <c r="C2751" t="s">
        <v>8525</v>
      </c>
      <c r="D2751" t="s">
        <v>7</v>
      </c>
      <c r="AG2751" t="str">
        <f>T("4383")</f>
        <v>4383</v>
      </c>
      <c r="AH2751" t="str">
        <f>T("23")</f>
        <v>23</v>
      </c>
      <c r="AK2751" t="str">
        <f>T("1741")</f>
        <v>1741</v>
      </c>
    </row>
    <row r="2752" spans="1:37" x14ac:dyDescent="0.3">
      <c r="A2752" t="s">
        <v>8526</v>
      </c>
      <c r="B2752" t="s">
        <v>8527</v>
      </c>
      <c r="C2752" t="s">
        <v>8528</v>
      </c>
      <c r="D2752" t="s">
        <v>7</v>
      </c>
      <c r="AG2752" t="str">
        <f>T("4060")</f>
        <v>4060</v>
      </c>
      <c r="AH2752" t="str">
        <f>T("21")</f>
        <v>21</v>
      </c>
      <c r="AK2752" t="str">
        <f>T("2036")</f>
        <v>2036</v>
      </c>
    </row>
    <row r="2753" spans="1:37" x14ac:dyDescent="0.3">
      <c r="A2753" t="s">
        <v>8529</v>
      </c>
      <c r="B2753" t="s">
        <v>8530</v>
      </c>
      <c r="C2753" t="s">
        <v>8531</v>
      </c>
      <c r="D2753" t="s">
        <v>7</v>
      </c>
      <c r="AG2753" t="str">
        <f>T("4533")</f>
        <v>4533</v>
      </c>
      <c r="AH2753" t="str">
        <f>T("24")</f>
        <v>24</v>
      </c>
      <c r="AK2753" t="str">
        <f>T("2037")</f>
        <v>2037</v>
      </c>
    </row>
    <row r="2754" spans="1:37" x14ac:dyDescent="0.3">
      <c r="A2754" t="s">
        <v>8532</v>
      </c>
      <c r="B2754" t="s">
        <v>8533</v>
      </c>
      <c r="C2754" t="s">
        <v>8534</v>
      </c>
      <c r="D2754" t="s">
        <v>7</v>
      </c>
      <c r="AG2754" t="str">
        <f>T("3514")</f>
        <v>3514</v>
      </c>
      <c r="AH2754" t="str">
        <f>T("10")</f>
        <v>10</v>
      </c>
      <c r="AK2754" t="str">
        <f>T("541")</f>
        <v>541</v>
      </c>
    </row>
    <row r="2755" spans="1:37" x14ac:dyDescent="0.3">
      <c r="A2755" t="s">
        <v>8535</v>
      </c>
      <c r="B2755" t="s">
        <v>8536</v>
      </c>
      <c r="C2755" t="s">
        <v>8537</v>
      </c>
      <c r="D2755" t="s">
        <v>7</v>
      </c>
      <c r="K2755" t="str">
        <f>T("172.210")</f>
        <v>172.210</v>
      </c>
      <c r="L2755" t="str">
        <f>T("172.860")</f>
        <v>172.860</v>
      </c>
      <c r="M2755" t="str">
        <f>T("173.315")</f>
        <v>173.315</v>
      </c>
      <c r="N2755" t="str">
        <f>T("173.340")</f>
        <v>173.340</v>
      </c>
      <c r="O2755" t="str">
        <f>T("173.370")</f>
        <v>173.370</v>
      </c>
      <c r="P2755" t="str">
        <f>T("178.1010")</f>
        <v>178.1010</v>
      </c>
      <c r="Q2755" t="str">
        <f>T("184.1025")</f>
        <v>184.1025</v>
      </c>
      <c r="AG2755" t="str">
        <f>T("2799")</f>
        <v>2799</v>
      </c>
      <c r="AH2755" t="str">
        <f>T("3")</f>
        <v>3</v>
      </c>
      <c r="AK2755" t="str">
        <f>T("99")</f>
        <v>99</v>
      </c>
    </row>
    <row r="2756" spans="1:37" x14ac:dyDescent="0.3">
      <c r="A2756" t="s">
        <v>8538</v>
      </c>
      <c r="B2756" t="s">
        <v>8539</v>
      </c>
      <c r="C2756" t="s">
        <v>8540</v>
      </c>
      <c r="D2756" t="s">
        <v>7</v>
      </c>
      <c r="K2756" t="str">
        <f>T("172.230")</f>
        <v>172.230</v>
      </c>
      <c r="L2756" t="str">
        <f>T("172.515")</f>
        <v>172.515</v>
      </c>
      <c r="M2756" t="str">
        <f>T("172.864")</f>
        <v>172.864</v>
      </c>
      <c r="N2756" t="str">
        <f>T("175.105")</f>
        <v>175.105</v>
      </c>
      <c r="O2756" t="str">
        <f>T("175.300")</f>
        <v>175.300</v>
      </c>
      <c r="P2756" t="str">
        <f>T("177.1200")</f>
        <v>177.1200</v>
      </c>
      <c r="Q2756" t="str">
        <f>T("177.1390")</f>
        <v>177.1390</v>
      </c>
      <c r="R2756" t="str">
        <f>T("178.3480")</f>
        <v>178.3480</v>
      </c>
      <c r="AG2756" t="str">
        <f>T("2800")</f>
        <v>2800</v>
      </c>
      <c r="AH2756" t="str">
        <f>T("3")</f>
        <v>3</v>
      </c>
      <c r="AK2756" t="str">
        <f>T("97")</f>
        <v>97</v>
      </c>
    </row>
    <row r="2757" spans="1:37" x14ac:dyDescent="0.3">
      <c r="A2757" t="s">
        <v>8541</v>
      </c>
      <c r="B2757" t="s">
        <v>8542</v>
      </c>
      <c r="C2757" t="s">
        <v>8543</v>
      </c>
      <c r="D2757" t="s">
        <v>7</v>
      </c>
      <c r="K2757" t="str">
        <f>T("172.515")</f>
        <v>172.515</v>
      </c>
      <c r="L2757" t="str">
        <f>T("176.180")</f>
        <v>176.180</v>
      </c>
      <c r="M2757" t="str">
        <f>T("176.210")</f>
        <v>176.210</v>
      </c>
      <c r="AG2757" t="str">
        <f>T("2801")</f>
        <v>2801</v>
      </c>
      <c r="AH2757" t="str">
        <f>T("3")</f>
        <v>3</v>
      </c>
      <c r="AI2757" t="str">
        <f>T("25")</f>
        <v>25</v>
      </c>
      <c r="AK2757" t="str">
        <f>T("289")</f>
        <v>289</v>
      </c>
    </row>
    <row r="2758" spans="1:37" x14ac:dyDescent="0.3">
      <c r="A2758" t="s">
        <v>8544</v>
      </c>
      <c r="B2758" t="s">
        <v>8545</v>
      </c>
      <c r="C2758" t="s">
        <v>8546</v>
      </c>
      <c r="D2758" t="s">
        <v>7</v>
      </c>
      <c r="K2758" t="str">
        <f>T("172.515")</f>
        <v>172.515</v>
      </c>
      <c r="AG2758" t="str">
        <f>T("3581")</f>
        <v>3581</v>
      </c>
      <c r="AH2758" t="str">
        <f>T("11")</f>
        <v>11</v>
      </c>
      <c r="AK2758" t="str">
        <f>T("291")</f>
        <v>291</v>
      </c>
    </row>
    <row r="2759" spans="1:37" x14ac:dyDescent="0.3">
      <c r="A2759" t="s">
        <v>8547</v>
      </c>
      <c r="B2759" t="s">
        <v>8548</v>
      </c>
      <c r="C2759" t="s">
        <v>8549</v>
      </c>
      <c r="D2759" t="s">
        <v>7</v>
      </c>
      <c r="K2759" t="str">
        <f>T("172.515")</f>
        <v>172.515</v>
      </c>
      <c r="AG2759" t="str">
        <f>T("2802")</f>
        <v>2802</v>
      </c>
      <c r="AH2759" t="str">
        <f>T("3")</f>
        <v>3</v>
      </c>
      <c r="AK2759" t="str">
        <f>T("288")</f>
        <v>288</v>
      </c>
    </row>
    <row r="2760" spans="1:37" x14ac:dyDescent="0.3">
      <c r="A2760" t="s">
        <v>8550</v>
      </c>
      <c r="B2760" t="s">
        <v>8551</v>
      </c>
      <c r="C2760" t="s">
        <v>8552</v>
      </c>
      <c r="D2760" t="s">
        <v>7</v>
      </c>
      <c r="K2760" t="str">
        <f>T("172.515")</f>
        <v>172.515</v>
      </c>
      <c r="AG2760" t="str">
        <f>T("2803")</f>
        <v>2803</v>
      </c>
      <c r="AH2760" t="str">
        <f>T("3")</f>
        <v>3</v>
      </c>
      <c r="AI2760" t="str">
        <f>T("25")</f>
        <v>25</v>
      </c>
      <c r="AK2760" t="str">
        <f>T("290")</f>
        <v>290</v>
      </c>
    </row>
    <row r="2761" spans="1:37" x14ac:dyDescent="0.3">
      <c r="A2761" t="s">
        <v>8553</v>
      </c>
      <c r="B2761" t="s">
        <v>8554</v>
      </c>
      <c r="C2761" t="s">
        <v>8555</v>
      </c>
      <c r="D2761" t="s">
        <v>7</v>
      </c>
      <c r="AG2761" t="str">
        <f>T("3215")</f>
        <v>3215</v>
      </c>
      <c r="AH2761" t="str">
        <f>T("4")</f>
        <v>4</v>
      </c>
      <c r="AI2761" t="str">
        <f>T("25")</f>
        <v>25</v>
      </c>
      <c r="AK2761" t="str">
        <f>T("1363")</f>
        <v>1363</v>
      </c>
    </row>
    <row r="2762" spans="1:37" x14ac:dyDescent="0.3">
      <c r="A2762" t="s">
        <v>8556</v>
      </c>
      <c r="B2762" t="s">
        <v>8557</v>
      </c>
      <c r="C2762" t="s">
        <v>8558</v>
      </c>
      <c r="D2762" t="s">
        <v>7</v>
      </c>
      <c r="AG2762" t="str">
        <f>T("3749")</f>
        <v>3749</v>
      </c>
      <c r="AH2762" t="str">
        <f>T("14")</f>
        <v>14</v>
      </c>
      <c r="AK2762" t="str">
        <f>T("323")</f>
        <v>323</v>
      </c>
    </row>
    <row r="2763" spans="1:37" x14ac:dyDescent="0.3">
      <c r="A2763" t="s">
        <v>8559</v>
      </c>
      <c r="B2763" t="s">
        <v>8560</v>
      </c>
      <c r="C2763" t="s">
        <v>8561</v>
      </c>
      <c r="D2763" t="s">
        <v>7</v>
      </c>
    </row>
    <row r="2764" spans="1:37" x14ac:dyDescent="0.3">
      <c r="A2764" t="s">
        <v>8562</v>
      </c>
      <c r="B2764" t="s">
        <v>8563</v>
      </c>
      <c r="C2764" t="s">
        <v>8564</v>
      </c>
      <c r="D2764" t="s">
        <v>7</v>
      </c>
      <c r="AG2764" t="str">
        <f>T("3957")</f>
        <v>3957</v>
      </c>
      <c r="AH2764" t="str">
        <f>T("19")</f>
        <v>19</v>
      </c>
      <c r="AK2764" t="str">
        <f>T("1805")</f>
        <v>1805</v>
      </c>
    </row>
    <row r="2765" spans="1:37" x14ac:dyDescent="0.3">
      <c r="A2765" t="s">
        <v>8565</v>
      </c>
      <c r="B2765" t="s">
        <v>8566</v>
      </c>
      <c r="C2765" t="s">
        <v>8567</v>
      </c>
      <c r="D2765" t="s">
        <v>7</v>
      </c>
      <c r="AG2765" t="str">
        <f>T("4362")</f>
        <v>4362</v>
      </c>
      <c r="AH2765" t="str">
        <f>T("23")</f>
        <v>23</v>
      </c>
      <c r="AK2765" t="str">
        <f>T("1627")</f>
        <v>1627</v>
      </c>
    </row>
    <row r="2766" spans="1:37" x14ac:dyDescent="0.3">
      <c r="A2766" t="s">
        <v>8568</v>
      </c>
      <c r="B2766" t="s">
        <v>8569</v>
      </c>
      <c r="C2766" t="s">
        <v>8570</v>
      </c>
      <c r="D2766" t="s">
        <v>7</v>
      </c>
      <c r="K2766" t="str">
        <f>T("172.515")</f>
        <v>172.515</v>
      </c>
      <c r="AG2766" t="str">
        <f>T("2805")</f>
        <v>2805</v>
      </c>
      <c r="AH2766" t="str">
        <f>T("3")</f>
        <v>3</v>
      </c>
      <c r="AK2766" t="str">
        <f>T("1152")</f>
        <v>1152</v>
      </c>
    </row>
    <row r="2767" spans="1:37" x14ac:dyDescent="0.3">
      <c r="A2767" t="s">
        <v>8571</v>
      </c>
      <c r="B2767" t="s">
        <v>8572</v>
      </c>
      <c r="C2767" t="s">
        <v>8573</v>
      </c>
      <c r="D2767" t="s">
        <v>7</v>
      </c>
      <c r="AG2767" t="str">
        <f>T("4615")</f>
        <v>4615</v>
      </c>
      <c r="AH2767" t="str">
        <f>T("24")</f>
        <v>24</v>
      </c>
      <c r="AK2767" t="str">
        <f>T("2165")</f>
        <v>2165</v>
      </c>
    </row>
    <row r="2768" spans="1:37" x14ac:dyDescent="0.3">
      <c r="A2768" t="s">
        <v>8574</v>
      </c>
      <c r="B2768" t="s">
        <v>8575</v>
      </c>
      <c r="C2768" t="s">
        <v>8576</v>
      </c>
      <c r="D2768" t="s">
        <v>7</v>
      </c>
      <c r="AG2768" t="str">
        <f>T("3887")</f>
        <v>3887</v>
      </c>
      <c r="AH2768" t="str">
        <f>T("18")</f>
        <v>18</v>
      </c>
      <c r="AK2768" t="str">
        <f>T("1370")</f>
        <v>1370</v>
      </c>
    </row>
    <row r="2769" spans="1:37" x14ac:dyDescent="0.3">
      <c r="A2769" t="s">
        <v>8577</v>
      </c>
      <c r="B2769" t="s">
        <v>8578</v>
      </c>
      <c r="C2769" t="s">
        <v>8579</v>
      </c>
      <c r="D2769" t="s">
        <v>7</v>
      </c>
      <c r="AG2769" t="str">
        <f>T("3888")</f>
        <v>3888</v>
      </c>
      <c r="AH2769" t="str">
        <f>T("18")</f>
        <v>18</v>
      </c>
      <c r="AK2769" t="str">
        <f>T("1141")</f>
        <v>1141</v>
      </c>
    </row>
    <row r="2770" spans="1:37" x14ac:dyDescent="0.3">
      <c r="A2770" t="s">
        <v>8580</v>
      </c>
      <c r="B2770" t="s">
        <v>8581</v>
      </c>
      <c r="C2770" t="s">
        <v>8582</v>
      </c>
      <c r="D2770" t="s">
        <v>7</v>
      </c>
      <c r="AG2770" t="str">
        <f>T("3467")</f>
        <v>3467</v>
      </c>
      <c r="AH2770" t="str">
        <f>T("9")</f>
        <v>9</v>
      </c>
      <c r="AI2770" t="str">
        <f>T("25")</f>
        <v>25</v>
      </c>
      <c r="AK2770" t="str">
        <f>T("321")</f>
        <v>321</v>
      </c>
    </row>
    <row r="2771" spans="1:37" x14ac:dyDescent="0.3">
      <c r="A2771" t="s">
        <v>8583</v>
      </c>
      <c r="B2771" t="s">
        <v>8584</v>
      </c>
      <c r="C2771" t="s">
        <v>8585</v>
      </c>
      <c r="D2771" t="s">
        <v>7</v>
      </c>
      <c r="AG2771" t="str">
        <f>T("3602")</f>
        <v>3602</v>
      </c>
      <c r="AH2771" t="str">
        <f>T("12")</f>
        <v>12</v>
      </c>
      <c r="AK2771" t="str">
        <f>T("1140")</f>
        <v>1140</v>
      </c>
    </row>
    <row r="2772" spans="1:37" x14ac:dyDescent="0.3">
      <c r="A2772" t="s">
        <v>8586</v>
      </c>
      <c r="B2772" t="s">
        <v>8587</v>
      </c>
      <c r="C2772" t="s">
        <v>8588</v>
      </c>
      <c r="D2772" t="s">
        <v>7</v>
      </c>
      <c r="AG2772" t="str">
        <f>T("4354")</f>
        <v>4354</v>
      </c>
      <c r="AH2772" t="str">
        <f>T("23")</f>
        <v>23</v>
      </c>
      <c r="AK2772" t="str">
        <f>T("1625")</f>
        <v>1625</v>
      </c>
    </row>
    <row r="2773" spans="1:37" x14ac:dyDescent="0.3">
      <c r="A2773" t="s">
        <v>8589</v>
      </c>
      <c r="B2773" t="s">
        <v>8590</v>
      </c>
      <c r="C2773" t="s">
        <v>8591</v>
      </c>
      <c r="D2773" t="s">
        <v>7</v>
      </c>
      <c r="AG2773" t="str">
        <f>T("3722")</f>
        <v>3722</v>
      </c>
      <c r="AH2773" t="str">
        <f>T("13")</f>
        <v>13</v>
      </c>
      <c r="AK2773" t="str">
        <f>T("322")</f>
        <v>322</v>
      </c>
    </row>
    <row r="2774" spans="1:37" x14ac:dyDescent="0.3">
      <c r="A2774" t="s">
        <v>8592</v>
      </c>
      <c r="B2774" t="s">
        <v>8593</v>
      </c>
      <c r="C2774" t="s">
        <v>8594</v>
      </c>
      <c r="D2774" t="s">
        <v>7</v>
      </c>
      <c r="AG2774" t="str">
        <f>T("3515")</f>
        <v>3515</v>
      </c>
      <c r="AH2774" t="str">
        <f>T("10")</f>
        <v>10</v>
      </c>
      <c r="AK2774" t="str">
        <f>T("1148")</f>
        <v>1148</v>
      </c>
    </row>
    <row r="2775" spans="1:37" x14ac:dyDescent="0.3">
      <c r="A2775" t="s">
        <v>8595</v>
      </c>
      <c r="B2775" t="s">
        <v>8596</v>
      </c>
      <c r="C2775" t="s">
        <v>8597</v>
      </c>
      <c r="D2775" t="s">
        <v>7</v>
      </c>
      <c r="AG2775" t="str">
        <f>T("3603")</f>
        <v>3603</v>
      </c>
      <c r="AH2775" t="str">
        <f>T("12")</f>
        <v>12</v>
      </c>
      <c r="AK2775" t="str">
        <f>T("1129")</f>
        <v>1129</v>
      </c>
    </row>
    <row r="2776" spans="1:37" x14ac:dyDescent="0.3">
      <c r="A2776" t="s">
        <v>8598</v>
      </c>
      <c r="B2776" t="s">
        <v>8599</v>
      </c>
      <c r="C2776" t="s">
        <v>8600</v>
      </c>
      <c r="D2776" t="s">
        <v>7</v>
      </c>
      <c r="AG2776" t="str">
        <f>T("3416")</f>
        <v>3416</v>
      </c>
      <c r="AH2776" t="str">
        <f>T("7")</f>
        <v>7</v>
      </c>
      <c r="AK2776" t="str">
        <f>T("1128")</f>
        <v>1128</v>
      </c>
    </row>
    <row r="2777" spans="1:37" x14ac:dyDescent="0.3">
      <c r="A2777" t="s">
        <v>8601</v>
      </c>
      <c r="B2777" t="s">
        <v>8602</v>
      </c>
      <c r="C2777" t="s">
        <v>8603</v>
      </c>
      <c r="D2777" t="s">
        <v>7</v>
      </c>
      <c r="AG2777" t="str">
        <f>T("4328")</f>
        <v>4328</v>
      </c>
      <c r="AH2777" t="str">
        <f>T("23")</f>
        <v>23</v>
      </c>
      <c r="AK2777" t="str">
        <f>T("1843")</f>
        <v>1843</v>
      </c>
    </row>
    <row r="2778" spans="1:37" x14ac:dyDescent="0.3">
      <c r="A2778" t="s">
        <v>8604</v>
      </c>
      <c r="B2778" t="s">
        <v>8605</v>
      </c>
      <c r="C2778" t="s">
        <v>8606</v>
      </c>
      <c r="D2778" t="s">
        <v>7</v>
      </c>
      <c r="K2778" t="str">
        <f>T("172.515")</f>
        <v>172.515</v>
      </c>
      <c r="AG2778" t="str">
        <f>T("3582")</f>
        <v>3582</v>
      </c>
      <c r="AH2778" t="str">
        <f>T("11")</f>
        <v>11</v>
      </c>
      <c r="AK2778" t="str">
        <f>T("1836")</f>
        <v>1836</v>
      </c>
    </row>
    <row r="2779" spans="1:37" x14ac:dyDescent="0.3">
      <c r="A2779" t="s">
        <v>8607</v>
      </c>
      <c r="B2779" t="s">
        <v>8608</v>
      </c>
      <c r="C2779" t="s">
        <v>8609</v>
      </c>
      <c r="D2779" t="s">
        <v>7</v>
      </c>
      <c r="AG2779" t="str">
        <f>T("3516")</f>
        <v>3516</v>
      </c>
      <c r="AH2779" t="str">
        <f>T("10")</f>
        <v>10</v>
      </c>
      <c r="AK2779" t="str">
        <f>T("1367")</f>
        <v>1367</v>
      </c>
    </row>
    <row r="2780" spans="1:37" x14ac:dyDescent="0.3">
      <c r="A2780" t="s">
        <v>8610</v>
      </c>
      <c r="B2780" t="s">
        <v>8611</v>
      </c>
      <c r="C2780" t="s">
        <v>8612</v>
      </c>
      <c r="D2780" t="s">
        <v>7</v>
      </c>
      <c r="AG2780" t="str">
        <f>T("4671")</f>
        <v>4671</v>
      </c>
      <c r="AH2780" t="str">
        <f>T("25")</f>
        <v>25</v>
      </c>
      <c r="AK2780" t="str">
        <f>T("2184")</f>
        <v>2184</v>
      </c>
    </row>
    <row r="2781" spans="1:37" x14ac:dyDescent="0.3">
      <c r="A2781" t="s">
        <v>8613</v>
      </c>
      <c r="B2781" t="s">
        <v>8614</v>
      </c>
      <c r="C2781" t="s">
        <v>8615</v>
      </c>
      <c r="D2781" t="s">
        <v>7</v>
      </c>
      <c r="AG2781" t="str">
        <f>T("3517")</f>
        <v>3517</v>
      </c>
      <c r="AH2781" t="str">
        <f>T("10")</f>
        <v>10</v>
      </c>
      <c r="AK2781" t="str">
        <f>T("1368")</f>
        <v>1368</v>
      </c>
    </row>
    <row r="2782" spans="1:37" x14ac:dyDescent="0.3">
      <c r="A2782" t="s">
        <v>8616</v>
      </c>
      <c r="B2782" t="s">
        <v>8617</v>
      </c>
      <c r="C2782" t="s">
        <v>8618</v>
      </c>
      <c r="D2782" t="s">
        <v>7</v>
      </c>
      <c r="AG2782" t="str">
        <f>T("3612")</f>
        <v>3612</v>
      </c>
      <c r="AH2782" t="str">
        <f>T("12")</f>
        <v>12</v>
      </c>
      <c r="AK2782" t="str">
        <f>T("1837")</f>
        <v>1837</v>
      </c>
    </row>
    <row r="2783" spans="1:37" x14ac:dyDescent="0.3">
      <c r="A2783" t="s">
        <v>8619</v>
      </c>
      <c r="B2783" t="s">
        <v>8620</v>
      </c>
      <c r="C2783" t="s">
        <v>8621</v>
      </c>
      <c r="D2783" t="s">
        <v>7</v>
      </c>
      <c r="AG2783" t="str">
        <f>T("3889")</f>
        <v>3889</v>
      </c>
      <c r="AH2783" t="str">
        <f>T("18")</f>
        <v>18</v>
      </c>
      <c r="AK2783" t="str">
        <f>T("1116")</f>
        <v>1116</v>
      </c>
    </row>
    <row r="2784" spans="1:37" x14ac:dyDescent="0.3">
      <c r="A2784" t="s">
        <v>8622</v>
      </c>
      <c r="B2784" t="s">
        <v>8623</v>
      </c>
      <c r="C2784" t="s">
        <v>8624</v>
      </c>
      <c r="D2784" t="s">
        <v>7</v>
      </c>
      <c r="AG2784" t="str">
        <f>T("4189")</f>
        <v>4189</v>
      </c>
      <c r="AH2784" t="str">
        <f>T("22")</f>
        <v>22</v>
      </c>
      <c r="AK2784" t="str">
        <f>T("1628")</f>
        <v>1628</v>
      </c>
    </row>
    <row r="2785" spans="1:37" x14ac:dyDescent="0.3">
      <c r="A2785" t="s">
        <v>8625</v>
      </c>
      <c r="B2785" t="s">
        <v>8626</v>
      </c>
      <c r="C2785" t="s">
        <v>8627</v>
      </c>
      <c r="D2785" t="s">
        <v>7</v>
      </c>
      <c r="AG2785" t="str">
        <f>T("3890")</f>
        <v>3890</v>
      </c>
      <c r="AH2785" t="str">
        <f>T("18")</f>
        <v>18</v>
      </c>
      <c r="AK2785" t="str">
        <f>T("1282")</f>
        <v>1282</v>
      </c>
    </row>
    <row r="2786" spans="1:37" x14ac:dyDescent="0.3">
      <c r="A2786" t="s">
        <v>8628</v>
      </c>
      <c r="B2786" t="s">
        <v>8629</v>
      </c>
      <c r="C2786" t="s">
        <v>8630</v>
      </c>
      <c r="D2786" t="s">
        <v>2782</v>
      </c>
      <c r="K2786" t="str">
        <f>T("172.892")</f>
        <v>172.892</v>
      </c>
    </row>
    <row r="2787" spans="1:37" x14ac:dyDescent="0.3">
      <c r="A2787" t="s">
        <v>8631</v>
      </c>
      <c r="B2787" t="s">
        <v>8632</v>
      </c>
      <c r="C2787" t="s">
        <v>8633</v>
      </c>
      <c r="D2787" t="s">
        <v>7</v>
      </c>
      <c r="K2787" t="str">
        <f>T("172.515")</f>
        <v>172.515</v>
      </c>
      <c r="AG2787" t="str">
        <f>T("2806")</f>
        <v>2806</v>
      </c>
      <c r="AH2787" t="str">
        <f>T("3")</f>
        <v>3</v>
      </c>
      <c r="AK2787" t="str">
        <f>T("130")</f>
        <v>130</v>
      </c>
    </row>
    <row r="2788" spans="1:37" x14ac:dyDescent="0.3">
      <c r="A2788" t="s">
        <v>8634</v>
      </c>
      <c r="B2788" t="s">
        <v>8635</v>
      </c>
      <c r="C2788" t="s">
        <v>8636</v>
      </c>
      <c r="D2788" t="s">
        <v>7</v>
      </c>
      <c r="K2788" t="str">
        <f>T("172.515")</f>
        <v>172.515</v>
      </c>
      <c r="AG2788" t="str">
        <f>T("3583")</f>
        <v>3583</v>
      </c>
      <c r="AH2788" t="str">
        <f>T("11")</f>
        <v>11</v>
      </c>
      <c r="AK2788" t="str">
        <f>T("313")</f>
        <v>313</v>
      </c>
    </row>
    <row r="2789" spans="1:37" x14ac:dyDescent="0.3">
      <c r="A2789" t="s">
        <v>8637</v>
      </c>
      <c r="B2789" t="s">
        <v>8638</v>
      </c>
      <c r="C2789" t="s">
        <v>8639</v>
      </c>
      <c r="D2789" t="s">
        <v>88</v>
      </c>
      <c r="K2789" t="str">
        <f>T("172.864")</f>
        <v>172.864</v>
      </c>
      <c r="L2789" t="str">
        <f>T("173.280")</f>
        <v>173.280</v>
      </c>
      <c r="M2789" t="str">
        <f>T("175.300")</f>
        <v>175.300</v>
      </c>
      <c r="N2789" t="str">
        <f>T("178.3480")</f>
        <v>178.3480</v>
      </c>
    </row>
    <row r="2790" spans="1:37" x14ac:dyDescent="0.3">
      <c r="A2790" t="s">
        <v>8640</v>
      </c>
      <c r="B2790" t="s">
        <v>8641</v>
      </c>
      <c r="C2790" t="s">
        <v>8642</v>
      </c>
      <c r="D2790" t="s">
        <v>7</v>
      </c>
      <c r="K2790" t="str">
        <f>T("172.515")</f>
        <v>172.515</v>
      </c>
      <c r="AG2790" t="str">
        <f>T("2807")</f>
        <v>2807</v>
      </c>
      <c r="AH2790" t="str">
        <f>T("3")</f>
        <v>3</v>
      </c>
      <c r="AK2790" t="str">
        <f>T("155")</f>
        <v>155</v>
      </c>
    </row>
    <row r="2791" spans="1:37" x14ac:dyDescent="0.3">
      <c r="A2791" t="s">
        <v>8643</v>
      </c>
      <c r="B2791" t="s">
        <v>8644</v>
      </c>
      <c r="C2791" t="s">
        <v>8645</v>
      </c>
      <c r="D2791" t="s">
        <v>7</v>
      </c>
      <c r="AG2791" t="str">
        <f>T("4402")</f>
        <v>4402</v>
      </c>
      <c r="AH2791" t="str">
        <f>T("23")</f>
        <v>23</v>
      </c>
      <c r="AK2791" t="str">
        <f>T("2073")</f>
        <v>2073</v>
      </c>
    </row>
    <row r="2792" spans="1:37" x14ac:dyDescent="0.3">
      <c r="A2792" t="s">
        <v>8646</v>
      </c>
      <c r="B2792" t="s">
        <v>8647</v>
      </c>
      <c r="C2792" t="s">
        <v>8648</v>
      </c>
      <c r="D2792" t="s">
        <v>7</v>
      </c>
      <c r="K2792" t="str">
        <f>T("172.515")</f>
        <v>172.515</v>
      </c>
      <c r="AG2792" t="str">
        <f>T("2809")</f>
        <v>2809</v>
      </c>
      <c r="AH2792" t="str">
        <f>T("3")</f>
        <v>3</v>
      </c>
      <c r="AK2792" t="str">
        <f>T("122")</f>
        <v>122</v>
      </c>
    </row>
    <row r="2793" spans="1:37" x14ac:dyDescent="0.3">
      <c r="A2793" t="s">
        <v>8649</v>
      </c>
      <c r="B2793" t="s">
        <v>8650</v>
      </c>
      <c r="C2793" t="s">
        <v>8651</v>
      </c>
      <c r="D2793" t="s">
        <v>7</v>
      </c>
      <c r="AG2793" t="str">
        <f>T("4009")</f>
        <v>4009</v>
      </c>
      <c r="AH2793" t="str">
        <f>T("20")</f>
        <v>20</v>
      </c>
      <c r="AK2793" t="str">
        <f>T("2070")</f>
        <v>2070</v>
      </c>
    </row>
    <row r="2794" spans="1:37" x14ac:dyDescent="0.3">
      <c r="A2794" t="s">
        <v>8652</v>
      </c>
      <c r="B2794" t="s">
        <v>8653</v>
      </c>
      <c r="C2794" t="s">
        <v>8654</v>
      </c>
      <c r="D2794" t="s">
        <v>7</v>
      </c>
      <c r="AG2794" t="str">
        <f>T("3518")</f>
        <v>3518</v>
      </c>
      <c r="AH2794" t="str">
        <f>T("10")</f>
        <v>10</v>
      </c>
      <c r="AK2794" t="str">
        <f>T("750")</f>
        <v>750</v>
      </c>
    </row>
    <row r="2795" spans="1:37" x14ac:dyDescent="0.3">
      <c r="A2795" t="s">
        <v>8655</v>
      </c>
      <c r="B2795" t="s">
        <v>8656</v>
      </c>
      <c r="C2795" t="s">
        <v>8657</v>
      </c>
      <c r="D2795" t="s">
        <v>773</v>
      </c>
      <c r="AF2795" t="str">
        <f>T("166.11")</f>
        <v>166.11</v>
      </c>
    </row>
    <row r="2796" spans="1:37" x14ac:dyDescent="0.3">
      <c r="A2796" t="s">
        <v>8658</v>
      </c>
      <c r="B2796" t="s">
        <v>8659</v>
      </c>
      <c r="C2796" t="s">
        <v>8660</v>
      </c>
      <c r="D2796" t="s">
        <v>7</v>
      </c>
      <c r="K2796" t="str">
        <f>T("172.515")</f>
        <v>172.515</v>
      </c>
      <c r="AG2796" t="str">
        <f>T("2810")</f>
        <v>2810</v>
      </c>
      <c r="AH2796" t="str">
        <f>T("3")</f>
        <v>3</v>
      </c>
      <c r="AI2796" t="str">
        <f>T("25")</f>
        <v>25</v>
      </c>
      <c r="AK2796" t="str">
        <f>T("171")</f>
        <v>171</v>
      </c>
    </row>
    <row r="2797" spans="1:37" x14ac:dyDescent="0.3">
      <c r="A2797" t="s">
        <v>8661</v>
      </c>
      <c r="B2797" t="s">
        <v>8662</v>
      </c>
      <c r="C2797" t="s">
        <v>8663</v>
      </c>
      <c r="D2797" t="s">
        <v>7</v>
      </c>
      <c r="K2797" t="str">
        <f>T("172.515")</f>
        <v>172.515</v>
      </c>
      <c r="AG2797" t="str">
        <f>T("2808")</f>
        <v>2808</v>
      </c>
      <c r="AH2797" t="str">
        <f>T("3")</f>
        <v>3</v>
      </c>
      <c r="AI2797" t="str">
        <f>T("25")</f>
        <v>25</v>
      </c>
      <c r="AK2797" t="str">
        <f>T("192")</f>
        <v>192</v>
      </c>
    </row>
    <row r="2798" spans="1:37" x14ac:dyDescent="0.3">
      <c r="A2798" t="s">
        <v>8664</v>
      </c>
      <c r="B2798" t="s">
        <v>8665</v>
      </c>
      <c r="C2798" t="s">
        <v>8666</v>
      </c>
      <c r="D2798" t="s">
        <v>7</v>
      </c>
      <c r="K2798" t="str">
        <f>T("172.515")</f>
        <v>172.515</v>
      </c>
      <c r="AG2798" t="str">
        <f>T("2814")</f>
        <v>2814</v>
      </c>
      <c r="AH2798" t="str">
        <f>T("3")</f>
        <v>3</v>
      </c>
      <c r="AK2798" t="str">
        <f>T("200")</f>
        <v>200</v>
      </c>
    </row>
    <row r="2799" spans="1:37" x14ac:dyDescent="0.3">
      <c r="A2799" t="s">
        <v>8667</v>
      </c>
      <c r="B2799" t="s">
        <v>8668</v>
      </c>
      <c r="C2799" t="s">
        <v>8669</v>
      </c>
      <c r="D2799" t="s">
        <v>7</v>
      </c>
      <c r="AG2799" t="str">
        <f>T("3604")</f>
        <v>3604</v>
      </c>
      <c r="AH2799" t="str">
        <f>T("12")</f>
        <v>12</v>
      </c>
      <c r="AK2799" t="str">
        <f>T("209")</f>
        <v>209</v>
      </c>
    </row>
    <row r="2800" spans="1:37" x14ac:dyDescent="0.3">
      <c r="A2800" t="s">
        <v>8670</v>
      </c>
      <c r="B2800" t="s">
        <v>8671</v>
      </c>
      <c r="C2800" t="s">
        <v>8672</v>
      </c>
      <c r="D2800" t="s">
        <v>7</v>
      </c>
      <c r="K2800" t="str">
        <f>T("172.515")</f>
        <v>172.515</v>
      </c>
      <c r="AG2800" t="str">
        <f>T("2811")</f>
        <v>2811</v>
      </c>
      <c r="AH2800" t="str">
        <f>T("3")</f>
        <v>3</v>
      </c>
      <c r="AK2800" t="str">
        <f>T("177")</f>
        <v>177</v>
      </c>
    </row>
    <row r="2801" spans="1:37" x14ac:dyDescent="0.3">
      <c r="A2801" t="s">
        <v>8673</v>
      </c>
      <c r="B2801" t="s">
        <v>8674</v>
      </c>
      <c r="C2801" t="s">
        <v>8675</v>
      </c>
      <c r="D2801" t="s">
        <v>7</v>
      </c>
      <c r="K2801" t="str">
        <f>T("172.515")</f>
        <v>172.515</v>
      </c>
      <c r="AG2801" t="str">
        <f>T("2812")</f>
        <v>2812</v>
      </c>
      <c r="AH2801" t="str">
        <f>T("3")</f>
        <v>3</v>
      </c>
      <c r="AK2801" t="str">
        <f>T("1017")</f>
        <v>1017</v>
      </c>
    </row>
    <row r="2802" spans="1:37" x14ac:dyDescent="0.3">
      <c r="A2802" t="s">
        <v>8676</v>
      </c>
      <c r="B2802" t="s">
        <v>8677</v>
      </c>
      <c r="C2802" t="s">
        <v>8678</v>
      </c>
      <c r="D2802" t="s">
        <v>7</v>
      </c>
      <c r="K2802" t="str">
        <f>T("172.515")</f>
        <v>172.515</v>
      </c>
      <c r="AG2802" t="str">
        <f>T("2813")</f>
        <v>2813</v>
      </c>
      <c r="AH2802" t="str">
        <f>T("3")</f>
        <v>3</v>
      </c>
      <c r="AK2802" t="str">
        <f>T("145")</f>
        <v>145</v>
      </c>
    </row>
    <row r="2803" spans="1:37" x14ac:dyDescent="0.3">
      <c r="A2803" t="s">
        <v>8679</v>
      </c>
      <c r="B2803" t="s">
        <v>8680</v>
      </c>
      <c r="C2803" t="s">
        <v>8681</v>
      </c>
      <c r="D2803" t="s">
        <v>7</v>
      </c>
      <c r="AG2803" t="str">
        <f>T("4685")</f>
        <v>4685</v>
      </c>
      <c r="AH2803" t="str">
        <f>T("25")</f>
        <v>25</v>
      </c>
    </row>
    <row r="2804" spans="1:37" x14ac:dyDescent="0.3">
      <c r="A2804" t="s">
        <v>8682</v>
      </c>
      <c r="B2804" t="s">
        <v>8683</v>
      </c>
      <c r="C2804" t="s">
        <v>8684</v>
      </c>
      <c r="D2804" t="s">
        <v>7</v>
      </c>
      <c r="AG2804" t="str">
        <f>T("4043")</f>
        <v>4043</v>
      </c>
      <c r="AH2804" t="str">
        <f>T("21")</f>
        <v>21</v>
      </c>
      <c r="AK2804" t="str">
        <f>T("1526")</f>
        <v>1526</v>
      </c>
    </row>
    <row r="2805" spans="1:37" x14ac:dyDescent="0.3">
      <c r="A2805" t="s">
        <v>8685</v>
      </c>
      <c r="B2805" t="s">
        <v>8686</v>
      </c>
      <c r="C2805" t="s">
        <v>8687</v>
      </c>
      <c r="K2805" t="str">
        <f>T("175.300")</f>
        <v>175.300</v>
      </c>
    </row>
    <row r="2806" spans="1:37" x14ac:dyDescent="0.3">
      <c r="A2806" t="s">
        <v>8688</v>
      </c>
      <c r="B2806" t="s">
        <v>8689</v>
      </c>
      <c r="C2806" t="s">
        <v>8690</v>
      </c>
      <c r="D2806" t="s">
        <v>8691</v>
      </c>
      <c r="K2806" t="str">
        <f>T("172.210")</f>
        <v>172.210</v>
      </c>
      <c r="L2806" t="str">
        <f>T("172.860")</f>
        <v>172.860</v>
      </c>
      <c r="M2806" t="str">
        <f>T("173.315")</f>
        <v>173.315</v>
      </c>
      <c r="N2806" t="str">
        <f>T("175.105")</f>
        <v>175.105</v>
      </c>
      <c r="O2806" t="str">
        <f>T("176.180")</f>
        <v>176.180</v>
      </c>
      <c r="P2806" t="str">
        <f>T("177.1200")</f>
        <v>177.1200</v>
      </c>
      <c r="Q2806" t="str">
        <f>T("177.2600")</f>
        <v>177.2600</v>
      </c>
      <c r="R2806" t="str">
        <f>T("182.70")</f>
        <v>182.70</v>
      </c>
      <c r="S2806" t="str">
        <f>T("182.90")</f>
        <v>182.90</v>
      </c>
      <c r="AG2806" t="str">
        <f>T("2815")</f>
        <v>2815</v>
      </c>
      <c r="AH2806" t="str">
        <f>T("3")</f>
        <v>3</v>
      </c>
      <c r="AI2806" t="str">
        <f>T("25")</f>
        <v>25</v>
      </c>
      <c r="AK2806" t="str">
        <f>T("333")</f>
        <v>333</v>
      </c>
    </row>
    <row r="2807" spans="1:37" x14ac:dyDescent="0.3">
      <c r="A2807" t="s">
        <v>8692</v>
      </c>
      <c r="B2807" t="s">
        <v>8693</v>
      </c>
      <c r="C2807" t="s">
        <v>8694</v>
      </c>
      <c r="D2807" t="s">
        <v>8695</v>
      </c>
      <c r="K2807" t="str">
        <f>T("172.210")</f>
        <v>172.210</v>
      </c>
      <c r="L2807" t="str">
        <f>T("172.862")</f>
        <v>172.862</v>
      </c>
      <c r="M2807" t="str">
        <f>T("173.340")</f>
        <v>173.340</v>
      </c>
      <c r="N2807" t="str">
        <f>T("175.105")</f>
        <v>175.105</v>
      </c>
    </row>
    <row r="2808" spans="1:37" x14ac:dyDescent="0.3">
      <c r="A2808" t="s">
        <v>8696</v>
      </c>
      <c r="B2808" t="s">
        <v>8697</v>
      </c>
      <c r="C2808" t="s">
        <v>8698</v>
      </c>
      <c r="K2808" t="str">
        <f>T("172.867")</f>
        <v>172.867</v>
      </c>
    </row>
    <row r="2809" spans="1:37" x14ac:dyDescent="0.3">
      <c r="A2809" t="s">
        <v>8699</v>
      </c>
      <c r="B2809" t="s">
        <v>8700</v>
      </c>
      <c r="C2809" t="s">
        <v>8701</v>
      </c>
      <c r="D2809" t="s">
        <v>7</v>
      </c>
      <c r="K2809" t="str">
        <f>T("176.170")</f>
        <v>176.170</v>
      </c>
      <c r="L2809" t="str">
        <f>T("176.180")</f>
        <v>176.180</v>
      </c>
      <c r="M2809" t="str">
        <f>T("176.210")</f>
        <v>176.210</v>
      </c>
      <c r="N2809" t="str">
        <f>T("177.1210")</f>
        <v>177.1210</v>
      </c>
      <c r="AG2809" t="str">
        <f>T("4363")</f>
        <v>4363</v>
      </c>
      <c r="AH2809" t="str">
        <f>T("23")</f>
        <v>23</v>
      </c>
      <c r="AK2809" t="str">
        <f>T("1637")</f>
        <v>1637</v>
      </c>
    </row>
    <row r="2810" spans="1:37" x14ac:dyDescent="0.3">
      <c r="A2810" t="s">
        <v>8702</v>
      </c>
      <c r="B2810" t="s">
        <v>8703</v>
      </c>
      <c r="C2810" t="s">
        <v>8704</v>
      </c>
      <c r="D2810" t="s">
        <v>7</v>
      </c>
      <c r="K2810" t="str">
        <f>T("172.510")</f>
        <v>172.510</v>
      </c>
    </row>
    <row r="2811" spans="1:37" x14ac:dyDescent="0.3">
      <c r="A2811" t="s">
        <v>8705</v>
      </c>
      <c r="B2811" t="s">
        <v>8706</v>
      </c>
      <c r="C2811" t="s">
        <v>8707</v>
      </c>
      <c r="D2811" t="s">
        <v>7</v>
      </c>
      <c r="K2811" t="str">
        <f>T("172.510")</f>
        <v>172.510</v>
      </c>
    </row>
    <row r="2812" spans="1:37" x14ac:dyDescent="0.3">
      <c r="A2812" t="s">
        <v>8708</v>
      </c>
      <c r="B2812" t="s">
        <v>8709</v>
      </c>
      <c r="C2812" t="s">
        <v>8710</v>
      </c>
      <c r="D2812" t="s">
        <v>7</v>
      </c>
      <c r="K2812" t="str">
        <f>T("172.510")</f>
        <v>172.510</v>
      </c>
      <c r="AG2812" t="str">
        <f>T("2816")</f>
        <v>2816</v>
      </c>
      <c r="AH2812" t="str">
        <f>T("3")</f>
        <v>3</v>
      </c>
    </row>
    <row r="2813" spans="1:37" x14ac:dyDescent="0.3">
      <c r="A2813" t="s">
        <v>8711</v>
      </c>
      <c r="B2813" t="s">
        <v>8712</v>
      </c>
      <c r="C2813" t="s">
        <v>8713</v>
      </c>
      <c r="D2813" t="s">
        <v>7</v>
      </c>
      <c r="K2813" t="str">
        <f>T("172.510")</f>
        <v>172.510</v>
      </c>
    </row>
    <row r="2814" spans="1:37" x14ac:dyDescent="0.3">
      <c r="A2814" t="s">
        <v>8714</v>
      </c>
      <c r="B2814" t="s">
        <v>8715</v>
      </c>
      <c r="C2814" t="s">
        <v>8716</v>
      </c>
      <c r="D2814" t="s">
        <v>7</v>
      </c>
      <c r="K2814" t="str">
        <f>T("182.20")</f>
        <v>182.20</v>
      </c>
      <c r="AG2814" t="str">
        <f>T("2817")</f>
        <v>2817</v>
      </c>
      <c r="AH2814" t="str">
        <f>T("3")</f>
        <v>3</v>
      </c>
    </row>
    <row r="2815" spans="1:37" x14ac:dyDescent="0.3">
      <c r="A2815" t="s">
        <v>8717</v>
      </c>
      <c r="B2815" t="s">
        <v>8718</v>
      </c>
      <c r="C2815" t="s">
        <v>8719</v>
      </c>
      <c r="D2815" t="s">
        <v>7</v>
      </c>
      <c r="K2815" t="str">
        <f>T("172.510")</f>
        <v>172.510</v>
      </c>
    </row>
    <row r="2816" spans="1:37" x14ac:dyDescent="0.3">
      <c r="A2816" t="s">
        <v>8720</v>
      </c>
      <c r="B2816" t="s">
        <v>8721</v>
      </c>
      <c r="C2816" t="s">
        <v>8722</v>
      </c>
      <c r="K2816" t="str">
        <f>T("172.510")</f>
        <v>172.510</v>
      </c>
    </row>
    <row r="2817" spans="1:34" x14ac:dyDescent="0.3">
      <c r="A2817" t="s">
        <v>8723</v>
      </c>
      <c r="B2817" t="s">
        <v>8724</v>
      </c>
      <c r="C2817" t="s">
        <v>8725</v>
      </c>
      <c r="D2817" t="s">
        <v>7</v>
      </c>
      <c r="K2817" t="str">
        <f>T("172.510")</f>
        <v>172.510</v>
      </c>
    </row>
    <row r="2818" spans="1:34" x14ac:dyDescent="0.3">
      <c r="A2818" t="s">
        <v>8726</v>
      </c>
      <c r="B2818" t="s">
        <v>8727</v>
      </c>
      <c r="C2818" t="s">
        <v>8728</v>
      </c>
      <c r="D2818" t="s">
        <v>7</v>
      </c>
      <c r="K2818" t="str">
        <f>T("172.510")</f>
        <v>172.510</v>
      </c>
    </row>
    <row r="2819" spans="1:34" x14ac:dyDescent="0.3">
      <c r="A2819" t="s">
        <v>8729</v>
      </c>
      <c r="B2819" t="s">
        <v>8730</v>
      </c>
      <c r="C2819" t="s">
        <v>8731</v>
      </c>
      <c r="D2819" t="s">
        <v>606</v>
      </c>
      <c r="E2819" t="str">
        <f>T("74.250")</f>
        <v>74.250</v>
      </c>
    </row>
    <row r="2820" spans="1:34" x14ac:dyDescent="0.3">
      <c r="A2820" t="s">
        <v>8732</v>
      </c>
      <c r="B2820" t="s">
        <v>8733</v>
      </c>
      <c r="C2820" t="s">
        <v>8734</v>
      </c>
      <c r="D2820" t="s">
        <v>7</v>
      </c>
      <c r="K2820" t="str">
        <f>T("182.20")</f>
        <v>182.20</v>
      </c>
      <c r="AF2820" t="str">
        <f>T("146.146")</f>
        <v>146.146</v>
      </c>
    </row>
    <row r="2821" spans="1:34" x14ac:dyDescent="0.3">
      <c r="A2821" t="s">
        <v>8735</v>
      </c>
      <c r="B2821" t="s">
        <v>8736</v>
      </c>
      <c r="C2821" t="s">
        <v>8737</v>
      </c>
      <c r="D2821" t="s">
        <v>7</v>
      </c>
      <c r="K2821" t="str">
        <f>T("182.20")</f>
        <v>182.20</v>
      </c>
    </row>
    <row r="2822" spans="1:34" x14ac:dyDescent="0.3">
      <c r="A2822" t="s">
        <v>8738</v>
      </c>
      <c r="B2822" t="s">
        <v>8739</v>
      </c>
      <c r="C2822" t="s">
        <v>8740</v>
      </c>
      <c r="K2822" t="str">
        <f>T("182.20")</f>
        <v>182.20</v>
      </c>
    </row>
    <row r="2823" spans="1:34" x14ac:dyDescent="0.3">
      <c r="A2823" t="s">
        <v>8741</v>
      </c>
      <c r="B2823" t="s">
        <v>8742</v>
      </c>
      <c r="C2823" t="s">
        <v>8743</v>
      </c>
      <c r="D2823" t="s">
        <v>7</v>
      </c>
      <c r="K2823" t="str">
        <f>T("182.20")</f>
        <v>182.20</v>
      </c>
      <c r="AG2823" t="str">
        <f>T("2818")</f>
        <v>2818</v>
      </c>
      <c r="AH2823" t="str">
        <f>T("3")</f>
        <v>3</v>
      </c>
    </row>
    <row r="2824" spans="1:34" x14ac:dyDescent="0.3">
      <c r="A2824" t="s">
        <v>8744</v>
      </c>
      <c r="B2824" t="s">
        <v>8745</v>
      </c>
      <c r="C2824" t="s">
        <v>8746</v>
      </c>
      <c r="D2824" t="s">
        <v>7</v>
      </c>
      <c r="AG2824" t="str">
        <f>T("2819")</f>
        <v>2819</v>
      </c>
      <c r="AH2824" t="str">
        <f>T("3")</f>
        <v>3</v>
      </c>
    </row>
    <row r="2825" spans="1:34" x14ac:dyDescent="0.3">
      <c r="A2825" t="s">
        <v>8747</v>
      </c>
      <c r="B2825" t="s">
        <v>8748</v>
      </c>
      <c r="C2825" t="s">
        <v>8749</v>
      </c>
      <c r="D2825" t="s">
        <v>1949</v>
      </c>
      <c r="K2825" t="str">
        <f>T("182.20")</f>
        <v>182.20</v>
      </c>
      <c r="AF2825" t="s">
        <v>8750</v>
      </c>
    </row>
    <row r="2826" spans="1:34" x14ac:dyDescent="0.3">
      <c r="A2826" t="s">
        <v>8751</v>
      </c>
      <c r="B2826" t="s">
        <v>8752</v>
      </c>
      <c r="C2826" t="s">
        <v>8753</v>
      </c>
      <c r="D2826" t="s">
        <v>7</v>
      </c>
      <c r="K2826" t="str">
        <f>T("182.20")</f>
        <v>182.20</v>
      </c>
      <c r="AG2826" t="str">
        <f>T("2820")</f>
        <v>2820</v>
      </c>
      <c r="AH2826" t="str">
        <f>T("3")</f>
        <v>3</v>
      </c>
    </row>
    <row r="2827" spans="1:34" x14ac:dyDescent="0.3">
      <c r="A2827" t="s">
        <v>8754</v>
      </c>
      <c r="B2827" t="s">
        <v>8755</v>
      </c>
      <c r="C2827" t="s">
        <v>8756</v>
      </c>
      <c r="D2827" t="s">
        <v>7</v>
      </c>
      <c r="K2827" t="str">
        <f>T("182.20")</f>
        <v>182.20</v>
      </c>
      <c r="AG2827" t="str">
        <f>T("2821")</f>
        <v>2821</v>
      </c>
      <c r="AH2827" t="str">
        <f>T("3")</f>
        <v>3</v>
      </c>
    </row>
    <row r="2828" spans="1:34" x14ac:dyDescent="0.3">
      <c r="A2828" t="s">
        <v>8757</v>
      </c>
      <c r="B2828" t="s">
        <v>8758</v>
      </c>
      <c r="C2828" t="s">
        <v>8759</v>
      </c>
      <c r="D2828" t="s">
        <v>7</v>
      </c>
      <c r="K2828" t="str">
        <f>T("182.20")</f>
        <v>182.20</v>
      </c>
      <c r="AG2828" t="str">
        <f>T("2822")</f>
        <v>2822</v>
      </c>
      <c r="AH2828" t="str">
        <f>T("3")</f>
        <v>3</v>
      </c>
    </row>
    <row r="2829" spans="1:34" x14ac:dyDescent="0.3">
      <c r="A2829" t="s">
        <v>8760</v>
      </c>
      <c r="B2829" t="s">
        <v>8761</v>
      </c>
      <c r="C2829" t="s">
        <v>8762</v>
      </c>
      <c r="D2829" t="s">
        <v>8763</v>
      </c>
    </row>
    <row r="2830" spans="1:34" x14ac:dyDescent="0.3">
      <c r="A2830" t="s">
        <v>8764</v>
      </c>
      <c r="B2830" t="s">
        <v>8765</v>
      </c>
      <c r="C2830" t="s">
        <v>8766</v>
      </c>
      <c r="D2830" t="s">
        <v>7</v>
      </c>
      <c r="K2830" t="str">
        <f>T("182.20")</f>
        <v>182.20</v>
      </c>
      <c r="AG2830" t="str">
        <f>T("2344")</f>
        <v>2344</v>
      </c>
      <c r="AH2830" t="str">
        <f>T("3")</f>
        <v>3</v>
      </c>
    </row>
    <row r="2831" spans="1:34" x14ac:dyDescent="0.3">
      <c r="A2831" t="s">
        <v>8767</v>
      </c>
      <c r="B2831" t="s">
        <v>8768</v>
      </c>
      <c r="C2831" t="s">
        <v>8769</v>
      </c>
      <c r="D2831" t="s">
        <v>7</v>
      </c>
      <c r="K2831" t="str">
        <f>T("182.20")</f>
        <v>182.20</v>
      </c>
      <c r="AG2831" t="str">
        <f>T("2823")</f>
        <v>2823</v>
      </c>
      <c r="AH2831" t="str">
        <f>T("3")</f>
        <v>3</v>
      </c>
    </row>
    <row r="2832" spans="1:34" x14ac:dyDescent="0.3">
      <c r="A2832" t="s">
        <v>8770</v>
      </c>
      <c r="B2832" t="s">
        <v>8771</v>
      </c>
      <c r="C2832" t="s">
        <v>8772</v>
      </c>
      <c r="D2832" t="s">
        <v>7</v>
      </c>
      <c r="K2832" t="str">
        <f>T("182.20")</f>
        <v>182.20</v>
      </c>
      <c r="AG2832" t="str">
        <f>T("2824")</f>
        <v>2824</v>
      </c>
      <c r="AH2832" t="str">
        <f>T("3")</f>
        <v>3</v>
      </c>
    </row>
    <row r="2833" spans="1:37" x14ac:dyDescent="0.3">
      <c r="A2833" t="s">
        <v>8773</v>
      </c>
      <c r="B2833" t="s">
        <v>8774</v>
      </c>
      <c r="C2833" t="s">
        <v>8775</v>
      </c>
      <c r="D2833" t="s">
        <v>7</v>
      </c>
      <c r="K2833" t="str">
        <f>T("172.230")</f>
        <v>172.230</v>
      </c>
      <c r="L2833" t="str">
        <f>T("182.20")</f>
        <v>182.20</v>
      </c>
      <c r="AG2833" t="str">
        <f>T("2825")</f>
        <v>2825</v>
      </c>
      <c r="AH2833" t="str">
        <f>T("3")</f>
        <v>3</v>
      </c>
    </row>
    <row r="2834" spans="1:37" x14ac:dyDescent="0.3">
      <c r="A2834" t="s">
        <v>8776</v>
      </c>
      <c r="B2834" t="s">
        <v>8777</v>
      </c>
      <c r="C2834" t="s">
        <v>8778</v>
      </c>
      <c r="D2834" t="s">
        <v>7</v>
      </c>
      <c r="K2834" t="str">
        <f>T("182.20")</f>
        <v>182.20</v>
      </c>
      <c r="AG2834" t="str">
        <f>T("2826")</f>
        <v>2826</v>
      </c>
      <c r="AH2834" t="str">
        <f>T("3")</f>
        <v>3</v>
      </c>
    </row>
    <row r="2835" spans="1:37" x14ac:dyDescent="0.3">
      <c r="A2835" t="s">
        <v>8779</v>
      </c>
      <c r="B2835" t="s">
        <v>8780</v>
      </c>
      <c r="C2835" t="s">
        <v>8781</v>
      </c>
      <c r="D2835" t="s">
        <v>7</v>
      </c>
    </row>
    <row r="2836" spans="1:37" x14ac:dyDescent="0.3">
      <c r="A2836" t="s">
        <v>8782</v>
      </c>
      <c r="B2836" t="s">
        <v>8783</v>
      </c>
      <c r="C2836" t="s">
        <v>8784</v>
      </c>
      <c r="D2836" t="s">
        <v>7</v>
      </c>
      <c r="K2836" t="str">
        <f>T("182.10")</f>
        <v>182.10</v>
      </c>
      <c r="AF2836" t="str">
        <f>T("101.22")</f>
        <v>101.22</v>
      </c>
      <c r="AG2836" t="str">
        <f>T("2827")</f>
        <v>2827</v>
      </c>
      <c r="AH2836" t="str">
        <f>T("3")</f>
        <v>3</v>
      </c>
    </row>
    <row r="2837" spans="1:37" x14ac:dyDescent="0.3">
      <c r="A2837" t="s">
        <v>8785</v>
      </c>
      <c r="B2837" t="s">
        <v>8786</v>
      </c>
      <c r="C2837" t="s">
        <v>8787</v>
      </c>
      <c r="D2837" t="s">
        <v>7</v>
      </c>
    </row>
    <row r="2838" spans="1:37" x14ac:dyDescent="0.3">
      <c r="A2838" t="s">
        <v>8788</v>
      </c>
      <c r="B2838" t="s">
        <v>8789</v>
      </c>
      <c r="C2838" t="s">
        <v>8790</v>
      </c>
      <c r="D2838" t="s">
        <v>7</v>
      </c>
      <c r="K2838" t="str">
        <f>T("172.510")</f>
        <v>172.510</v>
      </c>
      <c r="L2838" t="str">
        <f>T("182.20")</f>
        <v>182.20</v>
      </c>
      <c r="AG2838" t="str">
        <f>T("2828")</f>
        <v>2828</v>
      </c>
      <c r="AH2838" t="str">
        <f>T("3")</f>
        <v>3</v>
      </c>
    </row>
    <row r="2839" spans="1:37" x14ac:dyDescent="0.3">
      <c r="A2839" t="s">
        <v>8791</v>
      </c>
      <c r="B2839" t="s">
        <v>8792</v>
      </c>
      <c r="C2839" t="s">
        <v>8793</v>
      </c>
      <c r="D2839" t="s">
        <v>7</v>
      </c>
      <c r="AG2839" t="str">
        <f>T("4449")</f>
        <v>4449</v>
      </c>
      <c r="AH2839" t="str">
        <f>T("24")</f>
        <v>24</v>
      </c>
      <c r="AK2839" t="str">
        <f>T("1995")</f>
        <v>1995</v>
      </c>
    </row>
    <row r="2840" spans="1:37" x14ac:dyDescent="0.3">
      <c r="A2840" t="s">
        <v>8794</v>
      </c>
      <c r="B2840" t="s">
        <v>8795</v>
      </c>
      <c r="C2840" t="s">
        <v>8796</v>
      </c>
      <c r="D2840" t="s">
        <v>7</v>
      </c>
      <c r="AG2840" t="str">
        <f>T("4190")</f>
        <v>4190</v>
      </c>
      <c r="AH2840" t="str">
        <f>T("22")</f>
        <v>22</v>
      </c>
      <c r="AK2840" t="str">
        <f>T("2120")</f>
        <v>2120</v>
      </c>
    </row>
    <row r="2841" spans="1:37" x14ac:dyDescent="0.3">
      <c r="A2841" t="s">
        <v>8797</v>
      </c>
      <c r="B2841" t="s">
        <v>8798</v>
      </c>
      <c r="C2841" t="s">
        <v>8799</v>
      </c>
      <c r="D2841" t="s">
        <v>7</v>
      </c>
      <c r="K2841" t="str">
        <f>T("172.510")</f>
        <v>172.510</v>
      </c>
      <c r="AG2841" t="str">
        <f>T("2829")</f>
        <v>2829</v>
      </c>
      <c r="AH2841" t="str">
        <f>T("3")</f>
        <v>3</v>
      </c>
    </row>
    <row r="2842" spans="1:37" x14ac:dyDescent="0.3">
      <c r="A2842" t="s">
        <v>8800</v>
      </c>
      <c r="B2842" t="s">
        <v>8801</v>
      </c>
      <c r="C2842" t="s">
        <v>8802</v>
      </c>
      <c r="D2842" t="s">
        <v>7</v>
      </c>
      <c r="K2842" t="str">
        <f>T("172.510")</f>
        <v>172.510</v>
      </c>
      <c r="AG2842" t="str">
        <f>T("2830")</f>
        <v>2830</v>
      </c>
      <c r="AH2842" t="str">
        <f>T("3")</f>
        <v>3</v>
      </c>
    </row>
    <row r="2843" spans="1:37" x14ac:dyDescent="0.3">
      <c r="A2843" t="s">
        <v>8803</v>
      </c>
      <c r="B2843" t="s">
        <v>8804</v>
      </c>
      <c r="C2843" t="s">
        <v>8805</v>
      </c>
      <c r="D2843" t="s">
        <v>7</v>
      </c>
      <c r="AG2843" t="str">
        <f>T("3750")</f>
        <v>3750</v>
      </c>
      <c r="AH2843" t="str">
        <f>T("14")</f>
        <v>14</v>
      </c>
    </row>
    <row r="2844" spans="1:37" x14ac:dyDescent="0.3">
      <c r="A2844" t="s">
        <v>8806</v>
      </c>
      <c r="B2844" t="s">
        <v>8807</v>
      </c>
      <c r="C2844" t="s">
        <v>8808</v>
      </c>
      <c r="D2844" t="s">
        <v>2253</v>
      </c>
      <c r="K2844" t="str">
        <f>T("184.1560")</f>
        <v>184.1560</v>
      </c>
    </row>
    <row r="2845" spans="1:37" x14ac:dyDescent="0.3">
      <c r="A2845" t="s">
        <v>8809</v>
      </c>
      <c r="B2845" t="s">
        <v>8810</v>
      </c>
      <c r="C2845" t="s">
        <v>8811</v>
      </c>
      <c r="D2845" t="s">
        <v>199</v>
      </c>
      <c r="K2845" t="str">
        <f>T("173.25")</f>
        <v>173.25</v>
      </c>
    </row>
    <row r="2846" spans="1:37" x14ac:dyDescent="0.3">
      <c r="A2846" t="s">
        <v>8812</v>
      </c>
      <c r="B2846" t="s">
        <v>8813</v>
      </c>
      <c r="C2846" t="s">
        <v>8814</v>
      </c>
      <c r="D2846" t="s">
        <v>7</v>
      </c>
      <c r="AG2846" t="str">
        <f>T("3381")</f>
        <v>3381</v>
      </c>
      <c r="AH2846" t="str">
        <f>T("6")</f>
        <v>6</v>
      </c>
      <c r="AK2846" t="str">
        <f>T("593")</f>
        <v>593</v>
      </c>
    </row>
    <row r="2847" spans="1:37" x14ac:dyDescent="0.3">
      <c r="A2847" t="s">
        <v>8815</v>
      </c>
      <c r="B2847" t="s">
        <v>8816</v>
      </c>
      <c r="C2847" t="s">
        <v>8817</v>
      </c>
      <c r="D2847" t="s">
        <v>7</v>
      </c>
      <c r="AG2847" t="str">
        <f>T("4456")</f>
        <v>4456</v>
      </c>
      <c r="AH2847" t="str">
        <f>T("24")</f>
        <v>24</v>
      </c>
      <c r="AK2847" t="str">
        <f>T("1960")</f>
        <v>1960</v>
      </c>
    </row>
    <row r="2848" spans="1:37" x14ac:dyDescent="0.3">
      <c r="A2848" t="s">
        <v>8818</v>
      </c>
      <c r="B2848" t="s">
        <v>8819</v>
      </c>
      <c r="C2848" t="s">
        <v>8820</v>
      </c>
      <c r="D2848" t="s">
        <v>7</v>
      </c>
      <c r="AG2848" t="str">
        <f>T("3767")</f>
        <v>3767</v>
      </c>
      <c r="AH2848" t="str">
        <f>T("15")</f>
        <v>15</v>
      </c>
      <c r="AK2848" t="str">
        <f>T("914")</f>
        <v>914</v>
      </c>
    </row>
    <row r="2849" spans="1:37" x14ac:dyDescent="0.3">
      <c r="A2849" t="s">
        <v>8821</v>
      </c>
      <c r="B2849" t="s">
        <v>8822</v>
      </c>
      <c r="C2849" t="s">
        <v>8823</v>
      </c>
      <c r="D2849" t="s">
        <v>7</v>
      </c>
      <c r="AG2849" t="str">
        <f>T("4458")</f>
        <v>4458</v>
      </c>
      <c r="AH2849" t="str">
        <f>T("24")</f>
        <v>24</v>
      </c>
      <c r="AK2849" t="str">
        <f>T("1963")</f>
        <v>1963</v>
      </c>
    </row>
    <row r="2850" spans="1:37" x14ac:dyDescent="0.3">
      <c r="A2850" t="s">
        <v>8824</v>
      </c>
      <c r="B2850" t="s">
        <v>8825</v>
      </c>
      <c r="C2850" t="s">
        <v>8826</v>
      </c>
      <c r="D2850" t="s">
        <v>7</v>
      </c>
      <c r="AG2850" t="str">
        <f>T("3768")</f>
        <v>3768</v>
      </c>
      <c r="AH2850" t="str">
        <f>T("15")</f>
        <v>15</v>
      </c>
      <c r="AK2850" t="str">
        <f>T("915")</f>
        <v>915</v>
      </c>
    </row>
    <row r="2851" spans="1:37" x14ac:dyDescent="0.3">
      <c r="A2851" t="s">
        <v>8827</v>
      </c>
      <c r="B2851" t="s">
        <v>8828</v>
      </c>
      <c r="C2851" t="s">
        <v>8829</v>
      </c>
      <c r="D2851" t="s">
        <v>7</v>
      </c>
      <c r="AG2851" t="str">
        <f>T("4460")</f>
        <v>4460</v>
      </c>
      <c r="AH2851" t="str">
        <f>T("24")</f>
        <v>24</v>
      </c>
      <c r="AK2851" t="str">
        <f>T("1986")</f>
        <v>1986</v>
      </c>
    </row>
    <row r="2852" spans="1:37" x14ac:dyDescent="0.3">
      <c r="A2852" t="s">
        <v>8830</v>
      </c>
      <c r="B2852" t="s">
        <v>8831</v>
      </c>
      <c r="C2852" t="s">
        <v>8832</v>
      </c>
      <c r="D2852" t="s">
        <v>7</v>
      </c>
      <c r="AG2852" t="str">
        <f>T("3769")</f>
        <v>3769</v>
      </c>
      <c r="AH2852" t="str">
        <f>T("15")</f>
        <v>15</v>
      </c>
      <c r="AK2852" t="str">
        <f>T("917")</f>
        <v>917</v>
      </c>
    </row>
    <row r="2853" spans="1:37" x14ac:dyDescent="0.3">
      <c r="A2853" t="s">
        <v>8833</v>
      </c>
      <c r="B2853" t="s">
        <v>8834</v>
      </c>
      <c r="C2853" t="s">
        <v>8835</v>
      </c>
      <c r="D2853" t="s">
        <v>7</v>
      </c>
      <c r="AG2853" t="str">
        <f>T("3770")</f>
        <v>3770</v>
      </c>
      <c r="AH2853" t="str">
        <f>T("15")</f>
        <v>15</v>
      </c>
      <c r="AK2853" t="str">
        <f>T("910")</f>
        <v>910</v>
      </c>
    </row>
    <row r="2854" spans="1:37" x14ac:dyDescent="0.3">
      <c r="A2854" t="s">
        <v>8836</v>
      </c>
      <c r="B2854" t="s">
        <v>8837</v>
      </c>
      <c r="C2854" t="s">
        <v>8838</v>
      </c>
      <c r="D2854" t="s">
        <v>7</v>
      </c>
      <c r="AG2854" t="str">
        <f>T("4455")</f>
        <v>4455</v>
      </c>
      <c r="AH2854" t="str">
        <f>T("24")</f>
        <v>24</v>
      </c>
      <c r="AK2854" t="str">
        <f>T("1957")</f>
        <v>1957</v>
      </c>
    </row>
    <row r="2855" spans="1:37" x14ac:dyDescent="0.3">
      <c r="A2855" t="s">
        <v>8839</v>
      </c>
      <c r="B2855" t="s">
        <v>8840</v>
      </c>
      <c r="C2855" t="s">
        <v>8841</v>
      </c>
      <c r="D2855" t="s">
        <v>7</v>
      </c>
      <c r="AG2855" t="str">
        <f>T("3771")</f>
        <v>3771</v>
      </c>
      <c r="AH2855" t="str">
        <f>T("15")</f>
        <v>15</v>
      </c>
      <c r="AK2855" t="str">
        <f>T("911")</f>
        <v>911</v>
      </c>
    </row>
    <row r="2856" spans="1:37" x14ac:dyDescent="0.3">
      <c r="A2856" t="s">
        <v>8842</v>
      </c>
      <c r="B2856" t="s">
        <v>8843</v>
      </c>
      <c r="C2856" t="s">
        <v>8844</v>
      </c>
      <c r="D2856" t="s">
        <v>7</v>
      </c>
      <c r="AG2856" t="str">
        <f>T("3891")</f>
        <v>3891</v>
      </c>
      <c r="AH2856" t="str">
        <f>T("18")</f>
        <v>18</v>
      </c>
      <c r="AK2856" t="str">
        <f>T("634")</f>
        <v>634</v>
      </c>
    </row>
    <row r="2857" spans="1:37" x14ac:dyDescent="0.3">
      <c r="A2857" t="s">
        <v>8845</v>
      </c>
      <c r="B2857" t="s">
        <v>8846</v>
      </c>
      <c r="C2857" t="s">
        <v>8847</v>
      </c>
      <c r="D2857" t="s">
        <v>7</v>
      </c>
      <c r="AG2857" t="str">
        <f>T("3892")</f>
        <v>3892</v>
      </c>
      <c r="AH2857" t="str">
        <f>T("18")</f>
        <v>18</v>
      </c>
      <c r="AK2857" t="str">
        <f>T("1478")</f>
        <v>1478</v>
      </c>
    </row>
    <row r="2858" spans="1:37" x14ac:dyDescent="0.3">
      <c r="A2858" t="s">
        <v>8848</v>
      </c>
      <c r="B2858" t="s">
        <v>8849</v>
      </c>
      <c r="C2858" t="s">
        <v>8850</v>
      </c>
      <c r="D2858" t="s">
        <v>7</v>
      </c>
      <c r="AG2858" t="str">
        <f>T("3772")</f>
        <v>3772</v>
      </c>
      <c r="AH2858" t="str">
        <f>T("15")</f>
        <v>15</v>
      </c>
      <c r="AK2858" t="str">
        <f>T("916")</f>
        <v>916</v>
      </c>
    </row>
    <row r="2859" spans="1:37" x14ac:dyDescent="0.3">
      <c r="A2859" t="s">
        <v>8851</v>
      </c>
      <c r="B2859" t="s">
        <v>8852</v>
      </c>
      <c r="C2859" t="s">
        <v>8853</v>
      </c>
      <c r="D2859" t="s">
        <v>7</v>
      </c>
      <c r="AG2859" t="str">
        <f>T("4570")</f>
        <v>4570</v>
      </c>
      <c r="AH2859" t="str">
        <f>T("24")</f>
        <v>24</v>
      </c>
      <c r="AK2859" t="str">
        <f>T("1923")</f>
        <v>1923</v>
      </c>
    </row>
    <row r="2860" spans="1:37" x14ac:dyDescent="0.3">
      <c r="A2860" t="s">
        <v>8854</v>
      </c>
      <c r="B2860" t="s">
        <v>8855</v>
      </c>
      <c r="C2860" t="s">
        <v>8856</v>
      </c>
      <c r="D2860" t="s">
        <v>184</v>
      </c>
      <c r="K2860" t="str">
        <f>T("173.368")</f>
        <v>173.368</v>
      </c>
      <c r="L2860" t="str">
        <f>T("184.1563")</f>
        <v>184.1563</v>
      </c>
    </row>
    <row r="2861" spans="1:37" x14ac:dyDescent="0.3">
      <c r="A2861" t="s">
        <v>8857</v>
      </c>
      <c r="B2861" t="s">
        <v>8858</v>
      </c>
      <c r="C2861" t="s">
        <v>8859</v>
      </c>
      <c r="D2861" t="s">
        <v>11</v>
      </c>
      <c r="AD2861" t="str">
        <f>T("189.175")</f>
        <v>189.175</v>
      </c>
    </row>
    <row r="2862" spans="1:37" x14ac:dyDescent="0.3">
      <c r="A2862" t="s">
        <v>8860</v>
      </c>
      <c r="B2862" t="s">
        <v>8861</v>
      </c>
      <c r="C2862" t="s">
        <v>8862</v>
      </c>
      <c r="D2862" t="s">
        <v>2584</v>
      </c>
      <c r="K2862" t="str">
        <f>T("172.210")</f>
        <v>172.210</v>
      </c>
      <c r="L2862" t="str">
        <f>T("172.860")</f>
        <v>172.860</v>
      </c>
      <c r="M2862" t="str">
        <f>T("173.340")</f>
        <v>173.340</v>
      </c>
      <c r="AG2862" t="str">
        <f>T("2832")</f>
        <v>2832</v>
      </c>
      <c r="AH2862" t="str">
        <f>T("3")</f>
        <v>3</v>
      </c>
      <c r="AI2862" t="str">
        <f>T("25")</f>
        <v>25</v>
      </c>
      <c r="AK2862" t="str">
        <f>T("115")</f>
        <v>115</v>
      </c>
    </row>
    <row r="2863" spans="1:37" x14ac:dyDescent="0.3">
      <c r="A2863" t="s">
        <v>8863</v>
      </c>
      <c r="B2863" t="s">
        <v>8864</v>
      </c>
      <c r="C2863" t="s">
        <v>8865</v>
      </c>
      <c r="K2863" t="str">
        <f>T("184.1583")</f>
        <v>184.1583</v>
      </c>
    </row>
    <row r="2864" spans="1:37" x14ac:dyDescent="0.3">
      <c r="A2864" t="s">
        <v>8866</v>
      </c>
      <c r="B2864" t="s">
        <v>8867</v>
      </c>
      <c r="C2864" t="s">
        <v>8868</v>
      </c>
      <c r="D2864" t="s">
        <v>7</v>
      </c>
      <c r="K2864" t="str">
        <f>T("172.510")</f>
        <v>172.510</v>
      </c>
    </row>
    <row r="2865" spans="1:35" x14ac:dyDescent="0.3">
      <c r="A2865" t="s">
        <v>8869</v>
      </c>
      <c r="B2865" t="s">
        <v>8870</v>
      </c>
      <c r="C2865" t="s">
        <v>8871</v>
      </c>
      <c r="D2865" t="s">
        <v>137</v>
      </c>
      <c r="K2865" t="str">
        <f>T("172.335")</f>
        <v>172.335</v>
      </c>
    </row>
    <row r="2866" spans="1:35" x14ac:dyDescent="0.3">
      <c r="A2866" t="s">
        <v>8872</v>
      </c>
      <c r="B2866" t="s">
        <v>8873</v>
      </c>
      <c r="C2866" t="s">
        <v>8874</v>
      </c>
      <c r="D2866" t="s">
        <v>137</v>
      </c>
    </row>
    <row r="2867" spans="1:35" x14ac:dyDescent="0.3">
      <c r="A2867" t="s">
        <v>8875</v>
      </c>
      <c r="B2867" t="s">
        <v>8876</v>
      </c>
      <c r="C2867" t="s">
        <v>8877</v>
      </c>
      <c r="D2867" t="s">
        <v>8878</v>
      </c>
      <c r="K2867" t="str">
        <f>T("184.1585")</f>
        <v>184.1585</v>
      </c>
      <c r="AF2867" t="str">
        <f>T("137.305")</f>
        <v>137.305</v>
      </c>
    </row>
    <row r="2868" spans="1:35" x14ac:dyDescent="0.3">
      <c r="A2868" t="s">
        <v>8879</v>
      </c>
      <c r="B2868" t="s">
        <v>8880</v>
      </c>
      <c r="C2868" t="s">
        <v>8881</v>
      </c>
      <c r="D2868" t="s">
        <v>8882</v>
      </c>
      <c r="E2868" t="str">
        <f>T("73.340")</f>
        <v>73.340</v>
      </c>
      <c r="F2868" t="str">
        <f>T("73.345")</f>
        <v>73.345</v>
      </c>
      <c r="K2868" t="str">
        <f>T("172.140")</f>
        <v>172.140</v>
      </c>
      <c r="L2868" t="str">
        <f>T("182.10")</f>
        <v>182.10</v>
      </c>
      <c r="AF2868" t="str">
        <f>T("101.22")</f>
        <v>101.22</v>
      </c>
      <c r="AG2868" t="str">
        <f>T("2833")</f>
        <v>2833</v>
      </c>
      <c r="AH2868" t="str">
        <f>T("3")</f>
        <v>3</v>
      </c>
    </row>
    <row r="2869" spans="1:35" x14ac:dyDescent="0.3">
      <c r="A2869" t="s">
        <v>8883</v>
      </c>
      <c r="B2869" t="s">
        <v>8884</v>
      </c>
      <c r="C2869" t="s">
        <v>8885</v>
      </c>
      <c r="D2869" t="s">
        <v>286</v>
      </c>
      <c r="E2869" t="str">
        <f>T("73.345")</f>
        <v>73.345</v>
      </c>
      <c r="K2869" t="str">
        <f>T("182.20")</f>
        <v>182.20</v>
      </c>
      <c r="AG2869" t="str">
        <f>T("2834")</f>
        <v>2834</v>
      </c>
      <c r="AH2869" t="str">
        <f>T("3")</f>
        <v>3</v>
      </c>
    </row>
    <row r="2870" spans="1:35" x14ac:dyDescent="0.3">
      <c r="A2870" t="s">
        <v>8886</v>
      </c>
      <c r="B2870" t="s">
        <v>8887</v>
      </c>
      <c r="C2870" t="s">
        <v>8888</v>
      </c>
      <c r="D2870" t="s">
        <v>1175</v>
      </c>
      <c r="K2870" t="str">
        <f>T("172.275")</f>
        <v>172.275</v>
      </c>
    </row>
    <row r="2871" spans="1:35" x14ac:dyDescent="0.3">
      <c r="A2871" t="s">
        <v>8889</v>
      </c>
      <c r="B2871" t="s">
        <v>8890</v>
      </c>
      <c r="C2871" t="s">
        <v>8891</v>
      </c>
      <c r="D2871" t="s">
        <v>8892</v>
      </c>
      <c r="K2871" t="str">
        <f>T("172.615")</f>
        <v>172.615</v>
      </c>
      <c r="L2871" t="str">
        <f>T("175.210")</f>
        <v>175.210</v>
      </c>
      <c r="M2871" t="str">
        <f>T("175.300")</f>
        <v>175.300</v>
      </c>
      <c r="N2871" t="str">
        <f>T("178.3800")</f>
        <v>178.3800</v>
      </c>
      <c r="AF2871" t="s">
        <v>8893</v>
      </c>
      <c r="AG2871" t="str">
        <f>T("3216")</f>
        <v>3216</v>
      </c>
      <c r="AH2871" t="str">
        <f>T("4")</f>
        <v>4</v>
      </c>
    </row>
    <row r="2872" spans="1:35" x14ac:dyDescent="0.3">
      <c r="A2872" t="s">
        <v>8894</v>
      </c>
      <c r="B2872" t="s">
        <v>8895</v>
      </c>
      <c r="C2872" t="s">
        <v>8896</v>
      </c>
      <c r="D2872" t="s">
        <v>7</v>
      </c>
      <c r="K2872" t="str">
        <f>T("177.2410")</f>
        <v>177.2410</v>
      </c>
      <c r="AG2872" t="str">
        <f>T("4010")</f>
        <v>4010</v>
      </c>
      <c r="AH2872" t="str">
        <f>T("20")</f>
        <v>20</v>
      </c>
    </row>
    <row r="2873" spans="1:35" x14ac:dyDescent="0.3">
      <c r="A2873" t="s">
        <v>8897</v>
      </c>
      <c r="B2873" t="s">
        <v>8898</v>
      </c>
      <c r="C2873" t="s">
        <v>8899</v>
      </c>
      <c r="D2873" t="s">
        <v>137</v>
      </c>
      <c r="AF2873" t="s">
        <v>8900</v>
      </c>
    </row>
    <row r="2874" spans="1:35" x14ac:dyDescent="0.3">
      <c r="A2874" t="s">
        <v>8901</v>
      </c>
      <c r="B2874" t="s">
        <v>8902</v>
      </c>
      <c r="C2874" t="s">
        <v>8903</v>
      </c>
      <c r="D2874" t="s">
        <v>7</v>
      </c>
      <c r="K2874" t="str">
        <f>T("182.20")</f>
        <v>182.20</v>
      </c>
      <c r="AG2874" t="str">
        <f>T("2836")</f>
        <v>2836</v>
      </c>
      <c r="AH2874" t="str">
        <f>T("3")</f>
        <v>3</v>
      </c>
      <c r="AI2874" t="str">
        <f>T("24")</f>
        <v>24</v>
      </c>
    </row>
    <row r="2875" spans="1:35" x14ac:dyDescent="0.3">
      <c r="A2875" t="s">
        <v>8904</v>
      </c>
      <c r="B2875" t="s">
        <v>8905</v>
      </c>
      <c r="C2875" t="s">
        <v>8906</v>
      </c>
      <c r="D2875" t="s">
        <v>7</v>
      </c>
      <c r="K2875" t="str">
        <f>T("182.20")</f>
        <v>182.20</v>
      </c>
      <c r="AG2875" t="str">
        <f>T("2837")</f>
        <v>2837</v>
      </c>
      <c r="AH2875" t="str">
        <f>T("3")</f>
        <v>3</v>
      </c>
    </row>
    <row r="2876" spans="1:35" x14ac:dyDescent="0.3">
      <c r="A2876" t="s">
        <v>8907</v>
      </c>
      <c r="B2876" t="s">
        <v>8908</v>
      </c>
      <c r="C2876" t="s">
        <v>8909</v>
      </c>
      <c r="D2876" t="s">
        <v>8910</v>
      </c>
      <c r="K2876" t="str">
        <f>T("182.10")</f>
        <v>182.10</v>
      </c>
      <c r="AF2876" t="s">
        <v>8911</v>
      </c>
      <c r="AG2876" t="str">
        <f>T("2835")</f>
        <v>2835</v>
      </c>
      <c r="AH2876" t="str">
        <f>T("3")</f>
        <v>3</v>
      </c>
    </row>
    <row r="2877" spans="1:35" x14ac:dyDescent="0.3">
      <c r="A2877" t="s">
        <v>8912</v>
      </c>
      <c r="B2877" t="s">
        <v>8913</v>
      </c>
      <c r="C2877" t="s">
        <v>8914</v>
      </c>
      <c r="D2877" t="s">
        <v>7</v>
      </c>
      <c r="K2877" t="str">
        <f>T("172.510")</f>
        <v>172.510</v>
      </c>
    </row>
    <row r="2878" spans="1:35" x14ac:dyDescent="0.3">
      <c r="A2878" t="s">
        <v>8915</v>
      </c>
      <c r="B2878" t="s">
        <v>8916</v>
      </c>
      <c r="C2878" t="s">
        <v>8917</v>
      </c>
      <c r="D2878" t="s">
        <v>7</v>
      </c>
      <c r="K2878" t="str">
        <f>T("172.510")</f>
        <v>172.510</v>
      </c>
    </row>
    <row r="2879" spans="1:35" x14ac:dyDescent="0.3">
      <c r="A2879" t="s">
        <v>8918</v>
      </c>
      <c r="B2879" t="s">
        <v>8919</v>
      </c>
      <c r="C2879" t="s">
        <v>8920</v>
      </c>
      <c r="D2879" t="s">
        <v>7</v>
      </c>
      <c r="K2879" t="str">
        <f>T("172.510")</f>
        <v>172.510</v>
      </c>
      <c r="AG2879" t="str">
        <f>T("2838")</f>
        <v>2838</v>
      </c>
      <c r="AH2879" t="str">
        <f>T("3")</f>
        <v>3</v>
      </c>
    </row>
    <row r="2880" spans="1:35" x14ac:dyDescent="0.3">
      <c r="A2880" t="s">
        <v>8921</v>
      </c>
      <c r="B2880" t="s">
        <v>8922</v>
      </c>
      <c r="C2880" t="s">
        <v>8923</v>
      </c>
      <c r="D2880" t="s">
        <v>7</v>
      </c>
      <c r="K2880" t="str">
        <f>T("182.40")</f>
        <v>182.40</v>
      </c>
    </row>
    <row r="2881" spans="1:37" x14ac:dyDescent="0.3">
      <c r="A2881" t="s">
        <v>8924</v>
      </c>
      <c r="B2881" t="s">
        <v>8925</v>
      </c>
      <c r="C2881" t="s">
        <v>8926</v>
      </c>
      <c r="D2881" t="s">
        <v>7</v>
      </c>
      <c r="K2881" t="str">
        <f>T("172.510")</f>
        <v>172.510</v>
      </c>
    </row>
    <row r="2882" spans="1:37" x14ac:dyDescent="0.3">
      <c r="A2882" t="s">
        <v>8927</v>
      </c>
      <c r="B2882" t="s">
        <v>8928</v>
      </c>
      <c r="C2882" t="s">
        <v>8929</v>
      </c>
      <c r="D2882" t="s">
        <v>7</v>
      </c>
      <c r="K2882" t="str">
        <f>T("172.510")</f>
        <v>172.510</v>
      </c>
    </row>
    <row r="2883" spans="1:37" x14ac:dyDescent="0.3">
      <c r="A2883" t="s">
        <v>8930</v>
      </c>
      <c r="B2883" t="s">
        <v>8931</v>
      </c>
      <c r="C2883" t="s">
        <v>8932</v>
      </c>
      <c r="D2883" t="s">
        <v>8933</v>
      </c>
      <c r="K2883" t="str">
        <f>T("176.210")</f>
        <v>176.210</v>
      </c>
      <c r="L2883" t="str">
        <f>T("177.2800")</f>
        <v>177.2800</v>
      </c>
      <c r="M2883" t="str">
        <f>T("182.70")</f>
        <v>182.70</v>
      </c>
      <c r="AF2883" t="str">
        <f>T("164.15")</f>
        <v>164.15</v>
      </c>
    </row>
    <row r="2884" spans="1:37" x14ac:dyDescent="0.3">
      <c r="A2884" t="s">
        <v>8934</v>
      </c>
      <c r="B2884" t="s">
        <v>8935</v>
      </c>
      <c r="C2884" t="s">
        <v>8936</v>
      </c>
      <c r="D2884" t="s">
        <v>7</v>
      </c>
      <c r="K2884" t="str">
        <f>T("182.40")</f>
        <v>182.40</v>
      </c>
    </row>
    <row r="2885" spans="1:37" x14ac:dyDescent="0.3">
      <c r="A2885" t="s">
        <v>8937</v>
      </c>
      <c r="B2885" t="s">
        <v>8938</v>
      </c>
      <c r="C2885" t="s">
        <v>8939</v>
      </c>
      <c r="D2885" t="s">
        <v>7</v>
      </c>
      <c r="AG2885" t="str">
        <f>T("4385")</f>
        <v>4385</v>
      </c>
      <c r="AH2885" t="str">
        <f>T("23")</f>
        <v>23</v>
      </c>
    </row>
    <row r="2886" spans="1:37" x14ac:dyDescent="0.3">
      <c r="A2886" t="s">
        <v>8940</v>
      </c>
      <c r="B2886" t="s">
        <v>8941</v>
      </c>
      <c r="C2886" t="s">
        <v>8942</v>
      </c>
      <c r="D2886" t="s">
        <v>1623</v>
      </c>
      <c r="K2886" t="str">
        <f>T("184.1588")</f>
        <v>184.1588</v>
      </c>
    </row>
    <row r="2887" spans="1:37" x14ac:dyDescent="0.3">
      <c r="A2887" t="s">
        <v>8943</v>
      </c>
      <c r="B2887" t="s">
        <v>8944</v>
      </c>
      <c r="C2887" t="s">
        <v>8945</v>
      </c>
      <c r="D2887" t="s">
        <v>8946</v>
      </c>
    </row>
    <row r="2888" spans="1:37" x14ac:dyDescent="0.3">
      <c r="A2888" t="s">
        <v>8947</v>
      </c>
      <c r="B2888" t="s">
        <v>8948</v>
      </c>
      <c r="C2888" t="s">
        <v>8949</v>
      </c>
      <c r="D2888" t="s">
        <v>8946</v>
      </c>
    </row>
    <row r="2889" spans="1:37" x14ac:dyDescent="0.3">
      <c r="A2889" t="s">
        <v>8950</v>
      </c>
      <c r="B2889" t="s">
        <v>8951</v>
      </c>
      <c r="C2889" t="s">
        <v>8952</v>
      </c>
      <c r="D2889" t="s">
        <v>8953</v>
      </c>
      <c r="K2889" t="str">
        <f>T("173.385")</f>
        <v>173.385</v>
      </c>
      <c r="L2889" t="str">
        <f>T("184.1588")</f>
        <v>184.1588</v>
      </c>
    </row>
    <row r="2890" spans="1:37" x14ac:dyDescent="0.3">
      <c r="A2890" t="s">
        <v>8954</v>
      </c>
      <c r="B2890" t="s">
        <v>8955</v>
      </c>
      <c r="D2890" t="s">
        <v>846</v>
      </c>
      <c r="K2890" t="str">
        <f>T("172.736")</f>
        <v>172.736</v>
      </c>
    </row>
    <row r="2891" spans="1:37" x14ac:dyDescent="0.3">
      <c r="A2891" t="s">
        <v>8956</v>
      </c>
      <c r="B2891" t="s">
        <v>8957</v>
      </c>
      <c r="C2891" t="s">
        <v>8958</v>
      </c>
      <c r="D2891" t="s">
        <v>1175</v>
      </c>
      <c r="K2891" t="str">
        <f>T("172.615")</f>
        <v>172.615</v>
      </c>
    </row>
    <row r="2892" spans="1:37" x14ac:dyDescent="0.3">
      <c r="A2892" t="s">
        <v>8959</v>
      </c>
      <c r="B2892" t="s">
        <v>8960</v>
      </c>
      <c r="C2892" t="s">
        <v>8961</v>
      </c>
      <c r="D2892" t="s">
        <v>74</v>
      </c>
    </row>
    <row r="2893" spans="1:37" x14ac:dyDescent="0.3">
      <c r="A2893" t="s">
        <v>8962</v>
      </c>
      <c r="B2893" t="s">
        <v>8963</v>
      </c>
      <c r="C2893" t="s">
        <v>8964</v>
      </c>
    </row>
    <row r="2894" spans="1:37" x14ac:dyDescent="0.3">
      <c r="A2894" t="s">
        <v>8965</v>
      </c>
      <c r="B2894" t="s">
        <v>8966</v>
      </c>
      <c r="C2894" t="s">
        <v>8967</v>
      </c>
      <c r="D2894" t="s">
        <v>7</v>
      </c>
      <c r="K2894" t="str">
        <f>T("172.510")</f>
        <v>172.510</v>
      </c>
      <c r="AG2894" t="str">
        <f>T("2839")</f>
        <v>2839</v>
      </c>
      <c r="AH2894" t="str">
        <f>T("3")</f>
        <v>3</v>
      </c>
    </row>
    <row r="2895" spans="1:37" x14ac:dyDescent="0.3">
      <c r="A2895" t="s">
        <v>8968</v>
      </c>
      <c r="B2895" t="s">
        <v>8969</v>
      </c>
      <c r="C2895" t="s">
        <v>8970</v>
      </c>
      <c r="D2895" t="s">
        <v>7</v>
      </c>
      <c r="K2895" t="str">
        <f>T("172.510")</f>
        <v>172.510</v>
      </c>
    </row>
    <row r="2896" spans="1:37" x14ac:dyDescent="0.3">
      <c r="A2896" t="s">
        <v>8971</v>
      </c>
      <c r="B2896" t="s">
        <v>8972</v>
      </c>
      <c r="C2896" t="s">
        <v>8973</v>
      </c>
      <c r="D2896" t="s">
        <v>7</v>
      </c>
      <c r="K2896" t="str">
        <f>T("172.515")</f>
        <v>172.515</v>
      </c>
      <c r="AG2896" t="str">
        <f>T("2840")</f>
        <v>2840</v>
      </c>
      <c r="AH2896" t="str">
        <f>T("3")</f>
        <v>3</v>
      </c>
      <c r="AI2896" t="str">
        <f>T("25")</f>
        <v>25</v>
      </c>
      <c r="AK2896" t="str">
        <f>T("239")</f>
        <v>239</v>
      </c>
    </row>
    <row r="2897" spans="1:37" x14ac:dyDescent="0.3">
      <c r="A2897" t="s">
        <v>8974</v>
      </c>
      <c r="B2897" t="s">
        <v>8975</v>
      </c>
      <c r="C2897" t="s">
        <v>8976</v>
      </c>
      <c r="D2897" t="s">
        <v>7</v>
      </c>
      <c r="AG2897" t="str">
        <f>T("4334")</f>
        <v>4334</v>
      </c>
      <c r="AH2897" t="str">
        <f>T("23")</f>
        <v>23</v>
      </c>
    </row>
    <row r="2898" spans="1:37" x14ac:dyDescent="0.3">
      <c r="A2898" t="s">
        <v>8977</v>
      </c>
      <c r="B2898" t="s">
        <v>8978</v>
      </c>
      <c r="C2898" t="s">
        <v>8979</v>
      </c>
      <c r="D2898" t="s">
        <v>7</v>
      </c>
      <c r="AG2898" t="str">
        <f>T("3724")</f>
        <v>3724</v>
      </c>
      <c r="AH2898" t="str">
        <f>T("13")</f>
        <v>13</v>
      </c>
      <c r="AK2898" t="str">
        <f>T("299")</f>
        <v>299</v>
      </c>
    </row>
    <row r="2899" spans="1:37" x14ac:dyDescent="0.3">
      <c r="A2899" t="s">
        <v>8980</v>
      </c>
      <c r="B2899" t="s">
        <v>8981</v>
      </c>
      <c r="C2899" t="s">
        <v>8982</v>
      </c>
      <c r="D2899" t="s">
        <v>7</v>
      </c>
      <c r="AG2899" t="str">
        <f>T("3217")</f>
        <v>3217</v>
      </c>
      <c r="AH2899" t="str">
        <f>T("4")</f>
        <v>4</v>
      </c>
      <c r="AI2899" t="str">
        <f>T("25")</f>
        <v>25</v>
      </c>
      <c r="AK2899" t="str">
        <f>T("1173")</f>
        <v>1173</v>
      </c>
    </row>
    <row r="2900" spans="1:37" x14ac:dyDescent="0.3">
      <c r="A2900" t="s">
        <v>8983</v>
      </c>
      <c r="B2900" t="s">
        <v>8984</v>
      </c>
      <c r="C2900" t="s">
        <v>8985</v>
      </c>
      <c r="D2900" t="s">
        <v>7</v>
      </c>
      <c r="K2900" t="str">
        <f>T("172.515")</f>
        <v>172.515</v>
      </c>
      <c r="AG2900" t="str">
        <f>T("2841")</f>
        <v>2841</v>
      </c>
      <c r="AH2900" t="str">
        <f>T("3")</f>
        <v>3</v>
      </c>
      <c r="AK2900" t="str">
        <f>T("410")</f>
        <v>410</v>
      </c>
    </row>
    <row r="2901" spans="1:37" x14ac:dyDescent="0.3">
      <c r="A2901" t="s">
        <v>8986</v>
      </c>
      <c r="B2901" t="s">
        <v>8987</v>
      </c>
      <c r="C2901" t="s">
        <v>8988</v>
      </c>
      <c r="D2901" t="s">
        <v>7</v>
      </c>
      <c r="AG2901" t="str">
        <f>T("4333")</f>
        <v>4333</v>
      </c>
      <c r="AH2901" t="str">
        <f>T("23")</f>
        <v>23</v>
      </c>
      <c r="AK2901" t="str">
        <f>T("1662")</f>
        <v>1662</v>
      </c>
    </row>
    <row r="2902" spans="1:37" x14ac:dyDescent="0.3">
      <c r="A2902" t="s">
        <v>8989</v>
      </c>
      <c r="B2902" t="s">
        <v>8990</v>
      </c>
      <c r="C2902" t="s">
        <v>8991</v>
      </c>
      <c r="D2902" t="s">
        <v>7</v>
      </c>
      <c r="AG2902" t="str">
        <f>T("3792")</f>
        <v>3792</v>
      </c>
      <c r="AH2902" t="str">
        <f>T("16")</f>
        <v>16</v>
      </c>
      <c r="AK2902" t="str">
        <f>T("514")</f>
        <v>514</v>
      </c>
    </row>
    <row r="2903" spans="1:37" x14ac:dyDescent="0.3">
      <c r="A2903" t="s">
        <v>8992</v>
      </c>
      <c r="B2903" t="s">
        <v>8993</v>
      </c>
      <c r="C2903" t="s">
        <v>8994</v>
      </c>
      <c r="D2903" t="s">
        <v>7</v>
      </c>
      <c r="AG2903" t="str">
        <f>T("4694")</f>
        <v>4694</v>
      </c>
      <c r="AH2903" t="str">
        <f>T("25")</f>
        <v>25</v>
      </c>
      <c r="AK2903" t="str">
        <f>T("2083")</f>
        <v>2083</v>
      </c>
    </row>
    <row r="2904" spans="1:37" x14ac:dyDescent="0.3">
      <c r="A2904" t="s">
        <v>8995</v>
      </c>
      <c r="B2904" t="s">
        <v>8996</v>
      </c>
      <c r="C2904" t="s">
        <v>8997</v>
      </c>
      <c r="D2904" t="s">
        <v>7</v>
      </c>
      <c r="AG2904" t="str">
        <f>T("3316")</f>
        <v>3316</v>
      </c>
      <c r="AH2904" t="str">
        <f>T("5")</f>
        <v>5</v>
      </c>
      <c r="AI2904" t="str">
        <f>T("25")</f>
        <v>25</v>
      </c>
      <c r="AK2904" t="str">
        <f>T("280")</f>
        <v>280</v>
      </c>
    </row>
    <row r="2905" spans="1:37" x14ac:dyDescent="0.3">
      <c r="A2905" t="s">
        <v>8998</v>
      </c>
      <c r="B2905" t="s">
        <v>8999</v>
      </c>
      <c r="C2905" t="s">
        <v>9000</v>
      </c>
      <c r="D2905" t="s">
        <v>4799</v>
      </c>
      <c r="K2905" t="str">
        <f>T("172.515")</f>
        <v>172.515</v>
      </c>
      <c r="AG2905" t="str">
        <f>T("2842")</f>
        <v>2842</v>
      </c>
      <c r="AH2905" t="str">
        <f>T("3")</f>
        <v>3</v>
      </c>
      <c r="AI2905" t="str">
        <f>T("25")</f>
        <v>25</v>
      </c>
      <c r="AK2905" t="str">
        <f>T("279")</f>
        <v>279</v>
      </c>
    </row>
    <row r="2906" spans="1:37" x14ac:dyDescent="0.3">
      <c r="A2906" t="s">
        <v>9001</v>
      </c>
      <c r="B2906" t="s">
        <v>9002</v>
      </c>
      <c r="C2906" t="s">
        <v>9003</v>
      </c>
      <c r="D2906" t="s">
        <v>7</v>
      </c>
      <c r="AG2906" t="str">
        <f>T("4192")</f>
        <v>4192</v>
      </c>
      <c r="AH2906" t="str">
        <f>T("22")</f>
        <v>22</v>
      </c>
      <c r="AK2906" t="str">
        <f>T("1509")</f>
        <v>1509</v>
      </c>
    </row>
    <row r="2907" spans="1:37" x14ac:dyDescent="0.3">
      <c r="A2907" t="s">
        <v>9004</v>
      </c>
      <c r="B2907" t="s">
        <v>9005</v>
      </c>
      <c r="C2907" t="s">
        <v>9006</v>
      </c>
      <c r="D2907" t="s">
        <v>15</v>
      </c>
      <c r="AG2907" t="str">
        <f>T("3218")</f>
        <v>3218</v>
      </c>
      <c r="AH2907" t="str">
        <f>T("4")</f>
        <v>4</v>
      </c>
      <c r="AI2907" t="str">
        <f>T("25")</f>
        <v>25</v>
      </c>
      <c r="AK2907" t="str">
        <f>T("1364")</f>
        <v>1364</v>
      </c>
    </row>
    <row r="2908" spans="1:37" x14ac:dyDescent="0.3">
      <c r="A2908" t="s">
        <v>9007</v>
      </c>
      <c r="B2908" t="s">
        <v>9008</v>
      </c>
      <c r="C2908" t="s">
        <v>9009</v>
      </c>
      <c r="D2908" t="s">
        <v>7</v>
      </c>
      <c r="AG2908" t="str">
        <f>T("4262")</f>
        <v>4262</v>
      </c>
      <c r="AH2908" t="str">
        <f>T("23")</f>
        <v>23</v>
      </c>
      <c r="AK2908" t="str">
        <f>T("1619")</f>
        <v>1619</v>
      </c>
    </row>
    <row r="2909" spans="1:37" x14ac:dyDescent="0.3">
      <c r="A2909" t="s">
        <v>9010</v>
      </c>
      <c r="B2909" t="s">
        <v>9011</v>
      </c>
      <c r="C2909" t="s">
        <v>9012</v>
      </c>
      <c r="D2909" t="s">
        <v>7</v>
      </c>
      <c r="AG2909" t="str">
        <f>T("4193")</f>
        <v>4193</v>
      </c>
      <c r="AH2909" t="str">
        <f>T("22")</f>
        <v>22</v>
      </c>
      <c r="AK2909" t="str">
        <f>T("1804")</f>
        <v>1804</v>
      </c>
    </row>
    <row r="2910" spans="1:37" x14ac:dyDescent="0.3">
      <c r="A2910" t="s">
        <v>9013</v>
      </c>
      <c r="B2910" t="s">
        <v>9014</v>
      </c>
      <c r="C2910" t="s">
        <v>9015</v>
      </c>
      <c r="D2910" t="s">
        <v>15</v>
      </c>
      <c r="K2910" t="str">
        <f>T("172.515")</f>
        <v>172.515</v>
      </c>
      <c r="AG2910" t="str">
        <f>T("2843")</f>
        <v>2843</v>
      </c>
      <c r="AH2910" t="str">
        <f>T("3")</f>
        <v>3</v>
      </c>
      <c r="AI2910" t="str">
        <f>T("25")</f>
        <v>25</v>
      </c>
      <c r="AK2910" t="str">
        <f>T("314")</f>
        <v>314</v>
      </c>
    </row>
    <row r="2911" spans="1:37" x14ac:dyDescent="0.3">
      <c r="A2911" t="s">
        <v>9016</v>
      </c>
      <c r="B2911" t="s">
        <v>9017</v>
      </c>
      <c r="C2911" t="s">
        <v>9018</v>
      </c>
      <c r="D2911" t="s">
        <v>15</v>
      </c>
      <c r="K2911" t="str">
        <f>T("172.515")</f>
        <v>172.515</v>
      </c>
      <c r="AG2911" t="str">
        <f>T("3584")</f>
        <v>3584</v>
      </c>
      <c r="AH2911" t="str">
        <f>T("11")</f>
        <v>11</v>
      </c>
      <c r="AI2911" t="str">
        <f>T("25")</f>
        <v>25</v>
      </c>
      <c r="AK2911" t="str">
        <f>T("1150")</f>
        <v>1150</v>
      </c>
    </row>
    <row r="2912" spans="1:37" x14ac:dyDescent="0.3">
      <c r="A2912" t="s">
        <v>9019</v>
      </c>
      <c r="B2912" t="s">
        <v>9020</v>
      </c>
      <c r="C2912" t="s">
        <v>9021</v>
      </c>
      <c r="D2912" t="s">
        <v>7</v>
      </c>
      <c r="AG2912" t="str">
        <f>T("4305")</f>
        <v>4305</v>
      </c>
      <c r="AH2912" t="str">
        <f>T("23")</f>
        <v>23</v>
      </c>
      <c r="AK2912" t="str">
        <f>T("1793")</f>
        <v>1793</v>
      </c>
    </row>
    <row r="2913" spans="1:37" x14ac:dyDescent="0.3">
      <c r="A2913" t="s">
        <v>9022</v>
      </c>
      <c r="B2913" t="s">
        <v>9023</v>
      </c>
      <c r="C2913" t="s">
        <v>9024</v>
      </c>
      <c r="D2913" t="s">
        <v>15</v>
      </c>
      <c r="AG2913" t="str">
        <f>T("3382")</f>
        <v>3382</v>
      </c>
      <c r="AH2913" t="str">
        <f>T("6")</f>
        <v>6</v>
      </c>
      <c r="AI2913" t="str">
        <f>T("25")</f>
        <v>25</v>
      </c>
      <c r="AK2913" t="str">
        <f>T("1147")</f>
        <v>1147</v>
      </c>
    </row>
    <row r="2914" spans="1:37" x14ac:dyDescent="0.3">
      <c r="A2914" t="s">
        <v>9025</v>
      </c>
      <c r="B2914" t="s">
        <v>9026</v>
      </c>
      <c r="C2914" t="s">
        <v>9027</v>
      </c>
      <c r="D2914" t="s">
        <v>15</v>
      </c>
      <c r="AG2914" t="str">
        <f>T("3417")</f>
        <v>3417</v>
      </c>
      <c r="AH2914" t="str">
        <f>T("7")</f>
        <v>7</v>
      </c>
      <c r="AI2914" t="str">
        <f>T("25")</f>
        <v>25</v>
      </c>
      <c r="AK2914" t="str">
        <f>T("1124")</f>
        <v>1124</v>
      </c>
    </row>
    <row r="2915" spans="1:37" x14ac:dyDescent="0.3">
      <c r="A2915" t="s">
        <v>9028</v>
      </c>
      <c r="B2915" t="s">
        <v>9029</v>
      </c>
      <c r="C2915" t="s">
        <v>9030</v>
      </c>
      <c r="D2915" t="s">
        <v>7</v>
      </c>
      <c r="AG2915" t="str">
        <f>T("4011")</f>
        <v>4011</v>
      </c>
      <c r="AH2915" t="str">
        <f>T("20")</f>
        <v>20</v>
      </c>
      <c r="AK2915" t="str">
        <f>T("1270")</f>
        <v>1270</v>
      </c>
    </row>
    <row r="2916" spans="1:37" x14ac:dyDescent="0.3">
      <c r="A2916" t="s">
        <v>9031</v>
      </c>
      <c r="B2916" t="s">
        <v>9032</v>
      </c>
      <c r="C2916" t="s">
        <v>9033</v>
      </c>
      <c r="D2916" t="s">
        <v>7</v>
      </c>
      <c r="AG2916" t="str">
        <f>T("4191")</f>
        <v>4191</v>
      </c>
      <c r="AH2916" t="str">
        <f>T("22")</f>
        <v>22</v>
      </c>
      <c r="AK2916" t="str">
        <f>T("1795")</f>
        <v>1795</v>
      </c>
    </row>
    <row r="2917" spans="1:37" x14ac:dyDescent="0.3">
      <c r="A2917" t="s">
        <v>9034</v>
      </c>
      <c r="B2917" t="s">
        <v>9035</v>
      </c>
      <c r="C2917" t="s">
        <v>9036</v>
      </c>
      <c r="D2917" t="s">
        <v>7</v>
      </c>
      <c r="AG2917" t="str">
        <f>T("4427")</f>
        <v>4427</v>
      </c>
      <c r="AH2917" t="str">
        <f>T("23")</f>
        <v>23</v>
      </c>
      <c r="AK2917" t="str">
        <f>T("1893")</f>
        <v>1893</v>
      </c>
    </row>
    <row r="2918" spans="1:37" x14ac:dyDescent="0.3">
      <c r="A2918" t="s">
        <v>9037</v>
      </c>
      <c r="B2918" t="s">
        <v>9038</v>
      </c>
      <c r="C2918" t="s">
        <v>9039</v>
      </c>
      <c r="D2918" t="s">
        <v>7</v>
      </c>
      <c r="AG2918" t="str">
        <f>T("4526")</f>
        <v>4526</v>
      </c>
      <c r="AH2918" t="str">
        <f>T("24")</f>
        <v>24</v>
      </c>
      <c r="AK2918" t="str">
        <f>T("1944")</f>
        <v>1944</v>
      </c>
    </row>
    <row r="2919" spans="1:37" x14ac:dyDescent="0.3">
      <c r="A2919" t="s">
        <v>9040</v>
      </c>
      <c r="B2919" t="s">
        <v>9041</v>
      </c>
      <c r="C2919" t="s">
        <v>9042</v>
      </c>
      <c r="D2919" t="s">
        <v>7</v>
      </c>
      <c r="AG2919" t="str">
        <f>T("4012")</f>
        <v>4012</v>
      </c>
      <c r="AH2919" t="str">
        <f>T("20")</f>
        <v>20</v>
      </c>
      <c r="AK2919" t="str">
        <f>T("1146")</f>
        <v>1146</v>
      </c>
    </row>
    <row r="2920" spans="1:37" x14ac:dyDescent="0.3">
      <c r="A2920" t="s">
        <v>9043</v>
      </c>
      <c r="B2920" t="s">
        <v>9044</v>
      </c>
      <c r="C2920" t="s">
        <v>9045</v>
      </c>
      <c r="D2920" t="s">
        <v>7</v>
      </c>
      <c r="AG2920" t="str">
        <f>T("4242")</f>
        <v>4242</v>
      </c>
      <c r="AH2920" t="str">
        <f>T("22")</f>
        <v>22</v>
      </c>
      <c r="AK2920" t="str">
        <f>T("1585")</f>
        <v>1585</v>
      </c>
    </row>
    <row r="2921" spans="1:37" x14ac:dyDescent="0.3">
      <c r="A2921" t="s">
        <v>9046</v>
      </c>
      <c r="B2921" t="s">
        <v>9047</v>
      </c>
      <c r="C2921" t="s">
        <v>9048</v>
      </c>
      <c r="D2921" t="s">
        <v>7</v>
      </c>
      <c r="AG2921" t="str">
        <f>T("3725")</f>
        <v>3725</v>
      </c>
      <c r="AH2921" t="str">
        <f>T("13")</f>
        <v>13</v>
      </c>
      <c r="AK2921" t="str">
        <f>T("1149")</f>
        <v>1149</v>
      </c>
    </row>
    <row r="2922" spans="1:37" x14ac:dyDescent="0.3">
      <c r="A2922" t="s">
        <v>9049</v>
      </c>
      <c r="B2922" t="s">
        <v>9050</v>
      </c>
      <c r="C2922" t="s">
        <v>9051</v>
      </c>
      <c r="D2922" t="s">
        <v>7</v>
      </c>
      <c r="AG2922" t="str">
        <f>T("3893")</f>
        <v>3893</v>
      </c>
      <c r="AH2922" t="str">
        <f>T("18")</f>
        <v>18</v>
      </c>
      <c r="AK2922" t="str">
        <f>T("1142")</f>
        <v>1142</v>
      </c>
    </row>
    <row r="2923" spans="1:37" x14ac:dyDescent="0.3">
      <c r="A2923" t="s">
        <v>9052</v>
      </c>
      <c r="B2923" t="s">
        <v>9053</v>
      </c>
      <c r="C2923" t="s">
        <v>9054</v>
      </c>
      <c r="D2923" t="s">
        <v>7</v>
      </c>
      <c r="AG2923" t="str">
        <f>T("3317")</f>
        <v>3317</v>
      </c>
      <c r="AH2923" t="str">
        <f>T("5")</f>
        <v>5</v>
      </c>
      <c r="AI2923" t="str">
        <f>T("25")</f>
        <v>25</v>
      </c>
      <c r="AK2923" t="str">
        <f>T("1491")</f>
        <v>1491</v>
      </c>
    </row>
    <row r="2924" spans="1:37" x14ac:dyDescent="0.3">
      <c r="A2924" t="s">
        <v>9055</v>
      </c>
      <c r="B2924" t="s">
        <v>9056</v>
      </c>
      <c r="C2924" t="s">
        <v>9057</v>
      </c>
      <c r="D2924" t="s">
        <v>7</v>
      </c>
      <c r="AG2924" t="str">
        <f>T("3418")</f>
        <v>3418</v>
      </c>
      <c r="AH2924" t="str">
        <f>T("7")</f>
        <v>7</v>
      </c>
      <c r="AK2924" t="str">
        <f>T("1512")</f>
        <v>1512</v>
      </c>
    </row>
    <row r="2925" spans="1:37" x14ac:dyDescent="0.3">
      <c r="A2925" t="s">
        <v>9058</v>
      </c>
      <c r="B2925" t="s">
        <v>9059</v>
      </c>
      <c r="C2925" t="s">
        <v>9060</v>
      </c>
      <c r="D2925" t="s">
        <v>7</v>
      </c>
      <c r="AG2925" t="str">
        <f>T("4323")</f>
        <v>4323</v>
      </c>
      <c r="AH2925" t="str">
        <f>T("23")</f>
        <v>23</v>
      </c>
      <c r="AK2925" t="str">
        <f>T("1989")</f>
        <v>1989</v>
      </c>
    </row>
    <row r="2926" spans="1:37" x14ac:dyDescent="0.3">
      <c r="A2926" t="s">
        <v>9061</v>
      </c>
      <c r="B2926" t="s">
        <v>9062</v>
      </c>
      <c r="C2926" t="s">
        <v>9063</v>
      </c>
      <c r="D2926" t="s">
        <v>7</v>
      </c>
      <c r="AG2926" t="str">
        <f>T("3763")</f>
        <v>3763</v>
      </c>
      <c r="AH2926" t="str">
        <f>T("15")</f>
        <v>15</v>
      </c>
      <c r="AK2926" t="str">
        <f>T("1406")</f>
        <v>1406</v>
      </c>
    </row>
    <row r="2927" spans="1:37" x14ac:dyDescent="0.3">
      <c r="A2927" t="s">
        <v>9064</v>
      </c>
      <c r="B2927" t="s">
        <v>9065</v>
      </c>
      <c r="C2927" t="s">
        <v>9066</v>
      </c>
      <c r="D2927" t="s">
        <v>7</v>
      </c>
      <c r="AG2927" t="str">
        <f>T("4401")</f>
        <v>4401</v>
      </c>
      <c r="AH2927" t="str">
        <f>T("23")</f>
        <v>23</v>
      </c>
      <c r="AK2927" t="str">
        <f>T("2072")</f>
        <v>2072</v>
      </c>
    </row>
    <row r="2928" spans="1:37" x14ac:dyDescent="0.3">
      <c r="A2928" t="s">
        <v>9067</v>
      </c>
      <c r="B2928" t="s">
        <v>9068</v>
      </c>
      <c r="C2928" t="s">
        <v>9069</v>
      </c>
      <c r="D2928" t="s">
        <v>7</v>
      </c>
      <c r="AG2928" t="str">
        <f>T("3383")</f>
        <v>3383</v>
      </c>
      <c r="AH2928" t="s">
        <v>1308</v>
      </c>
      <c r="AK2928" t="str">
        <f>T("1313")</f>
        <v>1313</v>
      </c>
    </row>
    <row r="2929" spans="1:37" x14ac:dyDescent="0.3">
      <c r="A2929" t="s">
        <v>9070</v>
      </c>
      <c r="B2929" t="s">
        <v>9071</v>
      </c>
      <c r="C2929" t="s">
        <v>9072</v>
      </c>
      <c r="D2929" t="s">
        <v>7</v>
      </c>
      <c r="AG2929" t="str">
        <f>T("4641")</f>
        <v>4641</v>
      </c>
      <c r="AH2929" t="str">
        <f>T("24")</f>
        <v>24</v>
      </c>
      <c r="AK2929" t="str">
        <f>T("2108")</f>
        <v>2108</v>
      </c>
    </row>
    <row r="2930" spans="1:37" x14ac:dyDescent="0.3">
      <c r="A2930" t="s">
        <v>9073</v>
      </c>
      <c r="B2930" t="s">
        <v>9074</v>
      </c>
      <c r="C2930" t="s">
        <v>9075</v>
      </c>
      <c r="D2930" t="s">
        <v>7</v>
      </c>
      <c r="AG2930" t="str">
        <f>T("4387")</f>
        <v>4387</v>
      </c>
      <c r="AH2930" t="str">
        <f>T("23")</f>
        <v>23</v>
      </c>
      <c r="AK2930" t="str">
        <f>T("2106")</f>
        <v>2106</v>
      </c>
    </row>
    <row r="2931" spans="1:37" x14ac:dyDescent="0.3">
      <c r="A2931" t="s">
        <v>9076</v>
      </c>
      <c r="B2931" t="s">
        <v>9077</v>
      </c>
      <c r="C2931" t="s">
        <v>9078</v>
      </c>
      <c r="D2931" t="s">
        <v>7</v>
      </c>
      <c r="K2931" t="str">
        <f>T("182.20")</f>
        <v>182.20</v>
      </c>
      <c r="AG2931" t="str">
        <f>T("2845")</f>
        <v>2845</v>
      </c>
      <c r="AH2931" t="str">
        <f t="shared" ref="AH2931:AH2936" si="32">T("3")</f>
        <v>3</v>
      </c>
    </row>
    <row r="2932" spans="1:37" x14ac:dyDescent="0.3">
      <c r="A2932" t="s">
        <v>9079</v>
      </c>
      <c r="B2932" t="s">
        <v>9080</v>
      </c>
      <c r="C2932" t="s">
        <v>9081</v>
      </c>
      <c r="D2932" t="s">
        <v>7</v>
      </c>
      <c r="K2932" t="str">
        <f>T("182.20")</f>
        <v>182.20</v>
      </c>
      <c r="AG2932" t="str">
        <f>T("2846")</f>
        <v>2846</v>
      </c>
      <c r="AH2932" t="str">
        <f t="shared" si="32"/>
        <v>3</v>
      </c>
    </row>
    <row r="2933" spans="1:37" x14ac:dyDescent="0.3">
      <c r="A2933" t="s">
        <v>9082</v>
      </c>
      <c r="B2933" t="s">
        <v>9083</v>
      </c>
      <c r="C2933" t="s">
        <v>9084</v>
      </c>
      <c r="D2933" t="s">
        <v>9085</v>
      </c>
      <c r="K2933" t="str">
        <f>T("182.1")</f>
        <v>182.1</v>
      </c>
      <c r="L2933" t="str">
        <f>T("182.10")</f>
        <v>182.10</v>
      </c>
      <c r="AF2933" t="str">
        <f>T("101.22")</f>
        <v>101.22</v>
      </c>
      <c r="AG2933" t="str">
        <f>T("2844")</f>
        <v>2844</v>
      </c>
      <c r="AH2933" t="str">
        <f t="shared" si="32"/>
        <v>3</v>
      </c>
    </row>
    <row r="2934" spans="1:37" x14ac:dyDescent="0.3">
      <c r="A2934" t="s">
        <v>9086</v>
      </c>
      <c r="B2934" t="s">
        <v>9087</v>
      </c>
      <c r="C2934" t="s">
        <v>9088</v>
      </c>
      <c r="D2934" t="s">
        <v>7</v>
      </c>
      <c r="K2934" t="str">
        <f>T("182.20")</f>
        <v>182.20</v>
      </c>
      <c r="AG2934" t="str">
        <f>T("2266")</f>
        <v>2266</v>
      </c>
      <c r="AH2934" t="str">
        <f t="shared" si="32"/>
        <v>3</v>
      </c>
    </row>
    <row r="2935" spans="1:37" x14ac:dyDescent="0.3">
      <c r="A2935" t="s">
        <v>9089</v>
      </c>
      <c r="B2935" t="s">
        <v>9090</v>
      </c>
      <c r="C2935" t="s">
        <v>9091</v>
      </c>
      <c r="D2935" t="s">
        <v>7</v>
      </c>
      <c r="K2935" t="str">
        <f>T("182.10")</f>
        <v>182.10</v>
      </c>
      <c r="AG2935" t="str">
        <f>T("2847")</f>
        <v>2847</v>
      </c>
      <c r="AH2935" t="str">
        <f t="shared" si="32"/>
        <v>3</v>
      </c>
    </row>
    <row r="2936" spans="1:37" x14ac:dyDescent="0.3">
      <c r="A2936" t="s">
        <v>9092</v>
      </c>
      <c r="B2936" t="s">
        <v>9093</v>
      </c>
      <c r="C2936" t="s">
        <v>9094</v>
      </c>
      <c r="D2936" t="s">
        <v>286</v>
      </c>
      <c r="K2936" t="str">
        <f>T("172.230")</f>
        <v>172.230</v>
      </c>
      <c r="L2936" t="str">
        <f>T("182.20")</f>
        <v>182.20</v>
      </c>
      <c r="AG2936" t="str">
        <f>T("2848")</f>
        <v>2848</v>
      </c>
      <c r="AH2936" t="str">
        <f t="shared" si="32"/>
        <v>3</v>
      </c>
    </row>
    <row r="2937" spans="1:37" x14ac:dyDescent="0.3">
      <c r="A2937" t="s">
        <v>9095</v>
      </c>
      <c r="B2937" t="s">
        <v>9096</v>
      </c>
      <c r="C2937" t="s">
        <v>9097</v>
      </c>
      <c r="D2937" t="s">
        <v>7</v>
      </c>
      <c r="K2937" t="str">
        <f>T("182.10")</f>
        <v>182.10</v>
      </c>
    </row>
    <row r="2938" spans="1:37" x14ac:dyDescent="0.3">
      <c r="A2938" t="s">
        <v>9098</v>
      </c>
      <c r="B2938" t="s">
        <v>9099</v>
      </c>
      <c r="C2938" t="s">
        <v>9100</v>
      </c>
      <c r="D2938" t="s">
        <v>7</v>
      </c>
      <c r="K2938" t="str">
        <f>T("182.10")</f>
        <v>182.10</v>
      </c>
      <c r="AG2938" t="str">
        <f>T("2849")</f>
        <v>2849</v>
      </c>
      <c r="AH2938" t="str">
        <f>T("3")</f>
        <v>3</v>
      </c>
    </row>
    <row r="2939" spans="1:37" x14ac:dyDescent="0.3">
      <c r="A2939" t="s">
        <v>9101</v>
      </c>
      <c r="B2939" t="s">
        <v>9102</v>
      </c>
      <c r="C2939" t="s">
        <v>9103</v>
      </c>
      <c r="D2939" t="s">
        <v>7</v>
      </c>
      <c r="K2939" t="str">
        <f>T("182.20")</f>
        <v>182.20</v>
      </c>
      <c r="AG2939" t="str">
        <f>T("2851")</f>
        <v>2851</v>
      </c>
      <c r="AH2939" t="str">
        <f>T("3")</f>
        <v>3</v>
      </c>
    </row>
    <row r="2940" spans="1:37" x14ac:dyDescent="0.3">
      <c r="A2940" t="s">
        <v>9104</v>
      </c>
      <c r="B2940" t="s">
        <v>9105</v>
      </c>
      <c r="C2940" t="s">
        <v>9106</v>
      </c>
      <c r="D2940" t="s">
        <v>7</v>
      </c>
      <c r="K2940" t="str">
        <f>T("182.20")</f>
        <v>182.20</v>
      </c>
      <c r="AG2940" t="str">
        <f>T("2852")</f>
        <v>2852</v>
      </c>
      <c r="AH2940" t="str">
        <f>T("3")</f>
        <v>3</v>
      </c>
    </row>
    <row r="2941" spans="1:37" x14ac:dyDescent="0.3">
      <c r="A2941" t="s">
        <v>9107</v>
      </c>
      <c r="B2941" t="s">
        <v>9108</v>
      </c>
      <c r="C2941" t="s">
        <v>9109</v>
      </c>
      <c r="D2941" t="s">
        <v>7</v>
      </c>
      <c r="K2941" t="str">
        <f>T("182.10")</f>
        <v>182.10</v>
      </c>
      <c r="AF2941" t="str">
        <f>T("101.22")</f>
        <v>101.22</v>
      </c>
      <c r="AG2941" t="str">
        <f>T("2850")</f>
        <v>2850</v>
      </c>
      <c r="AH2941" t="str">
        <f>T("3")</f>
        <v>3</v>
      </c>
    </row>
    <row r="2942" spans="1:37" x14ac:dyDescent="0.3">
      <c r="A2942" t="s">
        <v>9110</v>
      </c>
      <c r="B2942" t="s">
        <v>9111</v>
      </c>
      <c r="C2942" t="s">
        <v>9112</v>
      </c>
      <c r="D2942" t="s">
        <v>74</v>
      </c>
      <c r="K2942" t="str">
        <f>T("184.1595")</f>
        <v>184.1595</v>
      </c>
      <c r="AF2942" t="str">
        <f>T("137.305")</f>
        <v>137.305</v>
      </c>
    </row>
    <row r="2943" spans="1:37" x14ac:dyDescent="0.3">
      <c r="A2943" t="s">
        <v>9113</v>
      </c>
      <c r="B2943" t="s">
        <v>9114</v>
      </c>
      <c r="C2943" t="s">
        <v>9115</v>
      </c>
      <c r="D2943" t="s">
        <v>15</v>
      </c>
      <c r="K2943" t="str">
        <f>T("184.1553")</f>
        <v>184.1553</v>
      </c>
    </row>
    <row r="2944" spans="1:37" x14ac:dyDescent="0.3">
      <c r="A2944" t="s">
        <v>9116</v>
      </c>
      <c r="B2944" t="s">
        <v>9117</v>
      </c>
      <c r="C2944" t="s">
        <v>9118</v>
      </c>
      <c r="D2944" t="s">
        <v>1949</v>
      </c>
      <c r="K2944" t="str">
        <f>T("172.560")</f>
        <v>172.560</v>
      </c>
      <c r="L2944" t="str">
        <f>T("172.892")</f>
        <v>172.892</v>
      </c>
      <c r="M2944" t="str">
        <f>T("173.315")</f>
        <v>173.315</v>
      </c>
      <c r="N2944" t="str">
        <f>T("173.370")</f>
        <v>173.370</v>
      </c>
      <c r="O2944" t="str">
        <f>T("178.1010")</f>
        <v>178.1010</v>
      </c>
    </row>
    <row r="2945" spans="1:37" x14ac:dyDescent="0.3">
      <c r="A2945" t="s">
        <v>9119</v>
      </c>
      <c r="B2945" t="s">
        <v>9120</v>
      </c>
      <c r="C2945" t="s">
        <v>9121</v>
      </c>
      <c r="K2945" t="str">
        <f>T("173.342")</f>
        <v>173.342</v>
      </c>
    </row>
    <row r="2946" spans="1:37" x14ac:dyDescent="0.3">
      <c r="A2946" t="s">
        <v>9122</v>
      </c>
      <c r="B2946" t="s">
        <v>9123</v>
      </c>
      <c r="C2946" t="s">
        <v>9124</v>
      </c>
      <c r="D2946" t="s">
        <v>7</v>
      </c>
      <c r="K2946" t="str">
        <f>T("172.515")</f>
        <v>172.515</v>
      </c>
      <c r="AG2946" t="str">
        <f>T("3557")</f>
        <v>3557</v>
      </c>
      <c r="AH2946" t="str">
        <f>T("11")</f>
        <v>11</v>
      </c>
      <c r="AI2946" t="str">
        <f>T("25")</f>
        <v>25</v>
      </c>
      <c r="AK2946" t="str">
        <f>T("973")</f>
        <v>973</v>
      </c>
    </row>
    <row r="2947" spans="1:37" x14ac:dyDescent="0.3">
      <c r="A2947" t="s">
        <v>9125</v>
      </c>
      <c r="B2947" t="s">
        <v>9126</v>
      </c>
      <c r="C2947" t="s">
        <v>9127</v>
      </c>
      <c r="D2947" t="s">
        <v>7</v>
      </c>
      <c r="AG2947" t="str">
        <f>T("4530")</f>
        <v>4530</v>
      </c>
      <c r="AH2947" t="str">
        <f>T("24")</f>
        <v>24</v>
      </c>
      <c r="AK2947" t="str">
        <f>T("1901")</f>
        <v>1901</v>
      </c>
    </row>
    <row r="2948" spans="1:37" x14ac:dyDescent="0.3">
      <c r="A2948" t="s">
        <v>9128</v>
      </c>
      <c r="B2948" t="s">
        <v>9129</v>
      </c>
      <c r="C2948" t="s">
        <v>9130</v>
      </c>
      <c r="D2948" t="s">
        <v>7</v>
      </c>
      <c r="AG2948" t="str">
        <f>T("4013")</f>
        <v>4013</v>
      </c>
      <c r="AH2948" t="str">
        <f>T("20")</f>
        <v>20</v>
      </c>
    </row>
    <row r="2949" spans="1:37" x14ac:dyDescent="0.3">
      <c r="A2949" t="s">
        <v>9131</v>
      </c>
      <c r="B2949" t="s">
        <v>9132</v>
      </c>
      <c r="C2949" t="s">
        <v>9133</v>
      </c>
      <c r="D2949" t="s">
        <v>4614</v>
      </c>
      <c r="K2949" t="str">
        <f>T("172.615")</f>
        <v>172.615</v>
      </c>
    </row>
    <row r="2950" spans="1:37" x14ac:dyDescent="0.3">
      <c r="A2950" t="s">
        <v>9134</v>
      </c>
      <c r="B2950" t="s">
        <v>9135</v>
      </c>
      <c r="C2950" t="s">
        <v>9136</v>
      </c>
      <c r="D2950" t="s">
        <v>15</v>
      </c>
      <c r="K2950" t="str">
        <f>T("172.515")</f>
        <v>172.515</v>
      </c>
      <c r="AG2950" t="str">
        <f>T("3561")</f>
        <v>3561</v>
      </c>
      <c r="AH2950" t="str">
        <f>T("11")</f>
        <v>11</v>
      </c>
      <c r="AK2950" t="str">
        <f>T("975")</f>
        <v>975</v>
      </c>
    </row>
    <row r="2951" spans="1:37" x14ac:dyDescent="0.3">
      <c r="A2951" t="s">
        <v>9137</v>
      </c>
      <c r="B2951" t="s">
        <v>9138</v>
      </c>
      <c r="C2951" t="s">
        <v>9139</v>
      </c>
      <c r="K2951" t="str">
        <f>T("173.357")</f>
        <v>173.357</v>
      </c>
    </row>
    <row r="2952" spans="1:37" x14ac:dyDescent="0.3">
      <c r="A2952" t="s">
        <v>9140</v>
      </c>
      <c r="B2952" t="s">
        <v>9141</v>
      </c>
      <c r="C2952" t="s">
        <v>9142</v>
      </c>
      <c r="D2952" t="s">
        <v>7</v>
      </c>
      <c r="K2952" t="str">
        <f>T("182.20")</f>
        <v>182.20</v>
      </c>
      <c r="AG2952" t="str">
        <f>T("2853")</f>
        <v>2853</v>
      </c>
      <c r="AH2952" t="str">
        <f>T("3")</f>
        <v>3</v>
      </c>
    </row>
    <row r="2953" spans="1:37" x14ac:dyDescent="0.3">
      <c r="A2953" t="s">
        <v>9143</v>
      </c>
      <c r="B2953" t="s">
        <v>9144</v>
      </c>
      <c r="C2953" t="s">
        <v>9145</v>
      </c>
      <c r="D2953" t="s">
        <v>7</v>
      </c>
      <c r="K2953" t="str">
        <f>T("182.20")</f>
        <v>182.20</v>
      </c>
      <c r="AG2953" t="str">
        <f>T("2854")</f>
        <v>2854</v>
      </c>
      <c r="AH2953" t="str">
        <f>T("3")</f>
        <v>3</v>
      </c>
    </row>
    <row r="2954" spans="1:37" x14ac:dyDescent="0.3">
      <c r="A2954" t="s">
        <v>9146</v>
      </c>
      <c r="B2954" t="s">
        <v>9147</v>
      </c>
      <c r="C2954" t="s">
        <v>9148</v>
      </c>
      <c r="D2954" t="s">
        <v>7</v>
      </c>
      <c r="K2954" t="str">
        <f>T("182.20")</f>
        <v>182.20</v>
      </c>
      <c r="AG2954" t="str">
        <f>T("2855")</f>
        <v>2855</v>
      </c>
      <c r="AH2954" t="str">
        <f>T("3")</f>
        <v>3</v>
      </c>
    </row>
    <row r="2955" spans="1:37" x14ac:dyDescent="0.3">
      <c r="A2955" t="s">
        <v>9149</v>
      </c>
      <c r="B2955" t="s">
        <v>9150</v>
      </c>
      <c r="C2955" t="s">
        <v>9151</v>
      </c>
      <c r="D2955" t="s">
        <v>9152</v>
      </c>
      <c r="K2955" t="str">
        <f>T("172.880")</f>
        <v>172.880</v>
      </c>
      <c r="L2955" t="str">
        <f>T("173.340")</f>
        <v>173.340</v>
      </c>
      <c r="M2955" t="str">
        <f>T("175.105")</f>
        <v>175.105</v>
      </c>
      <c r="N2955" t="str">
        <f>T("175.125")</f>
        <v>175.125</v>
      </c>
      <c r="O2955" t="str">
        <f>T("175.300")</f>
        <v>175.300</v>
      </c>
      <c r="P2955" t="str">
        <f>T("176.170")</f>
        <v>176.170</v>
      </c>
      <c r="Q2955" t="str">
        <f>T("176.180")</f>
        <v>176.180</v>
      </c>
      <c r="R2955" t="str">
        <f>T("176.200")</f>
        <v>176.200</v>
      </c>
      <c r="S2955" t="str">
        <f>T("176.210")</f>
        <v>176.210</v>
      </c>
      <c r="T2955" t="str">
        <f>T("177.1200")</f>
        <v>177.1200</v>
      </c>
      <c r="U2955" t="str">
        <f>T("177.2600")</f>
        <v>177.2600</v>
      </c>
      <c r="V2955" t="str">
        <f>T("177.2800")</f>
        <v>177.2800</v>
      </c>
      <c r="W2955" t="str">
        <f>T("178.3570")</f>
        <v>178.3570</v>
      </c>
      <c r="X2955" t="str">
        <f>T("178.3700")</f>
        <v>178.3700</v>
      </c>
    </row>
    <row r="2956" spans="1:37" x14ac:dyDescent="0.3">
      <c r="A2956" t="s">
        <v>9153</v>
      </c>
      <c r="B2956" t="s">
        <v>9154</v>
      </c>
      <c r="C2956" t="s">
        <v>9155</v>
      </c>
      <c r="D2956" t="s">
        <v>846</v>
      </c>
      <c r="K2956" t="str">
        <f>T("172.560")</f>
        <v>172.560</v>
      </c>
      <c r="L2956" t="str">
        <f>T("172.884")</f>
        <v>172.884</v>
      </c>
      <c r="M2956" t="str">
        <f>T("173.340")</f>
        <v>173.340</v>
      </c>
      <c r="N2956" t="str">
        <f>T("175.105")</f>
        <v>175.105</v>
      </c>
      <c r="O2956" t="str">
        <f>T("176.180")</f>
        <v>176.180</v>
      </c>
      <c r="P2956" t="str">
        <f>T("176.200")</f>
        <v>176.200</v>
      </c>
      <c r="Q2956" t="str">
        <f>T("176.210")</f>
        <v>176.210</v>
      </c>
      <c r="R2956" t="str">
        <f>T("177.1200")</f>
        <v>177.1200</v>
      </c>
      <c r="S2956" t="str">
        <f>T("178.3650")</f>
        <v>178.3650</v>
      </c>
    </row>
    <row r="2957" spans="1:37" x14ac:dyDescent="0.3">
      <c r="A2957" t="s">
        <v>9156</v>
      </c>
      <c r="B2957" t="s">
        <v>9157</v>
      </c>
      <c r="C2957" t="s">
        <v>9158</v>
      </c>
      <c r="D2957" t="s">
        <v>846</v>
      </c>
      <c r="K2957" t="str">
        <f>T("172.210")</f>
        <v>172.210</v>
      </c>
      <c r="L2957" t="str">
        <f>T("172.250")</f>
        <v>172.250</v>
      </c>
    </row>
    <row r="2958" spans="1:37" x14ac:dyDescent="0.3">
      <c r="A2958" t="s">
        <v>9159</v>
      </c>
      <c r="B2958" t="s">
        <v>9160</v>
      </c>
      <c r="C2958" t="s">
        <v>9161</v>
      </c>
      <c r="D2958" t="s">
        <v>9162</v>
      </c>
      <c r="K2958" t="str">
        <f>T("172.230")</f>
        <v>172.230</v>
      </c>
      <c r="L2958" t="str">
        <f>T("172.615")</f>
        <v>172.615</v>
      </c>
      <c r="M2958" t="str">
        <f>T("172.842")</f>
        <v>172.842</v>
      </c>
      <c r="N2958" t="str">
        <f>T("172.886")</f>
        <v>172.886</v>
      </c>
      <c r="O2958" t="str">
        <f>T("173.340")</f>
        <v>173.340</v>
      </c>
      <c r="P2958" t="str">
        <f>T("175.105")</f>
        <v>175.105</v>
      </c>
      <c r="Q2958" t="str">
        <f>T("175.320")</f>
        <v>175.320</v>
      </c>
      <c r="R2958" t="str">
        <f>T("176.170")</f>
        <v>176.170</v>
      </c>
      <c r="S2958" t="str">
        <f>T("176.200")</f>
        <v>176.200</v>
      </c>
      <c r="T2958" t="str">
        <f>T("177.1200")</f>
        <v>177.1200</v>
      </c>
      <c r="U2958" t="str">
        <f>T("177.2420")</f>
        <v>177.2420</v>
      </c>
      <c r="V2958" t="str">
        <f>T("177.2600")</f>
        <v>177.2600</v>
      </c>
      <c r="W2958" t="str">
        <f>T("177.2800")</f>
        <v>177.2800</v>
      </c>
      <c r="X2958" t="str">
        <f>T("178.3710")</f>
        <v>178.3710</v>
      </c>
      <c r="Y2958" t="str">
        <f>T("178.3910")</f>
        <v>178.3910</v>
      </c>
      <c r="Z2958" t="str">
        <f>T("179.45")</f>
        <v>179.45</v>
      </c>
      <c r="AF2958" t="str">
        <f>T("101.4")</f>
        <v>101.4</v>
      </c>
    </row>
    <row r="2959" spans="1:37" x14ac:dyDescent="0.3">
      <c r="A2959" t="s">
        <v>9163</v>
      </c>
      <c r="B2959" t="s">
        <v>9164</v>
      </c>
      <c r="C2959" t="s">
        <v>9165</v>
      </c>
      <c r="D2959" t="s">
        <v>9166</v>
      </c>
      <c r="K2959" t="str">
        <f>T("172.615")</f>
        <v>172.615</v>
      </c>
      <c r="L2959" t="str">
        <f>T("172.888")</f>
        <v>172.888</v>
      </c>
      <c r="M2959" t="str">
        <f>T("173.340")</f>
        <v>173.340</v>
      </c>
      <c r="N2959" t="str">
        <f>T("175.105")</f>
        <v>175.105</v>
      </c>
      <c r="O2959" t="str">
        <f>T("175.250")</f>
        <v>175.250</v>
      </c>
      <c r="P2959" t="str">
        <f>T("176.170")</f>
        <v>176.170</v>
      </c>
      <c r="Q2959" t="str">
        <f>T("177.1200")</f>
        <v>177.1200</v>
      </c>
      <c r="R2959" t="str">
        <f>T("178.3720")</f>
        <v>178.3720</v>
      </c>
    </row>
    <row r="2960" spans="1:37" x14ac:dyDescent="0.3">
      <c r="A2960" t="s">
        <v>9167</v>
      </c>
      <c r="B2960" t="s">
        <v>9168</v>
      </c>
      <c r="C2960" t="s">
        <v>9169</v>
      </c>
      <c r="D2960" t="s">
        <v>606</v>
      </c>
      <c r="E2960" t="str">
        <f>T("73.355")</f>
        <v>73.355</v>
      </c>
    </row>
    <row r="2961" spans="1:37" x14ac:dyDescent="0.3">
      <c r="A2961" t="s">
        <v>9170</v>
      </c>
      <c r="B2961" t="s">
        <v>9171</v>
      </c>
      <c r="C2961" t="s">
        <v>9172</v>
      </c>
      <c r="D2961" t="s">
        <v>7</v>
      </c>
      <c r="K2961" t="str">
        <f>T("172.515")</f>
        <v>172.515</v>
      </c>
      <c r="AG2961" t="str">
        <f>T("2856")</f>
        <v>2856</v>
      </c>
      <c r="AH2961" t="str">
        <f>T("3")</f>
        <v>3</v>
      </c>
      <c r="AK2961" t="str">
        <f>T("1328")</f>
        <v>1328</v>
      </c>
    </row>
    <row r="2962" spans="1:37" x14ac:dyDescent="0.3">
      <c r="A2962" t="s">
        <v>9173</v>
      </c>
      <c r="B2962" t="s">
        <v>9174</v>
      </c>
      <c r="C2962" t="s">
        <v>9175</v>
      </c>
      <c r="D2962" t="s">
        <v>7</v>
      </c>
      <c r="K2962" t="str">
        <f>T("172.515")</f>
        <v>172.515</v>
      </c>
      <c r="AG2962" t="str">
        <f>T("2857")</f>
        <v>2857</v>
      </c>
      <c r="AH2962" t="str">
        <f>T("3")</f>
        <v>3</v>
      </c>
      <c r="AI2962" t="str">
        <f>T("25")</f>
        <v>25</v>
      </c>
      <c r="AK2962" t="str">
        <f>T("989")</f>
        <v>989</v>
      </c>
    </row>
    <row r="2963" spans="1:37" x14ac:dyDescent="0.3">
      <c r="A2963" t="s">
        <v>9176</v>
      </c>
      <c r="B2963" t="s">
        <v>9177</v>
      </c>
      <c r="C2963" t="s">
        <v>9178</v>
      </c>
      <c r="D2963" t="s">
        <v>7</v>
      </c>
      <c r="K2963" t="str">
        <f>T("172.515")</f>
        <v>172.515</v>
      </c>
      <c r="AG2963" t="str">
        <f>T("2858")</f>
        <v>2858</v>
      </c>
      <c r="AH2963" t="str">
        <f>T("3")</f>
        <v>3</v>
      </c>
      <c r="AK2963" t="str">
        <f>T("987")</f>
        <v>987</v>
      </c>
    </row>
    <row r="2964" spans="1:37" x14ac:dyDescent="0.3">
      <c r="A2964" t="s">
        <v>9179</v>
      </c>
      <c r="B2964" t="s">
        <v>9180</v>
      </c>
      <c r="C2964" t="s">
        <v>9181</v>
      </c>
      <c r="D2964" t="s">
        <v>7</v>
      </c>
      <c r="AG2964" t="str">
        <f>T("3220")</f>
        <v>3220</v>
      </c>
      <c r="AH2964" t="str">
        <f>T("4")</f>
        <v>4</v>
      </c>
      <c r="AK2964" t="str">
        <f>T("1589")</f>
        <v>1589</v>
      </c>
    </row>
    <row r="2965" spans="1:37" x14ac:dyDescent="0.3">
      <c r="A2965" t="s">
        <v>9182</v>
      </c>
      <c r="B2965" t="s">
        <v>9183</v>
      </c>
      <c r="C2965" t="s">
        <v>9184</v>
      </c>
      <c r="D2965" t="s">
        <v>7</v>
      </c>
      <c r="K2965" t="str">
        <f>T("172.515")</f>
        <v>172.515</v>
      </c>
      <c r="AG2965" t="str">
        <f>T("2859")</f>
        <v>2859</v>
      </c>
      <c r="AH2965" t="str">
        <f>T("3")</f>
        <v>3</v>
      </c>
      <c r="AI2965" t="str">
        <f>T("25")</f>
        <v>25</v>
      </c>
      <c r="AK2965" t="str">
        <f>T("1543")</f>
        <v>1543</v>
      </c>
    </row>
    <row r="2966" spans="1:37" x14ac:dyDescent="0.3">
      <c r="A2966" t="s">
        <v>9185</v>
      </c>
      <c r="B2966" t="s">
        <v>9186</v>
      </c>
      <c r="C2966" t="s">
        <v>9187</v>
      </c>
      <c r="D2966" t="s">
        <v>15</v>
      </c>
      <c r="K2966" t="str">
        <f>T("172.515")</f>
        <v>172.515</v>
      </c>
      <c r="AG2966" t="str">
        <f>T("2860")</f>
        <v>2860</v>
      </c>
      <c r="AH2966" t="str">
        <f>T("3")</f>
        <v>3</v>
      </c>
    </row>
    <row r="2967" spans="1:37" x14ac:dyDescent="0.3">
      <c r="A2967" t="s">
        <v>9188</v>
      </c>
      <c r="B2967" t="s">
        <v>9189</v>
      </c>
      <c r="C2967" t="s">
        <v>9190</v>
      </c>
      <c r="D2967" t="s">
        <v>7</v>
      </c>
      <c r="K2967" t="str">
        <f>T("172.515")</f>
        <v>172.515</v>
      </c>
      <c r="AG2967" t="str">
        <f>T("2861")</f>
        <v>2861</v>
      </c>
      <c r="AH2967" t="str">
        <f>T("3")</f>
        <v>3</v>
      </c>
      <c r="AI2967" t="str">
        <f>T("25")</f>
        <v>25</v>
      </c>
      <c r="AK2967" t="str">
        <f>T("991")</f>
        <v>991</v>
      </c>
    </row>
    <row r="2968" spans="1:37" x14ac:dyDescent="0.3">
      <c r="A2968" t="s">
        <v>9191</v>
      </c>
      <c r="B2968" t="s">
        <v>9192</v>
      </c>
      <c r="C2968" t="s">
        <v>9193</v>
      </c>
      <c r="D2968" t="s">
        <v>7</v>
      </c>
      <c r="K2968" t="str">
        <f>T("172.515")</f>
        <v>172.515</v>
      </c>
      <c r="AG2968" t="str">
        <f>T("2863")</f>
        <v>2863</v>
      </c>
      <c r="AH2968" t="str">
        <f>T("3")</f>
        <v>3</v>
      </c>
      <c r="AK2968" t="str">
        <f>T("671")</f>
        <v>671</v>
      </c>
    </row>
    <row r="2969" spans="1:37" x14ac:dyDescent="0.3">
      <c r="A2969" t="s">
        <v>9194</v>
      </c>
      <c r="B2969" t="s">
        <v>9195</v>
      </c>
      <c r="C2969" t="s">
        <v>9196</v>
      </c>
      <c r="D2969" t="s">
        <v>7</v>
      </c>
      <c r="AG2969" t="str">
        <f>T("4314")</f>
        <v>4314</v>
      </c>
      <c r="AH2969" t="str">
        <f>T("23")</f>
        <v>23</v>
      </c>
    </row>
    <row r="2970" spans="1:37" x14ac:dyDescent="0.3">
      <c r="A2970" t="s">
        <v>9197</v>
      </c>
      <c r="B2970" t="s">
        <v>9198</v>
      </c>
      <c r="C2970" t="s">
        <v>9199</v>
      </c>
      <c r="D2970" t="s">
        <v>7</v>
      </c>
      <c r="K2970" t="str">
        <f>T("172.515")</f>
        <v>172.515</v>
      </c>
      <c r="AG2970" t="str">
        <f>T("2864")</f>
        <v>2864</v>
      </c>
      <c r="AH2970" t="str">
        <f>T("3")</f>
        <v>3</v>
      </c>
      <c r="AK2970" t="str">
        <f>T("988")</f>
        <v>988</v>
      </c>
    </row>
    <row r="2971" spans="1:37" x14ac:dyDescent="0.3">
      <c r="A2971" t="s">
        <v>9200</v>
      </c>
      <c r="B2971" t="s">
        <v>9201</v>
      </c>
      <c r="C2971" t="s">
        <v>9202</v>
      </c>
      <c r="D2971" t="s">
        <v>15</v>
      </c>
      <c r="AG2971" t="str">
        <f>T("2865")</f>
        <v>2865</v>
      </c>
      <c r="AH2971" t="str">
        <f>T("3")</f>
        <v>3</v>
      </c>
      <c r="AK2971" t="str">
        <f>T("1517")</f>
        <v>1517</v>
      </c>
    </row>
    <row r="2972" spans="1:37" x14ac:dyDescent="0.3">
      <c r="A2972" t="s">
        <v>9203</v>
      </c>
      <c r="B2972" t="s">
        <v>9204</v>
      </c>
      <c r="C2972" t="s">
        <v>9205</v>
      </c>
      <c r="D2972" t="s">
        <v>7</v>
      </c>
      <c r="AG2972" t="str">
        <f>T("3221")</f>
        <v>3221</v>
      </c>
      <c r="AH2972" t="str">
        <f>T("4")</f>
        <v>4</v>
      </c>
      <c r="AK2972" t="str">
        <f>T("995")</f>
        <v>995</v>
      </c>
    </row>
    <row r="2973" spans="1:37" x14ac:dyDescent="0.3">
      <c r="A2973" t="s">
        <v>9206</v>
      </c>
      <c r="B2973" t="s">
        <v>9207</v>
      </c>
      <c r="C2973" t="s">
        <v>9208</v>
      </c>
      <c r="D2973" t="s">
        <v>7</v>
      </c>
      <c r="K2973" t="str">
        <f>T("172.515")</f>
        <v>172.515</v>
      </c>
      <c r="AG2973" t="str">
        <f>T("2862")</f>
        <v>2862</v>
      </c>
      <c r="AH2973" t="str">
        <f>T("3")</f>
        <v>3</v>
      </c>
      <c r="AK2973" t="str">
        <f>T("992")</f>
        <v>992</v>
      </c>
    </row>
    <row r="2974" spans="1:37" x14ac:dyDescent="0.3">
      <c r="A2974" t="s">
        <v>9209</v>
      </c>
      <c r="B2974" t="s">
        <v>9210</v>
      </c>
      <c r="C2974" t="s">
        <v>9211</v>
      </c>
      <c r="D2974" t="s">
        <v>7</v>
      </c>
      <c r="AG2974" t="str">
        <f>T("4014")</f>
        <v>4014</v>
      </c>
      <c r="AH2974" t="str">
        <f>T("20")</f>
        <v>20</v>
      </c>
      <c r="AK2974" t="str">
        <f>T("1563")</f>
        <v>1563</v>
      </c>
    </row>
    <row r="2975" spans="1:37" x14ac:dyDescent="0.3">
      <c r="A2975" t="s">
        <v>9212</v>
      </c>
      <c r="B2975" t="s">
        <v>9213</v>
      </c>
      <c r="C2975" t="s">
        <v>9214</v>
      </c>
      <c r="D2975" t="s">
        <v>7</v>
      </c>
      <c r="K2975" t="str">
        <f>T("172.515")</f>
        <v>172.515</v>
      </c>
      <c r="AG2975" t="str">
        <f>T("2871")</f>
        <v>2871</v>
      </c>
      <c r="AH2975" t="str">
        <f>T("3")</f>
        <v>3</v>
      </c>
      <c r="AK2975" t="str">
        <f>T("994")</f>
        <v>994</v>
      </c>
    </row>
    <row r="2976" spans="1:37" x14ac:dyDescent="0.3">
      <c r="A2976" t="s">
        <v>9215</v>
      </c>
      <c r="B2976" t="s">
        <v>9216</v>
      </c>
      <c r="C2976" t="s">
        <v>9217</v>
      </c>
      <c r="D2976" t="s">
        <v>7</v>
      </c>
      <c r="K2976" t="str">
        <f>T("172.515")</f>
        <v>172.515</v>
      </c>
      <c r="AG2976" t="str">
        <f>T("3632")</f>
        <v>3632</v>
      </c>
      <c r="AH2976" t="str">
        <f>T("12")</f>
        <v>12</v>
      </c>
      <c r="AK2976" t="str">
        <f>T("993")</f>
        <v>993</v>
      </c>
    </row>
    <row r="2977" spans="1:37" x14ac:dyDescent="0.3">
      <c r="A2977" t="s">
        <v>9218</v>
      </c>
      <c r="B2977" t="s">
        <v>9219</v>
      </c>
      <c r="C2977" t="s">
        <v>9220</v>
      </c>
      <c r="D2977" t="s">
        <v>7</v>
      </c>
      <c r="AG2977" t="str">
        <f>T("3222")</f>
        <v>3222</v>
      </c>
      <c r="AH2977" t="str">
        <f>T("4")</f>
        <v>4</v>
      </c>
      <c r="AK2977" t="str">
        <f>T("996")</f>
        <v>996</v>
      </c>
    </row>
    <row r="2978" spans="1:37" x14ac:dyDescent="0.3">
      <c r="A2978" t="s">
        <v>9221</v>
      </c>
      <c r="B2978" t="s">
        <v>9222</v>
      </c>
      <c r="C2978" t="s">
        <v>9223</v>
      </c>
      <c r="D2978" t="s">
        <v>7</v>
      </c>
      <c r="K2978" t="str">
        <f>T("172.515")</f>
        <v>172.515</v>
      </c>
      <c r="AG2978" t="str">
        <f>T("2866")</f>
        <v>2866</v>
      </c>
      <c r="AH2978" t="str">
        <f>T("3")</f>
        <v>3</v>
      </c>
      <c r="AK2978" t="str">
        <f>T("999")</f>
        <v>999</v>
      </c>
    </row>
    <row r="2979" spans="1:37" x14ac:dyDescent="0.3">
      <c r="A2979" t="s">
        <v>9224</v>
      </c>
      <c r="B2979" t="s">
        <v>9225</v>
      </c>
      <c r="C2979" t="s">
        <v>9226</v>
      </c>
      <c r="D2979" t="s">
        <v>7</v>
      </c>
      <c r="K2979" t="str">
        <f>T("172.515")</f>
        <v>172.515</v>
      </c>
      <c r="AG2979" t="str">
        <f>T("2867")</f>
        <v>2867</v>
      </c>
      <c r="AH2979" t="str">
        <f>T("3")</f>
        <v>3</v>
      </c>
      <c r="AK2979" t="str">
        <f>T("990")</f>
        <v>990</v>
      </c>
    </row>
    <row r="2980" spans="1:37" x14ac:dyDescent="0.3">
      <c r="A2980" t="s">
        <v>9227</v>
      </c>
      <c r="B2980" t="s">
        <v>9228</v>
      </c>
      <c r="C2980" t="s">
        <v>9229</v>
      </c>
      <c r="D2980" t="s">
        <v>7</v>
      </c>
      <c r="K2980" t="str">
        <f>T("172.515")</f>
        <v>172.515</v>
      </c>
      <c r="AG2980" t="str">
        <f>T("2868")</f>
        <v>2868</v>
      </c>
      <c r="AH2980" t="str">
        <f>T("3")</f>
        <v>3</v>
      </c>
      <c r="AK2980" t="str">
        <f>T("905")</f>
        <v>905</v>
      </c>
    </row>
    <row r="2981" spans="1:37" x14ac:dyDescent="0.3">
      <c r="A2981" t="s">
        <v>9230</v>
      </c>
      <c r="B2981" t="s">
        <v>9231</v>
      </c>
      <c r="C2981" t="s">
        <v>9232</v>
      </c>
      <c r="D2981" t="s">
        <v>15</v>
      </c>
      <c r="K2981" t="str">
        <f>T("172.515")</f>
        <v>172.515</v>
      </c>
      <c r="AG2981" t="str">
        <f>T("2869")</f>
        <v>2869</v>
      </c>
      <c r="AH2981" t="str">
        <f>T("3")</f>
        <v>3</v>
      </c>
      <c r="AK2981" t="str">
        <f>T("998")</f>
        <v>998</v>
      </c>
    </row>
    <row r="2982" spans="1:37" x14ac:dyDescent="0.3">
      <c r="A2982" t="s">
        <v>9233</v>
      </c>
      <c r="B2982" t="s">
        <v>9234</v>
      </c>
      <c r="C2982" t="s">
        <v>9235</v>
      </c>
      <c r="D2982" t="s">
        <v>7</v>
      </c>
      <c r="K2982" t="str">
        <f>T("172.515")</f>
        <v>172.515</v>
      </c>
      <c r="AG2982" t="str">
        <f>T("2870")</f>
        <v>2870</v>
      </c>
      <c r="AH2982" t="str">
        <f>T("3")</f>
        <v>3</v>
      </c>
      <c r="AI2982" t="str">
        <f>T("25")</f>
        <v>25</v>
      </c>
      <c r="AK2982" t="str">
        <f>T("997")</f>
        <v>997</v>
      </c>
    </row>
    <row r="2983" spans="1:37" x14ac:dyDescent="0.3">
      <c r="A2983" t="s">
        <v>9236</v>
      </c>
      <c r="B2983" t="s">
        <v>9237</v>
      </c>
      <c r="C2983" t="s">
        <v>9238</v>
      </c>
      <c r="D2983" t="s">
        <v>7</v>
      </c>
      <c r="K2983" t="str">
        <f>T("175.105")</f>
        <v>175.105</v>
      </c>
      <c r="L2983" t="str">
        <f>T("175.300")</f>
        <v>175.300</v>
      </c>
      <c r="M2983" t="str">
        <f>T("175.380")</f>
        <v>175.380</v>
      </c>
      <c r="N2983" t="str">
        <f>T("175.390")</f>
        <v>175.390</v>
      </c>
      <c r="O2983" t="str">
        <f>T("176.170")</f>
        <v>176.170</v>
      </c>
      <c r="P2983" t="str">
        <f>T("177.1210")</f>
        <v>177.1210</v>
      </c>
      <c r="Q2983" t="str">
        <f>T("177.1580")</f>
        <v>177.1580</v>
      </c>
      <c r="R2983" t="str">
        <f>T("177.2410")</f>
        <v>177.2410</v>
      </c>
      <c r="S2983" t="str">
        <f>T("177.2600")</f>
        <v>177.2600</v>
      </c>
      <c r="AG2983" t="str">
        <f>T("3223")</f>
        <v>3223</v>
      </c>
      <c r="AH2983" t="str">
        <f>T("4")</f>
        <v>4</v>
      </c>
      <c r="AI2983" t="str">
        <f>T("25")</f>
        <v>25</v>
      </c>
      <c r="AK2983" t="str">
        <f>T("690")</f>
        <v>690</v>
      </c>
    </row>
    <row r="2984" spans="1:37" x14ac:dyDescent="0.3">
      <c r="A2984" t="s">
        <v>9239</v>
      </c>
      <c r="B2984" t="s">
        <v>9240</v>
      </c>
      <c r="C2984" t="s">
        <v>9241</v>
      </c>
      <c r="D2984" t="s">
        <v>199</v>
      </c>
      <c r="K2984" t="str">
        <f>T("173.25")</f>
        <v>173.25</v>
      </c>
    </row>
    <row r="2985" spans="1:37" x14ac:dyDescent="0.3">
      <c r="A2985" t="s">
        <v>9242</v>
      </c>
      <c r="B2985" t="s">
        <v>9243</v>
      </c>
      <c r="C2985" t="s">
        <v>9244</v>
      </c>
      <c r="D2985" t="s">
        <v>199</v>
      </c>
      <c r="K2985" t="str">
        <f>T("173.25")</f>
        <v>173.25</v>
      </c>
    </row>
    <row r="2986" spans="1:37" x14ac:dyDescent="0.3">
      <c r="A2986" t="s">
        <v>9245</v>
      </c>
      <c r="B2986" t="s">
        <v>9246</v>
      </c>
      <c r="C2986" t="s">
        <v>9247</v>
      </c>
      <c r="D2986" t="s">
        <v>199</v>
      </c>
      <c r="K2986" t="str">
        <f>T("173.25")</f>
        <v>173.25</v>
      </c>
    </row>
    <row r="2987" spans="1:37" x14ac:dyDescent="0.3">
      <c r="A2987" t="s">
        <v>9248</v>
      </c>
      <c r="B2987" t="s">
        <v>9249</v>
      </c>
      <c r="C2987" t="s">
        <v>9250</v>
      </c>
      <c r="D2987" t="s">
        <v>199</v>
      </c>
      <c r="K2987" t="str">
        <f>T("173.25")</f>
        <v>173.25</v>
      </c>
    </row>
    <row r="2988" spans="1:37" x14ac:dyDescent="0.3">
      <c r="A2988" t="s">
        <v>9251</v>
      </c>
      <c r="B2988" t="s">
        <v>9252</v>
      </c>
      <c r="C2988" t="s">
        <v>9253</v>
      </c>
      <c r="D2988" t="s">
        <v>7</v>
      </c>
      <c r="K2988" t="str">
        <f>T("172.515")</f>
        <v>172.515</v>
      </c>
      <c r="AG2988" t="str">
        <f>T("2872")</f>
        <v>2872</v>
      </c>
      <c r="AH2988" t="str">
        <f>T("3")</f>
        <v>3</v>
      </c>
      <c r="AK2988" t="str">
        <f>T("1026")</f>
        <v>1026</v>
      </c>
    </row>
    <row r="2989" spans="1:37" x14ac:dyDescent="0.3">
      <c r="A2989" t="s">
        <v>9254</v>
      </c>
      <c r="B2989" t="s">
        <v>9255</v>
      </c>
      <c r="C2989" t="s">
        <v>9256</v>
      </c>
      <c r="D2989" t="s">
        <v>7</v>
      </c>
      <c r="K2989" t="str">
        <f>T("172.515")</f>
        <v>172.515</v>
      </c>
      <c r="AG2989" t="str">
        <f>T("2873")</f>
        <v>2873</v>
      </c>
      <c r="AH2989" t="str">
        <f>T("3")</f>
        <v>3</v>
      </c>
      <c r="AI2989" t="str">
        <f>T("25")</f>
        <v>25</v>
      </c>
      <c r="AK2989" t="str">
        <f>T("1028")</f>
        <v>1028</v>
      </c>
    </row>
    <row r="2990" spans="1:37" x14ac:dyDescent="0.3">
      <c r="A2990" t="s">
        <v>9257</v>
      </c>
      <c r="B2990" t="s">
        <v>9258</v>
      </c>
      <c r="C2990" t="s">
        <v>9259</v>
      </c>
      <c r="D2990" t="s">
        <v>7</v>
      </c>
      <c r="AG2990" t="str">
        <f>T("4618")</f>
        <v>4618</v>
      </c>
      <c r="AH2990" t="str">
        <f>T("24")</f>
        <v>24</v>
      </c>
    </row>
    <row r="2991" spans="1:37" x14ac:dyDescent="0.3">
      <c r="A2991" t="s">
        <v>9260</v>
      </c>
      <c r="B2991" t="s">
        <v>9261</v>
      </c>
      <c r="C2991" t="s">
        <v>9262</v>
      </c>
      <c r="D2991" t="s">
        <v>15</v>
      </c>
      <c r="K2991" t="str">
        <f>T("172.515")</f>
        <v>172.515</v>
      </c>
      <c r="AG2991" t="str">
        <f>T("2874")</f>
        <v>2874</v>
      </c>
      <c r="AH2991" t="str">
        <f>T("3")</f>
        <v>3</v>
      </c>
      <c r="AK2991" t="str">
        <f>T("1002")</f>
        <v>1002</v>
      </c>
    </row>
    <row r="2992" spans="1:37" x14ac:dyDescent="0.3">
      <c r="A2992" t="s">
        <v>9263</v>
      </c>
      <c r="B2992" t="s">
        <v>9264</v>
      </c>
      <c r="C2992" t="s">
        <v>9265</v>
      </c>
      <c r="D2992" t="s">
        <v>7</v>
      </c>
      <c r="K2992" t="str">
        <f>T("172.515")</f>
        <v>172.515</v>
      </c>
      <c r="AG2992" t="str">
        <f>T("2875")</f>
        <v>2875</v>
      </c>
      <c r="AH2992" t="str">
        <f>T("3")</f>
        <v>3</v>
      </c>
      <c r="AK2992" t="str">
        <f>T("1005")</f>
        <v>1005</v>
      </c>
    </row>
    <row r="2993" spans="1:37" x14ac:dyDescent="0.3">
      <c r="A2993" t="s">
        <v>9266</v>
      </c>
      <c r="B2993" t="s">
        <v>9267</v>
      </c>
      <c r="C2993" t="s">
        <v>9268</v>
      </c>
      <c r="D2993" t="s">
        <v>7</v>
      </c>
      <c r="AG2993" t="str">
        <f>T("4625")</f>
        <v>4625</v>
      </c>
      <c r="AH2993" t="str">
        <f>T("24")</f>
        <v>24</v>
      </c>
    </row>
    <row r="2994" spans="1:37" x14ac:dyDescent="0.3">
      <c r="A2994" t="s">
        <v>9269</v>
      </c>
      <c r="B2994" t="s">
        <v>9270</v>
      </c>
      <c r="C2994" t="s">
        <v>9271</v>
      </c>
      <c r="D2994" t="s">
        <v>7</v>
      </c>
      <c r="AG2994" t="str">
        <f>T("3384")</f>
        <v>3384</v>
      </c>
      <c r="AH2994" t="str">
        <f>T("6")</f>
        <v>6</v>
      </c>
      <c r="AK2994" t="str">
        <f>T("1006")</f>
        <v>1006</v>
      </c>
    </row>
    <row r="2995" spans="1:37" x14ac:dyDescent="0.3">
      <c r="A2995" t="s">
        <v>9272</v>
      </c>
      <c r="B2995" t="s">
        <v>9273</v>
      </c>
      <c r="C2995" t="s">
        <v>9274</v>
      </c>
      <c r="D2995" t="s">
        <v>7</v>
      </c>
      <c r="K2995" t="str">
        <f>T("172.515")</f>
        <v>172.515</v>
      </c>
      <c r="AG2995" t="str">
        <f>T("2876")</f>
        <v>2876</v>
      </c>
      <c r="AH2995" t="str">
        <f>T("3")</f>
        <v>3</v>
      </c>
      <c r="AI2995" t="str">
        <f>T("25")</f>
        <v>25</v>
      </c>
      <c r="AK2995" t="str">
        <f>T("1003")</f>
        <v>1003</v>
      </c>
    </row>
    <row r="2996" spans="1:37" x14ac:dyDescent="0.3">
      <c r="A2996" t="s">
        <v>9275</v>
      </c>
      <c r="B2996" t="s">
        <v>9276</v>
      </c>
      <c r="C2996" t="s">
        <v>9277</v>
      </c>
      <c r="D2996" t="s">
        <v>7</v>
      </c>
      <c r="K2996" t="str">
        <f>T("172.515")</f>
        <v>172.515</v>
      </c>
      <c r="AG2996" t="str">
        <f>T("2877")</f>
        <v>2877</v>
      </c>
      <c r="AH2996" t="str">
        <f>T("3")</f>
        <v>3</v>
      </c>
      <c r="AK2996" t="str">
        <f>T("1004")</f>
        <v>1004</v>
      </c>
    </row>
    <row r="2997" spans="1:37" x14ac:dyDescent="0.3">
      <c r="A2997" t="s">
        <v>9278</v>
      </c>
      <c r="B2997" t="s">
        <v>9279</v>
      </c>
      <c r="C2997" t="s">
        <v>9280</v>
      </c>
      <c r="D2997" t="s">
        <v>7</v>
      </c>
      <c r="AG2997" t="str">
        <f>T("4629")</f>
        <v>4629</v>
      </c>
      <c r="AH2997" t="str">
        <f>T("24")</f>
        <v>24</v>
      </c>
    </row>
    <row r="2998" spans="1:37" x14ac:dyDescent="0.3">
      <c r="A2998" t="s">
        <v>9281</v>
      </c>
      <c r="B2998" t="s">
        <v>9282</v>
      </c>
      <c r="C2998" t="s">
        <v>9283</v>
      </c>
      <c r="D2998" t="s">
        <v>7</v>
      </c>
      <c r="AG2998" t="str">
        <f>T("3958")</f>
        <v>3958</v>
      </c>
      <c r="AH2998" t="str">
        <f>T("19")</f>
        <v>19</v>
      </c>
      <c r="AK2998" t="str">
        <f>T("734")</f>
        <v>734</v>
      </c>
    </row>
    <row r="2999" spans="1:37" x14ac:dyDescent="0.3">
      <c r="A2999" t="s">
        <v>9284</v>
      </c>
      <c r="B2999" t="s">
        <v>9285</v>
      </c>
      <c r="C2999" t="s">
        <v>9286</v>
      </c>
      <c r="D2999" t="s">
        <v>7</v>
      </c>
      <c r="K2999" t="str">
        <f>T("172.515")</f>
        <v>172.515</v>
      </c>
      <c r="AG2999" t="str">
        <f>T("2878")</f>
        <v>2878</v>
      </c>
      <c r="AH2999" t="str">
        <f>T("3")</f>
        <v>3</v>
      </c>
      <c r="AI2999" t="str">
        <f>T("25")</f>
        <v>25</v>
      </c>
      <c r="AK2999" t="str">
        <f>T("1007")</f>
        <v>1007</v>
      </c>
    </row>
    <row r="3000" spans="1:37" x14ac:dyDescent="0.3">
      <c r="A3000" t="s">
        <v>9287</v>
      </c>
      <c r="B3000" t="s">
        <v>9288</v>
      </c>
      <c r="C3000" t="s">
        <v>9289</v>
      </c>
      <c r="D3000" t="s">
        <v>15</v>
      </c>
      <c r="AG3000" t="str">
        <f>T("3726")</f>
        <v>3726</v>
      </c>
      <c r="AH3000" t="str">
        <f>T("13")</f>
        <v>13</v>
      </c>
      <c r="AK3000" t="str">
        <f>T("1432")</f>
        <v>1432</v>
      </c>
    </row>
    <row r="3001" spans="1:37" x14ac:dyDescent="0.3">
      <c r="A3001" t="s">
        <v>9290</v>
      </c>
      <c r="B3001" t="s">
        <v>9291</v>
      </c>
      <c r="C3001" t="s">
        <v>9292</v>
      </c>
      <c r="D3001" t="s">
        <v>213</v>
      </c>
      <c r="K3001" t="str">
        <f>T("172.320")</f>
        <v>172.320</v>
      </c>
      <c r="AG3001" t="str">
        <f>T("3585")</f>
        <v>3585</v>
      </c>
      <c r="AH3001" t="str">
        <f>T("11")</f>
        <v>11</v>
      </c>
      <c r="AK3001" t="str">
        <f>T("1428")</f>
        <v>1428</v>
      </c>
    </row>
    <row r="3002" spans="1:37" x14ac:dyDescent="0.3">
      <c r="A3002" t="s">
        <v>9293</v>
      </c>
      <c r="B3002" t="s">
        <v>9294</v>
      </c>
      <c r="C3002" t="s">
        <v>9295</v>
      </c>
      <c r="D3002" t="s">
        <v>7</v>
      </c>
      <c r="K3002" t="str">
        <f>T("172.515")</f>
        <v>172.515</v>
      </c>
      <c r="AG3002" t="str">
        <f>T("2879")</f>
        <v>2879</v>
      </c>
      <c r="AH3002" t="str">
        <f>T("3")</f>
        <v>3</v>
      </c>
      <c r="AK3002" t="str">
        <f>T("815")</f>
        <v>815</v>
      </c>
    </row>
    <row r="3003" spans="1:37" x14ac:dyDescent="0.3">
      <c r="A3003" t="s">
        <v>9296</v>
      </c>
      <c r="B3003" t="s">
        <v>9297</v>
      </c>
      <c r="C3003" t="s">
        <v>9298</v>
      </c>
      <c r="D3003" t="s">
        <v>7</v>
      </c>
      <c r="AG3003" t="str">
        <f>T("3224")</f>
        <v>3224</v>
      </c>
      <c r="AH3003" t="str">
        <f>T("4")</f>
        <v>4</v>
      </c>
      <c r="AI3003" t="str">
        <f>T("25")</f>
        <v>25</v>
      </c>
      <c r="AK3003" t="str">
        <f>T("1474")</f>
        <v>1474</v>
      </c>
    </row>
    <row r="3004" spans="1:37" x14ac:dyDescent="0.3">
      <c r="A3004" t="s">
        <v>9299</v>
      </c>
      <c r="B3004" t="s">
        <v>9300</v>
      </c>
      <c r="C3004" t="s">
        <v>9301</v>
      </c>
      <c r="D3004" t="s">
        <v>7</v>
      </c>
      <c r="K3004" t="str">
        <f>T("172.515")</f>
        <v>172.515</v>
      </c>
      <c r="AG3004" t="str">
        <f>T("2880")</f>
        <v>2880</v>
      </c>
      <c r="AH3004" t="str">
        <f>T("3")</f>
        <v>3</v>
      </c>
      <c r="AI3004" t="str">
        <f>T("25")</f>
        <v>25</v>
      </c>
      <c r="AK3004" t="str">
        <f>T("819")</f>
        <v>819</v>
      </c>
    </row>
    <row r="3005" spans="1:37" x14ac:dyDescent="0.3">
      <c r="A3005" t="s">
        <v>9302</v>
      </c>
      <c r="B3005" t="s">
        <v>9303</v>
      </c>
      <c r="C3005" t="s">
        <v>9304</v>
      </c>
      <c r="D3005" t="s">
        <v>7</v>
      </c>
      <c r="K3005" t="str">
        <f>T("172.515")</f>
        <v>172.515</v>
      </c>
      <c r="AG3005" t="str">
        <f>T("2881")</f>
        <v>2881</v>
      </c>
      <c r="AH3005" t="str">
        <f>T("3")</f>
        <v>3</v>
      </c>
      <c r="AI3005" t="str">
        <f>T("25")</f>
        <v>25</v>
      </c>
      <c r="AK3005" t="str">
        <f>T("820")</f>
        <v>820</v>
      </c>
    </row>
    <row r="3006" spans="1:37" x14ac:dyDescent="0.3">
      <c r="A3006" t="s">
        <v>9305</v>
      </c>
      <c r="B3006" t="s">
        <v>9306</v>
      </c>
      <c r="C3006" t="s">
        <v>9307</v>
      </c>
      <c r="D3006" t="s">
        <v>7</v>
      </c>
      <c r="K3006" t="str">
        <f>T("172.515")</f>
        <v>172.515</v>
      </c>
      <c r="AG3006" t="str">
        <f>T("2882")</f>
        <v>2882</v>
      </c>
      <c r="AH3006" t="str">
        <f>T("3")</f>
        <v>3</v>
      </c>
      <c r="AK3006" t="str">
        <f>T("816")</f>
        <v>816</v>
      </c>
    </row>
    <row r="3007" spans="1:37" x14ac:dyDescent="0.3">
      <c r="A3007" t="s">
        <v>9308</v>
      </c>
      <c r="B3007" t="s">
        <v>9309</v>
      </c>
      <c r="C3007" t="s">
        <v>9310</v>
      </c>
      <c r="D3007" t="s">
        <v>7</v>
      </c>
      <c r="AG3007" t="str">
        <f>T("4621")</f>
        <v>4621</v>
      </c>
      <c r="AH3007" t="str">
        <f>T("24")</f>
        <v>24</v>
      </c>
      <c r="AK3007" t="str">
        <f>T("2019")</f>
        <v>2019</v>
      </c>
    </row>
    <row r="3008" spans="1:37" x14ac:dyDescent="0.3">
      <c r="A3008" t="s">
        <v>9311</v>
      </c>
      <c r="B3008" t="s">
        <v>9312</v>
      </c>
      <c r="C3008" t="s">
        <v>9313</v>
      </c>
      <c r="D3008" t="s">
        <v>7</v>
      </c>
      <c r="AG3008" t="str">
        <f>T("3468")</f>
        <v>3468</v>
      </c>
      <c r="AH3008" t="str">
        <f>T("9")</f>
        <v>9</v>
      </c>
      <c r="AK3008" t="str">
        <f>T("752")</f>
        <v>752</v>
      </c>
    </row>
    <row r="3009" spans="1:37" x14ac:dyDescent="0.3">
      <c r="A3009" t="s">
        <v>9314</v>
      </c>
      <c r="B3009" t="s">
        <v>9315</v>
      </c>
      <c r="C3009" t="s">
        <v>9316</v>
      </c>
      <c r="D3009" t="s">
        <v>15</v>
      </c>
      <c r="AG3009" t="str">
        <f>T("3225")</f>
        <v>3225</v>
      </c>
      <c r="AH3009" t="str">
        <f>T("4")</f>
        <v>4</v>
      </c>
      <c r="AK3009" t="str">
        <f>T("578")</f>
        <v>578</v>
      </c>
    </row>
    <row r="3010" spans="1:37" x14ac:dyDescent="0.3">
      <c r="A3010" t="s">
        <v>9317</v>
      </c>
      <c r="B3010" t="s">
        <v>9318</v>
      </c>
      <c r="C3010" t="s">
        <v>9319</v>
      </c>
      <c r="D3010" t="s">
        <v>7</v>
      </c>
      <c r="AG3010" t="str">
        <f>T("4061")</f>
        <v>4061</v>
      </c>
      <c r="AH3010" t="str">
        <f>T("21")</f>
        <v>21</v>
      </c>
      <c r="AK3010" t="str">
        <f>T("1665")</f>
        <v>1665</v>
      </c>
    </row>
    <row r="3011" spans="1:37" x14ac:dyDescent="0.3">
      <c r="A3011" t="s">
        <v>9320</v>
      </c>
      <c r="B3011" t="s">
        <v>9321</v>
      </c>
      <c r="C3011" t="s">
        <v>9322</v>
      </c>
      <c r="D3011" t="s">
        <v>7</v>
      </c>
      <c r="AG3011" t="str">
        <f>T("3894")</f>
        <v>3894</v>
      </c>
      <c r="AH3011" t="str">
        <f>T("18")</f>
        <v>18</v>
      </c>
      <c r="AK3011" t="str">
        <f>T("527")</f>
        <v>527</v>
      </c>
    </row>
    <row r="3012" spans="1:37" x14ac:dyDescent="0.3">
      <c r="A3012" t="s">
        <v>9323</v>
      </c>
      <c r="B3012" t="s">
        <v>9324</v>
      </c>
      <c r="C3012" t="s">
        <v>9325</v>
      </c>
      <c r="D3012" t="s">
        <v>7</v>
      </c>
      <c r="AG3012" t="str">
        <f>T("4194")</f>
        <v>4194</v>
      </c>
      <c r="AH3012" t="str">
        <f>T("22")</f>
        <v>22</v>
      </c>
    </row>
    <row r="3013" spans="1:37" x14ac:dyDescent="0.3">
      <c r="A3013" t="s">
        <v>9326</v>
      </c>
      <c r="B3013" t="s">
        <v>9327</v>
      </c>
      <c r="C3013" t="s">
        <v>9328</v>
      </c>
      <c r="D3013" t="s">
        <v>7</v>
      </c>
      <c r="K3013" t="str">
        <f>T("172.515")</f>
        <v>172.515</v>
      </c>
      <c r="AG3013" t="str">
        <f>T("2883")</f>
        <v>2883</v>
      </c>
      <c r="AH3013" t="str">
        <f>T("3")</f>
        <v>3</v>
      </c>
      <c r="AI3013" t="str">
        <f>T("25")</f>
        <v>25</v>
      </c>
      <c r="AK3013" t="str">
        <f>T("1649")</f>
        <v>1649</v>
      </c>
    </row>
    <row r="3014" spans="1:37" x14ac:dyDescent="0.3">
      <c r="A3014" t="s">
        <v>9329</v>
      </c>
      <c r="B3014" t="s">
        <v>9330</v>
      </c>
      <c r="C3014" t="s">
        <v>9331</v>
      </c>
      <c r="D3014" t="s">
        <v>15</v>
      </c>
      <c r="AG3014" t="str">
        <f>T("3727")</f>
        <v>3727</v>
      </c>
      <c r="AH3014" t="str">
        <f>T("13")</f>
        <v>13</v>
      </c>
      <c r="AK3014" t="str">
        <f>T("1568")</f>
        <v>1568</v>
      </c>
    </row>
    <row r="3015" spans="1:37" x14ac:dyDescent="0.3">
      <c r="A3015" t="s">
        <v>9332</v>
      </c>
      <c r="B3015" t="s">
        <v>9333</v>
      </c>
      <c r="C3015" t="s">
        <v>9334</v>
      </c>
      <c r="D3015" t="s">
        <v>7</v>
      </c>
      <c r="AG3015" t="str">
        <f>T("3618")</f>
        <v>3618</v>
      </c>
      <c r="AH3015" t="str">
        <f>T("12")</f>
        <v>12</v>
      </c>
      <c r="AK3015" t="str">
        <f>T("675")</f>
        <v>675</v>
      </c>
    </row>
    <row r="3016" spans="1:37" x14ac:dyDescent="0.3">
      <c r="A3016" t="s">
        <v>9335</v>
      </c>
      <c r="B3016" t="s">
        <v>9336</v>
      </c>
      <c r="C3016" t="s">
        <v>9337</v>
      </c>
      <c r="D3016" t="s">
        <v>7</v>
      </c>
      <c r="AG3016" t="str">
        <f>T("3519")</f>
        <v>3519</v>
      </c>
      <c r="AH3016" t="str">
        <f>T("10")</f>
        <v>10</v>
      </c>
      <c r="AK3016" t="str">
        <f>T("1476")</f>
        <v>1476</v>
      </c>
    </row>
    <row r="3017" spans="1:37" x14ac:dyDescent="0.3">
      <c r="A3017" t="s">
        <v>9338</v>
      </c>
      <c r="B3017" t="s">
        <v>9339</v>
      </c>
      <c r="C3017" t="s">
        <v>9340</v>
      </c>
      <c r="D3017" t="s">
        <v>7</v>
      </c>
      <c r="AG3017" t="str">
        <f>T("3318")</f>
        <v>3318</v>
      </c>
      <c r="AH3017" t="str">
        <f>T("5")</f>
        <v>5</v>
      </c>
      <c r="AK3017" t="str">
        <f>T("679")</f>
        <v>679</v>
      </c>
    </row>
    <row r="3018" spans="1:37" x14ac:dyDescent="0.3">
      <c r="A3018" t="s">
        <v>9341</v>
      </c>
      <c r="B3018" t="s">
        <v>9342</v>
      </c>
      <c r="C3018" t="s">
        <v>9343</v>
      </c>
      <c r="D3018" t="s">
        <v>9344</v>
      </c>
      <c r="K3018" t="str">
        <f>T("175.105")</f>
        <v>175.105</v>
      </c>
      <c r="L3018" t="str">
        <f>T("176.210")</f>
        <v>176.210</v>
      </c>
      <c r="M3018" t="str">
        <f>T("177.1632")</f>
        <v>177.1632</v>
      </c>
      <c r="N3018" t="str">
        <f>T("177.2600")</f>
        <v>177.2600</v>
      </c>
      <c r="O3018" t="str">
        <f>T("178.1010")</f>
        <v>178.1010</v>
      </c>
      <c r="AG3018" t="str">
        <f>T("3959")</f>
        <v>3959</v>
      </c>
      <c r="AH3018" t="str">
        <f>T("19")</f>
        <v>19</v>
      </c>
      <c r="AK3018" t="str">
        <f>T("735")</f>
        <v>735</v>
      </c>
    </row>
    <row r="3019" spans="1:37" x14ac:dyDescent="0.3">
      <c r="A3019" t="s">
        <v>9345</v>
      </c>
      <c r="B3019" t="s">
        <v>9346</v>
      </c>
      <c r="C3019" t="s">
        <v>9347</v>
      </c>
      <c r="D3019" t="s">
        <v>7</v>
      </c>
      <c r="AG3019" t="str">
        <f>T("3226")</f>
        <v>3226</v>
      </c>
      <c r="AH3019" t="str">
        <f>T("4")</f>
        <v>4</v>
      </c>
      <c r="AI3019" t="str">
        <f>T("25")</f>
        <v>25</v>
      </c>
      <c r="AK3019" t="str">
        <f>T("833")</f>
        <v>833</v>
      </c>
    </row>
    <row r="3020" spans="1:37" x14ac:dyDescent="0.3">
      <c r="A3020" t="s">
        <v>9348</v>
      </c>
      <c r="B3020" t="s">
        <v>9349</v>
      </c>
      <c r="C3020" t="s">
        <v>9350</v>
      </c>
      <c r="D3020" t="s">
        <v>7</v>
      </c>
      <c r="K3020" t="str">
        <f>T("172.515")</f>
        <v>172.515</v>
      </c>
      <c r="AG3020" t="str">
        <f>T("2884")</f>
        <v>2884</v>
      </c>
      <c r="AH3020" t="str">
        <f>T("3")</f>
        <v>3</v>
      </c>
      <c r="AK3020" t="str">
        <f>T("822")</f>
        <v>822</v>
      </c>
    </row>
    <row r="3021" spans="1:37" x14ac:dyDescent="0.3">
      <c r="A3021" t="s">
        <v>9351</v>
      </c>
      <c r="B3021" t="s">
        <v>9352</v>
      </c>
      <c r="C3021" t="s">
        <v>9353</v>
      </c>
      <c r="D3021" t="s">
        <v>7</v>
      </c>
      <c r="K3021" t="str">
        <f>T("172.515")</f>
        <v>172.515</v>
      </c>
      <c r="AG3021" t="str">
        <f>T("2885")</f>
        <v>2885</v>
      </c>
      <c r="AH3021" t="str">
        <f>T("3")</f>
        <v>3</v>
      </c>
      <c r="AK3021" t="str">
        <f>T("636")</f>
        <v>636</v>
      </c>
    </row>
    <row r="3022" spans="1:37" x14ac:dyDescent="0.3">
      <c r="A3022" t="s">
        <v>9354</v>
      </c>
      <c r="B3022" t="s">
        <v>9355</v>
      </c>
      <c r="C3022" t="s">
        <v>9356</v>
      </c>
      <c r="D3022" t="s">
        <v>7</v>
      </c>
      <c r="AG3022" t="str">
        <f>T("3586")</f>
        <v>3586</v>
      </c>
      <c r="AH3022" t="str">
        <f>T("11")</f>
        <v>11</v>
      </c>
      <c r="AK3022" t="str">
        <f>T("1502")</f>
        <v>1502</v>
      </c>
    </row>
    <row r="3023" spans="1:37" x14ac:dyDescent="0.3">
      <c r="A3023" t="s">
        <v>9357</v>
      </c>
      <c r="B3023" t="s">
        <v>9358</v>
      </c>
      <c r="C3023" t="s">
        <v>9359</v>
      </c>
      <c r="D3023" t="s">
        <v>7</v>
      </c>
      <c r="K3023" t="str">
        <f t="shared" ref="K3023:K3035" si="33">T("172.515")</f>
        <v>172.515</v>
      </c>
      <c r="AG3023" t="str">
        <f>T("2886")</f>
        <v>2886</v>
      </c>
      <c r="AH3023" t="str">
        <f t="shared" ref="AH3023:AH3035" si="34">T("3")</f>
        <v>3</v>
      </c>
      <c r="AI3023" t="str">
        <f>T("25")</f>
        <v>25</v>
      </c>
      <c r="AK3023" t="str">
        <f>T("1467")</f>
        <v>1467</v>
      </c>
    </row>
    <row r="3024" spans="1:37" x14ac:dyDescent="0.3">
      <c r="A3024" t="s">
        <v>9360</v>
      </c>
      <c r="B3024" t="s">
        <v>9361</v>
      </c>
      <c r="C3024" t="s">
        <v>9362</v>
      </c>
      <c r="D3024" t="s">
        <v>7</v>
      </c>
      <c r="K3024" t="str">
        <f t="shared" si="33"/>
        <v>172.515</v>
      </c>
      <c r="AG3024" t="str">
        <f>T("2887")</f>
        <v>2887</v>
      </c>
      <c r="AH3024" t="str">
        <f t="shared" si="34"/>
        <v>3</v>
      </c>
      <c r="AK3024" t="str">
        <f>T("645")</f>
        <v>645</v>
      </c>
    </row>
    <row r="3025" spans="1:37" x14ac:dyDescent="0.3">
      <c r="A3025" t="s">
        <v>9363</v>
      </c>
      <c r="B3025" t="s">
        <v>9364</v>
      </c>
      <c r="C3025" t="s">
        <v>9365</v>
      </c>
      <c r="D3025" t="s">
        <v>7</v>
      </c>
      <c r="K3025" t="str">
        <f t="shared" si="33"/>
        <v>172.515</v>
      </c>
      <c r="AG3025" t="str">
        <f>T("2888")</f>
        <v>2888</v>
      </c>
      <c r="AH3025" t="str">
        <f t="shared" si="34"/>
        <v>3</v>
      </c>
      <c r="AK3025" t="str">
        <f>T("1468")</f>
        <v>1468</v>
      </c>
    </row>
    <row r="3026" spans="1:37" x14ac:dyDescent="0.3">
      <c r="A3026" t="s">
        <v>9366</v>
      </c>
      <c r="B3026" t="s">
        <v>9367</v>
      </c>
      <c r="C3026" t="s">
        <v>9368</v>
      </c>
      <c r="D3026" t="s">
        <v>7</v>
      </c>
      <c r="K3026" t="str">
        <f t="shared" si="33"/>
        <v>172.515</v>
      </c>
      <c r="AG3026" t="str">
        <f>T("2889")</f>
        <v>2889</v>
      </c>
      <c r="AH3026" t="str">
        <f t="shared" si="34"/>
        <v>3</v>
      </c>
      <c r="AK3026" t="str">
        <f>T("646")</f>
        <v>646</v>
      </c>
    </row>
    <row r="3027" spans="1:37" x14ac:dyDescent="0.3">
      <c r="A3027" t="s">
        <v>9369</v>
      </c>
      <c r="B3027" t="s">
        <v>9370</v>
      </c>
      <c r="C3027" t="s">
        <v>9371</v>
      </c>
      <c r="D3027" t="s">
        <v>7</v>
      </c>
      <c r="K3027" t="str">
        <f t="shared" si="33"/>
        <v>172.515</v>
      </c>
      <c r="AG3027" t="str">
        <f>T("2890")</f>
        <v>2890</v>
      </c>
      <c r="AH3027" t="str">
        <f t="shared" si="34"/>
        <v>3</v>
      </c>
      <c r="AK3027" t="str">
        <f>T("638")</f>
        <v>638</v>
      </c>
    </row>
    <row r="3028" spans="1:37" x14ac:dyDescent="0.3">
      <c r="A3028" t="s">
        <v>9372</v>
      </c>
      <c r="B3028" t="s">
        <v>9373</v>
      </c>
      <c r="C3028" t="s">
        <v>9374</v>
      </c>
      <c r="D3028" t="s">
        <v>7</v>
      </c>
      <c r="K3028" t="str">
        <f t="shared" si="33"/>
        <v>172.515</v>
      </c>
      <c r="AG3028" t="str">
        <f>T("2891")</f>
        <v>2891</v>
      </c>
      <c r="AH3028" t="str">
        <f t="shared" si="34"/>
        <v>3</v>
      </c>
      <c r="AK3028" t="str">
        <f>T("1469")</f>
        <v>1469</v>
      </c>
    </row>
    <row r="3029" spans="1:37" x14ac:dyDescent="0.3">
      <c r="A3029" t="s">
        <v>9375</v>
      </c>
      <c r="B3029" t="s">
        <v>9376</v>
      </c>
      <c r="C3029" t="s">
        <v>9377</v>
      </c>
      <c r="D3029" t="s">
        <v>7</v>
      </c>
      <c r="K3029" t="str">
        <f t="shared" si="33"/>
        <v>172.515</v>
      </c>
      <c r="AG3029" t="str">
        <f>T("2894")</f>
        <v>2894</v>
      </c>
      <c r="AH3029" t="str">
        <f t="shared" si="34"/>
        <v>3</v>
      </c>
      <c r="AI3029" t="str">
        <f>T("25")</f>
        <v>25</v>
      </c>
      <c r="AK3029" t="str">
        <f>T("672")</f>
        <v>672</v>
      </c>
    </row>
    <row r="3030" spans="1:37" x14ac:dyDescent="0.3">
      <c r="A3030" t="s">
        <v>9378</v>
      </c>
      <c r="B3030" t="s">
        <v>9379</v>
      </c>
      <c r="C3030" t="s">
        <v>9380</v>
      </c>
      <c r="D3030" t="s">
        <v>15</v>
      </c>
      <c r="K3030" t="str">
        <f t="shared" si="33"/>
        <v>172.515</v>
      </c>
      <c r="AG3030" t="str">
        <f>T("2895")</f>
        <v>2895</v>
      </c>
      <c r="AH3030" t="str">
        <f t="shared" si="34"/>
        <v>3</v>
      </c>
      <c r="AI3030" t="str">
        <f>T("25")</f>
        <v>25</v>
      </c>
      <c r="AK3030" t="str">
        <f>T("637")</f>
        <v>637</v>
      </c>
    </row>
    <row r="3031" spans="1:37" x14ac:dyDescent="0.3">
      <c r="A3031" t="s">
        <v>9381</v>
      </c>
      <c r="B3031" t="s">
        <v>9382</v>
      </c>
      <c r="C3031" t="s">
        <v>9383</v>
      </c>
      <c r="D3031" t="s">
        <v>7</v>
      </c>
      <c r="K3031" t="str">
        <f t="shared" si="33"/>
        <v>172.515</v>
      </c>
      <c r="AG3031" t="str">
        <f>T("2896")</f>
        <v>2896</v>
      </c>
      <c r="AH3031" t="str">
        <f t="shared" si="34"/>
        <v>3</v>
      </c>
      <c r="AI3031" t="str">
        <f>T("25")</f>
        <v>25</v>
      </c>
      <c r="AK3031" t="str">
        <f>T("642")</f>
        <v>642</v>
      </c>
    </row>
    <row r="3032" spans="1:37" x14ac:dyDescent="0.3">
      <c r="A3032" t="s">
        <v>9384</v>
      </c>
      <c r="B3032" t="s">
        <v>9385</v>
      </c>
      <c r="C3032" t="s">
        <v>9386</v>
      </c>
      <c r="D3032" t="s">
        <v>7</v>
      </c>
      <c r="K3032" t="str">
        <f t="shared" si="33"/>
        <v>172.515</v>
      </c>
      <c r="AG3032" t="str">
        <f>T("2892")</f>
        <v>2892</v>
      </c>
      <c r="AH3032" t="str">
        <f t="shared" si="34"/>
        <v>3</v>
      </c>
      <c r="AK3032" t="str">
        <f>T("1470")</f>
        <v>1470</v>
      </c>
    </row>
    <row r="3033" spans="1:37" x14ac:dyDescent="0.3">
      <c r="A3033" t="s">
        <v>9387</v>
      </c>
      <c r="B3033" t="s">
        <v>9388</v>
      </c>
      <c r="C3033" t="s">
        <v>9389</v>
      </c>
      <c r="D3033" t="s">
        <v>7</v>
      </c>
      <c r="K3033" t="str">
        <f t="shared" si="33"/>
        <v>172.515</v>
      </c>
      <c r="AG3033" t="str">
        <f>T("2893")</f>
        <v>2893</v>
      </c>
      <c r="AH3033" t="str">
        <f t="shared" si="34"/>
        <v>3</v>
      </c>
      <c r="AK3033" t="str">
        <f>T("640")</f>
        <v>640</v>
      </c>
    </row>
    <row r="3034" spans="1:37" x14ac:dyDescent="0.3">
      <c r="A3034" t="s">
        <v>9390</v>
      </c>
      <c r="B3034" t="s">
        <v>9391</v>
      </c>
      <c r="C3034" t="s">
        <v>9392</v>
      </c>
      <c r="D3034" t="s">
        <v>7</v>
      </c>
      <c r="K3034" t="str">
        <f t="shared" si="33"/>
        <v>172.515</v>
      </c>
      <c r="AG3034" t="str">
        <f>T("2899")</f>
        <v>2899</v>
      </c>
      <c r="AH3034" t="str">
        <f t="shared" si="34"/>
        <v>3</v>
      </c>
      <c r="AI3034" t="str">
        <f>T("25")</f>
        <v>25</v>
      </c>
      <c r="AK3034" t="str">
        <f>T("641")</f>
        <v>641</v>
      </c>
    </row>
    <row r="3035" spans="1:37" x14ac:dyDescent="0.3">
      <c r="A3035" t="s">
        <v>9393</v>
      </c>
      <c r="B3035" t="s">
        <v>9394</v>
      </c>
      <c r="C3035" t="s">
        <v>9395</v>
      </c>
      <c r="D3035" t="s">
        <v>7</v>
      </c>
      <c r="K3035" t="str">
        <f t="shared" si="33"/>
        <v>172.515</v>
      </c>
      <c r="AG3035" t="str">
        <f>T("2897")</f>
        <v>2897</v>
      </c>
      <c r="AH3035" t="str">
        <f t="shared" si="34"/>
        <v>3</v>
      </c>
      <c r="AI3035" t="str">
        <f>T("25")</f>
        <v>25</v>
      </c>
      <c r="AK3035" t="str">
        <f>T("639")</f>
        <v>639</v>
      </c>
    </row>
    <row r="3036" spans="1:37" x14ac:dyDescent="0.3">
      <c r="A3036" t="s">
        <v>9396</v>
      </c>
      <c r="B3036" t="s">
        <v>9397</v>
      </c>
      <c r="C3036" t="s">
        <v>9398</v>
      </c>
      <c r="D3036" t="s">
        <v>7</v>
      </c>
      <c r="AG3036" t="str">
        <f>T("3751")</f>
        <v>3751</v>
      </c>
      <c r="AH3036" t="str">
        <f>T("14")</f>
        <v>14</v>
      </c>
      <c r="AK3036" t="str">
        <f>T("1321")</f>
        <v>1321</v>
      </c>
    </row>
    <row r="3037" spans="1:37" x14ac:dyDescent="0.3">
      <c r="A3037" t="s">
        <v>9399</v>
      </c>
      <c r="B3037" t="s">
        <v>9400</v>
      </c>
      <c r="C3037" t="s">
        <v>9401</v>
      </c>
      <c r="D3037" t="s">
        <v>7</v>
      </c>
      <c r="K3037" t="str">
        <f>T("172.515")</f>
        <v>172.515</v>
      </c>
      <c r="AG3037" t="str">
        <f>T("2898")</f>
        <v>2898</v>
      </c>
      <c r="AH3037" t="str">
        <f>T("3")</f>
        <v>3</v>
      </c>
      <c r="AK3037" t="str">
        <f>T("1441")</f>
        <v>1441</v>
      </c>
    </row>
    <row r="3038" spans="1:37" x14ac:dyDescent="0.3">
      <c r="A3038" t="s">
        <v>9402</v>
      </c>
      <c r="B3038" t="s">
        <v>9403</v>
      </c>
      <c r="C3038" t="s">
        <v>9404</v>
      </c>
      <c r="D3038" t="s">
        <v>9405</v>
      </c>
      <c r="K3038" t="str">
        <f>T("177.1010")</f>
        <v>177.1010</v>
      </c>
      <c r="AG3038" t="str">
        <f>T("3960")</f>
        <v>3960</v>
      </c>
      <c r="AH3038" t="str">
        <f>T("19")</f>
        <v>19</v>
      </c>
      <c r="AK3038" t="str">
        <f>T("736")</f>
        <v>736</v>
      </c>
    </row>
    <row r="3039" spans="1:37" x14ac:dyDescent="0.3">
      <c r="A3039" t="s">
        <v>9406</v>
      </c>
      <c r="B3039" t="s">
        <v>9407</v>
      </c>
      <c r="C3039" t="s">
        <v>9408</v>
      </c>
      <c r="D3039" t="s">
        <v>9409</v>
      </c>
      <c r="E3039" t="str">
        <f>T("73.275")</f>
        <v>73.275</v>
      </c>
      <c r="F3039" t="str">
        <f>T("73.85")</f>
        <v>73.85</v>
      </c>
      <c r="K3039" t="str">
        <f>T("175.300")</f>
        <v>175.300</v>
      </c>
      <c r="L3039" t="str">
        <f>T("177.2260")</f>
        <v>177.2260</v>
      </c>
      <c r="M3039" t="str">
        <f>T("178.1010")</f>
        <v>178.1010</v>
      </c>
      <c r="N3039" t="str">
        <f>T("178.3520")</f>
        <v>178.3520</v>
      </c>
      <c r="O3039" t="str">
        <f>T("182.1073")</f>
        <v>182.1073</v>
      </c>
      <c r="AF3039" t="s">
        <v>9410</v>
      </c>
      <c r="AG3039" t="str">
        <f>T("2900")</f>
        <v>2900</v>
      </c>
      <c r="AH3039" t="str">
        <f>T("3")</f>
        <v>3</v>
      </c>
    </row>
    <row r="3040" spans="1:37" x14ac:dyDescent="0.3">
      <c r="A3040" t="s">
        <v>9411</v>
      </c>
      <c r="B3040" t="s">
        <v>9412</v>
      </c>
      <c r="C3040" t="s">
        <v>9413</v>
      </c>
      <c r="D3040" t="s">
        <v>1949</v>
      </c>
      <c r="K3040" t="str">
        <f>T("172.892")</f>
        <v>172.892</v>
      </c>
    </row>
    <row r="3041" spans="1:37" x14ac:dyDescent="0.3">
      <c r="A3041" t="s">
        <v>9414</v>
      </c>
      <c r="B3041" t="s">
        <v>9415</v>
      </c>
      <c r="C3041" t="s">
        <v>9416</v>
      </c>
      <c r="D3041" t="s">
        <v>7</v>
      </c>
      <c r="AG3041" t="str">
        <f>T("4195")</f>
        <v>4195</v>
      </c>
      <c r="AH3041" t="str">
        <f>T("22")</f>
        <v>22</v>
      </c>
    </row>
    <row r="3042" spans="1:37" x14ac:dyDescent="0.3">
      <c r="A3042" t="s">
        <v>9417</v>
      </c>
      <c r="B3042" t="s">
        <v>9418</v>
      </c>
      <c r="C3042" t="s">
        <v>9419</v>
      </c>
      <c r="D3042" t="s">
        <v>7</v>
      </c>
      <c r="AG3042" t="str">
        <f>T("4196")</f>
        <v>4196</v>
      </c>
      <c r="AH3042" t="str">
        <f>T("22")</f>
        <v>22</v>
      </c>
      <c r="AK3042" t="str">
        <f>T("1832")</f>
        <v>1832</v>
      </c>
    </row>
    <row r="3043" spans="1:37" x14ac:dyDescent="0.3">
      <c r="A3043" t="s">
        <v>9420</v>
      </c>
      <c r="B3043" t="s">
        <v>9421</v>
      </c>
      <c r="C3043" t="s">
        <v>9422</v>
      </c>
      <c r="D3043" t="s">
        <v>7</v>
      </c>
      <c r="AG3043" t="str">
        <f>T("4197")</f>
        <v>4197</v>
      </c>
      <c r="AH3043" t="str">
        <f>T("22")</f>
        <v>22</v>
      </c>
      <c r="AK3043" t="str">
        <f>T("1833")</f>
        <v>1833</v>
      </c>
    </row>
    <row r="3044" spans="1:37" x14ac:dyDescent="0.3">
      <c r="A3044" t="s">
        <v>9423</v>
      </c>
      <c r="B3044" t="s">
        <v>9424</v>
      </c>
      <c r="C3044" t="s">
        <v>9425</v>
      </c>
      <c r="D3044" t="s">
        <v>7</v>
      </c>
      <c r="K3044" t="str">
        <f>T("182.20")</f>
        <v>182.20</v>
      </c>
      <c r="AG3044" t="str">
        <f>T("2901")</f>
        <v>2901</v>
      </c>
      <c r="AH3044" t="str">
        <f>T("3")</f>
        <v>3</v>
      </c>
    </row>
    <row r="3045" spans="1:37" x14ac:dyDescent="0.3">
      <c r="A3045" t="s">
        <v>9426</v>
      </c>
      <c r="B3045" t="s">
        <v>9427</v>
      </c>
      <c r="D3045" t="s">
        <v>7</v>
      </c>
      <c r="AG3045" t="str">
        <f>T("4198")</f>
        <v>4198</v>
      </c>
      <c r="AH3045" t="str">
        <f>T("22")</f>
        <v>22</v>
      </c>
      <c r="AK3045" t="str">
        <f>T("1868")</f>
        <v>1868</v>
      </c>
    </row>
    <row r="3046" spans="1:37" x14ac:dyDescent="0.3">
      <c r="A3046" t="s">
        <v>9428</v>
      </c>
      <c r="B3046" t="s">
        <v>9429</v>
      </c>
      <c r="C3046" t="s">
        <v>9430</v>
      </c>
      <c r="D3046" t="s">
        <v>7</v>
      </c>
      <c r="K3046" t="str">
        <f>T("172.510")</f>
        <v>172.510</v>
      </c>
    </row>
    <row r="3047" spans="1:37" x14ac:dyDescent="0.3">
      <c r="A3047" t="s">
        <v>9431</v>
      </c>
      <c r="B3047" t="s">
        <v>9432</v>
      </c>
      <c r="C3047" t="s">
        <v>9433</v>
      </c>
      <c r="D3047" t="s">
        <v>7</v>
      </c>
      <c r="K3047" t="str">
        <f>T("172.510")</f>
        <v>172.510</v>
      </c>
    </row>
    <row r="3048" spans="1:37" x14ac:dyDescent="0.3">
      <c r="A3048" t="s">
        <v>9434</v>
      </c>
      <c r="B3048" t="s">
        <v>9435</v>
      </c>
      <c r="C3048" t="s">
        <v>9436</v>
      </c>
      <c r="D3048" t="s">
        <v>7</v>
      </c>
      <c r="K3048" t="str">
        <f>T("172.510")</f>
        <v>172.510</v>
      </c>
    </row>
    <row r="3049" spans="1:37" x14ac:dyDescent="0.3">
      <c r="A3049" t="s">
        <v>9437</v>
      </c>
      <c r="B3049" t="s">
        <v>9438</v>
      </c>
      <c r="C3049" t="s">
        <v>9439</v>
      </c>
      <c r="D3049" t="s">
        <v>7</v>
      </c>
      <c r="K3049" t="str">
        <f>T("172.515")</f>
        <v>172.515</v>
      </c>
      <c r="L3049" t="str">
        <f>T("175.300")</f>
        <v>175.300</v>
      </c>
      <c r="M3049" t="str">
        <f>T("175.320")</f>
        <v>175.320</v>
      </c>
      <c r="AG3049" t="str">
        <f>T("2902")</f>
        <v>2902</v>
      </c>
      <c r="AH3049" t="str">
        <f>T("3")</f>
        <v>3</v>
      </c>
      <c r="AI3049" t="str">
        <f>T("25")</f>
        <v>25</v>
      </c>
      <c r="AK3049" t="str">
        <f>T("1329")</f>
        <v>1329</v>
      </c>
    </row>
    <row r="3050" spans="1:37" x14ac:dyDescent="0.3">
      <c r="A3050" t="s">
        <v>9440</v>
      </c>
      <c r="B3050" t="s">
        <v>9441</v>
      </c>
      <c r="C3050" t="s">
        <v>9442</v>
      </c>
      <c r="D3050" t="s">
        <v>7</v>
      </c>
      <c r="K3050" t="str">
        <f>T("172.515")</f>
        <v>172.515</v>
      </c>
      <c r="L3050" t="str">
        <f>T("175.300")</f>
        <v>175.300</v>
      </c>
      <c r="M3050" t="str">
        <f>T("175.320")</f>
        <v>175.320</v>
      </c>
      <c r="AG3050" t="str">
        <f>T("2903")</f>
        <v>2903</v>
      </c>
      <c r="AH3050" t="str">
        <f>T("3")</f>
        <v>3</v>
      </c>
      <c r="AK3050" t="str">
        <f>T("1330")</f>
        <v>1330</v>
      </c>
    </row>
    <row r="3051" spans="1:37" x14ac:dyDescent="0.3">
      <c r="A3051" t="s">
        <v>9443</v>
      </c>
      <c r="B3051" t="s">
        <v>9444</v>
      </c>
      <c r="C3051" t="s">
        <v>9445</v>
      </c>
      <c r="D3051" t="s">
        <v>7</v>
      </c>
      <c r="K3051" t="str">
        <f>T("172.510")</f>
        <v>172.510</v>
      </c>
      <c r="AG3051" t="str">
        <f>T("2904")</f>
        <v>2904</v>
      </c>
      <c r="AH3051" t="str">
        <f>T("3")</f>
        <v>3</v>
      </c>
    </row>
    <row r="3052" spans="1:37" x14ac:dyDescent="0.3">
      <c r="A3052" t="s">
        <v>9446</v>
      </c>
      <c r="B3052" t="s">
        <v>9447</v>
      </c>
      <c r="C3052" t="s">
        <v>9448</v>
      </c>
      <c r="D3052" t="s">
        <v>7</v>
      </c>
      <c r="K3052" t="str">
        <f>T("172.510")</f>
        <v>172.510</v>
      </c>
      <c r="AG3052" t="str">
        <f>T("2906")</f>
        <v>2906</v>
      </c>
      <c r="AH3052" t="str">
        <f>T("3")</f>
        <v>3</v>
      </c>
    </row>
    <row r="3053" spans="1:37" x14ac:dyDescent="0.3">
      <c r="A3053" t="s">
        <v>9449</v>
      </c>
      <c r="B3053" t="s">
        <v>9450</v>
      </c>
      <c r="C3053" t="s">
        <v>9451</v>
      </c>
      <c r="D3053" t="s">
        <v>7</v>
      </c>
      <c r="K3053" t="str">
        <f>T("172.515")</f>
        <v>172.515</v>
      </c>
      <c r="AG3053" t="str">
        <f>T("2907")</f>
        <v>2907</v>
      </c>
      <c r="AH3053" t="str">
        <f>T("3")</f>
        <v>3</v>
      </c>
    </row>
    <row r="3054" spans="1:37" x14ac:dyDescent="0.3">
      <c r="A3054" t="s">
        <v>9452</v>
      </c>
      <c r="B3054" t="s">
        <v>9453</v>
      </c>
      <c r="C3054" t="s">
        <v>9454</v>
      </c>
      <c r="D3054" t="s">
        <v>7</v>
      </c>
      <c r="K3054" t="str">
        <f>T("172.510")</f>
        <v>172.510</v>
      </c>
    </row>
    <row r="3055" spans="1:37" x14ac:dyDescent="0.3">
      <c r="A3055" t="s">
        <v>9455</v>
      </c>
      <c r="B3055" t="s">
        <v>9456</v>
      </c>
      <c r="C3055" t="s">
        <v>9457</v>
      </c>
      <c r="D3055" t="s">
        <v>7</v>
      </c>
      <c r="K3055" t="str">
        <f>T("172.515")</f>
        <v>172.515</v>
      </c>
      <c r="AG3055" t="str">
        <f>T("3587")</f>
        <v>3587</v>
      </c>
      <c r="AH3055" t="str">
        <f>T("11")</f>
        <v>11</v>
      </c>
      <c r="AK3055" t="str">
        <f>T("1403")</f>
        <v>1403</v>
      </c>
    </row>
    <row r="3056" spans="1:37" x14ac:dyDescent="0.3">
      <c r="A3056" t="s">
        <v>9458</v>
      </c>
      <c r="B3056" t="s">
        <v>9459</v>
      </c>
      <c r="C3056" t="s">
        <v>9460</v>
      </c>
      <c r="D3056" t="s">
        <v>7</v>
      </c>
      <c r="AG3056" t="str">
        <f>T("4525")</f>
        <v>4525</v>
      </c>
      <c r="AH3056" t="str">
        <f>T("24")</f>
        <v>24</v>
      </c>
    </row>
    <row r="3057" spans="1:37" x14ac:dyDescent="0.3">
      <c r="A3057" t="s">
        <v>9461</v>
      </c>
      <c r="B3057" t="s">
        <v>9462</v>
      </c>
      <c r="C3057" t="s">
        <v>9463</v>
      </c>
      <c r="D3057" t="s">
        <v>7</v>
      </c>
      <c r="K3057" t="str">
        <f>T("175.105")</f>
        <v>175.105</v>
      </c>
      <c r="L3057" t="str">
        <f>T("175.320")</f>
        <v>175.320</v>
      </c>
      <c r="M3057" t="str">
        <f>T("177.2550")</f>
        <v>177.2550</v>
      </c>
      <c r="AG3057" t="str">
        <f>T("4250")</f>
        <v>4250</v>
      </c>
      <c r="AH3057" t="str">
        <f>T("22")</f>
        <v>22</v>
      </c>
      <c r="AK3057" t="str">
        <f>T("1615")</f>
        <v>1615</v>
      </c>
    </row>
    <row r="3058" spans="1:37" x14ac:dyDescent="0.3">
      <c r="A3058" t="s">
        <v>9464</v>
      </c>
      <c r="B3058" t="s">
        <v>9465</v>
      </c>
      <c r="C3058" t="s">
        <v>9466</v>
      </c>
    </row>
    <row r="3059" spans="1:37" x14ac:dyDescent="0.3">
      <c r="A3059" t="s">
        <v>9467</v>
      </c>
      <c r="B3059" t="s">
        <v>9468</v>
      </c>
      <c r="C3059" t="s">
        <v>9469</v>
      </c>
      <c r="D3059" t="s">
        <v>7</v>
      </c>
      <c r="K3059" t="str">
        <f>T("172.515")</f>
        <v>172.515</v>
      </c>
      <c r="AG3059" t="str">
        <f>T("2908")</f>
        <v>2908</v>
      </c>
      <c r="AH3059" t="str">
        <f>T("3")</f>
        <v>3</v>
      </c>
      <c r="AK3059" t="str">
        <f>T("1607")</f>
        <v>1607</v>
      </c>
    </row>
    <row r="3060" spans="1:37" x14ac:dyDescent="0.3">
      <c r="A3060" t="s">
        <v>9470</v>
      </c>
      <c r="B3060" t="s">
        <v>9471</v>
      </c>
      <c r="C3060" t="s">
        <v>9472</v>
      </c>
      <c r="D3060" t="s">
        <v>7</v>
      </c>
      <c r="K3060" t="str">
        <f>T("172.515")</f>
        <v>172.515</v>
      </c>
      <c r="AG3060" t="str">
        <f>T("2909")</f>
        <v>2909</v>
      </c>
      <c r="AH3060" t="str">
        <f>T("3")</f>
        <v>3</v>
      </c>
      <c r="AK3060" t="str">
        <f>T("1600")</f>
        <v>1600</v>
      </c>
    </row>
    <row r="3061" spans="1:37" x14ac:dyDescent="0.3">
      <c r="A3061" t="s">
        <v>9473</v>
      </c>
      <c r="B3061" t="s">
        <v>9474</v>
      </c>
      <c r="C3061" t="s">
        <v>9475</v>
      </c>
      <c r="D3061" t="s">
        <v>7</v>
      </c>
      <c r="K3061" t="str">
        <f>T("172.515")</f>
        <v>172.515</v>
      </c>
      <c r="AG3061" t="str">
        <f>T("3560")</f>
        <v>3560</v>
      </c>
      <c r="AH3061" t="str">
        <f>T("11")</f>
        <v>11</v>
      </c>
      <c r="AK3061" t="str">
        <f>T("757")</f>
        <v>757</v>
      </c>
    </row>
    <row r="3062" spans="1:37" x14ac:dyDescent="0.3">
      <c r="A3062" t="s">
        <v>9476</v>
      </c>
      <c r="B3062" t="s">
        <v>9477</v>
      </c>
      <c r="C3062" t="s">
        <v>9478</v>
      </c>
      <c r="D3062" t="s">
        <v>7</v>
      </c>
      <c r="K3062" t="str">
        <f>T("172.515")</f>
        <v>172.515</v>
      </c>
      <c r="AG3062" t="str">
        <f>T("4199")</f>
        <v>4199</v>
      </c>
      <c r="AH3062" t="str">
        <f>T("22")</f>
        <v>22</v>
      </c>
      <c r="AK3062" t="str">
        <f>T("1574")</f>
        <v>1574</v>
      </c>
    </row>
    <row r="3063" spans="1:37" x14ac:dyDescent="0.3">
      <c r="A3063" t="s">
        <v>9479</v>
      </c>
      <c r="B3063" t="s">
        <v>9480</v>
      </c>
      <c r="C3063" t="s">
        <v>9481</v>
      </c>
      <c r="D3063" t="s">
        <v>7</v>
      </c>
      <c r="K3063" t="str">
        <f>T("172.515")</f>
        <v>172.515</v>
      </c>
      <c r="AG3063" t="str">
        <f>T("2910")</f>
        <v>2910</v>
      </c>
      <c r="AH3063" t="str">
        <f>T("3")</f>
        <v>3</v>
      </c>
      <c r="AI3063" t="str">
        <f>T("25")</f>
        <v>25</v>
      </c>
      <c r="AK3063" t="str">
        <f>T("435")</f>
        <v>435</v>
      </c>
    </row>
    <row r="3064" spans="1:37" x14ac:dyDescent="0.3">
      <c r="A3064" t="s">
        <v>9482</v>
      </c>
      <c r="B3064" t="s">
        <v>9483</v>
      </c>
      <c r="C3064" t="s">
        <v>9484</v>
      </c>
      <c r="D3064" t="s">
        <v>7</v>
      </c>
      <c r="AG3064" t="str">
        <f>T("4200")</f>
        <v>4200</v>
      </c>
      <c r="AH3064" t="str">
        <f>T("22")</f>
        <v>22</v>
      </c>
      <c r="AK3064" t="str">
        <f>T("1856")</f>
        <v>1856</v>
      </c>
    </row>
    <row r="3065" spans="1:37" x14ac:dyDescent="0.3">
      <c r="A3065" t="s">
        <v>9485</v>
      </c>
      <c r="B3065" t="s">
        <v>9486</v>
      </c>
      <c r="C3065" t="s">
        <v>9487</v>
      </c>
      <c r="D3065" t="s">
        <v>7</v>
      </c>
      <c r="AG3065" t="str">
        <f>T("4266")</f>
        <v>4266</v>
      </c>
      <c r="AH3065" t="str">
        <f>T("23")</f>
        <v>23</v>
      </c>
    </row>
    <row r="3066" spans="1:37" x14ac:dyDescent="0.3">
      <c r="A3066" t="s">
        <v>9488</v>
      </c>
      <c r="B3066" t="s">
        <v>9489</v>
      </c>
      <c r="C3066" t="s">
        <v>9490</v>
      </c>
      <c r="D3066" t="s">
        <v>7</v>
      </c>
      <c r="K3066" t="str">
        <f>T("182.60")</f>
        <v>182.60</v>
      </c>
      <c r="AG3066" t="str">
        <f>T("2911")</f>
        <v>2911</v>
      </c>
      <c r="AH3066" t="str">
        <f>T("3")</f>
        <v>3</v>
      </c>
      <c r="AI3066" t="str">
        <f>T("25")</f>
        <v>25</v>
      </c>
      <c r="AK3066" t="str">
        <f>T("896")</f>
        <v>896</v>
      </c>
    </row>
    <row r="3067" spans="1:37" x14ac:dyDescent="0.3">
      <c r="A3067" t="s">
        <v>9491</v>
      </c>
      <c r="B3067" t="s">
        <v>9492</v>
      </c>
      <c r="C3067" t="s">
        <v>9493</v>
      </c>
      <c r="D3067" t="s">
        <v>7</v>
      </c>
      <c r="AG3067" t="str">
        <f>T("4622")</f>
        <v>4622</v>
      </c>
      <c r="AH3067" t="str">
        <f>T("24")</f>
        <v>24</v>
      </c>
    </row>
    <row r="3068" spans="1:37" x14ac:dyDescent="0.3">
      <c r="A3068" t="s">
        <v>9494</v>
      </c>
      <c r="B3068" t="s">
        <v>9495</v>
      </c>
      <c r="C3068" t="s">
        <v>9496</v>
      </c>
      <c r="D3068" t="s">
        <v>7</v>
      </c>
      <c r="K3068" t="str">
        <f>T("172.515")</f>
        <v>172.515</v>
      </c>
      <c r="AG3068" t="str">
        <f>T("2912")</f>
        <v>2912</v>
      </c>
      <c r="AH3068" t="str">
        <f>T("3")</f>
        <v>3</v>
      </c>
      <c r="AI3068" t="str">
        <f>T("25")</f>
        <v>25</v>
      </c>
      <c r="AK3068" t="str">
        <f>T("894")</f>
        <v>894</v>
      </c>
    </row>
    <row r="3069" spans="1:37" x14ac:dyDescent="0.3">
      <c r="A3069" t="s">
        <v>9497</v>
      </c>
      <c r="B3069" t="s">
        <v>9498</v>
      </c>
      <c r="C3069" t="s">
        <v>9499</v>
      </c>
      <c r="D3069" t="s">
        <v>15</v>
      </c>
      <c r="K3069" t="str">
        <f>T("172.515")</f>
        <v>172.515</v>
      </c>
      <c r="AG3069" t="str">
        <f>T("2913")</f>
        <v>2913</v>
      </c>
      <c r="AH3069" t="str">
        <f>T("3")</f>
        <v>3</v>
      </c>
      <c r="AI3069" t="str">
        <f>T("25")</f>
        <v>25</v>
      </c>
      <c r="AK3069" t="str">
        <f>T("895")</f>
        <v>895</v>
      </c>
    </row>
    <row r="3070" spans="1:37" x14ac:dyDescent="0.3">
      <c r="A3070" t="s">
        <v>9500</v>
      </c>
      <c r="B3070" t="s">
        <v>9501</v>
      </c>
      <c r="C3070" t="s">
        <v>9502</v>
      </c>
      <c r="D3070" t="s">
        <v>7</v>
      </c>
      <c r="K3070" t="str">
        <f>T("182.20")</f>
        <v>182.20</v>
      </c>
      <c r="AG3070" t="str">
        <f>T("2914")</f>
        <v>2914</v>
      </c>
      <c r="AH3070" t="str">
        <f>T("3")</f>
        <v>3</v>
      </c>
    </row>
    <row r="3071" spans="1:37" x14ac:dyDescent="0.3">
      <c r="A3071" t="s">
        <v>9503</v>
      </c>
      <c r="B3071" t="s">
        <v>9504</v>
      </c>
      <c r="C3071" t="s">
        <v>9505</v>
      </c>
      <c r="D3071" t="s">
        <v>7</v>
      </c>
      <c r="AG3071" t="str">
        <f>T("4506")</f>
        <v>4506</v>
      </c>
      <c r="AH3071" t="str">
        <f>T("24")</f>
        <v>24</v>
      </c>
      <c r="AK3071" t="str">
        <f>T("1906")</f>
        <v>1906</v>
      </c>
    </row>
    <row r="3072" spans="1:37" x14ac:dyDescent="0.3">
      <c r="A3072" t="s">
        <v>9506</v>
      </c>
      <c r="B3072" t="s">
        <v>9507</v>
      </c>
      <c r="C3072" t="s">
        <v>9508</v>
      </c>
      <c r="D3072" t="s">
        <v>7</v>
      </c>
      <c r="AG3072" t="str">
        <f>T("4053")</f>
        <v>4053</v>
      </c>
      <c r="AH3072" t="str">
        <f>T("21")</f>
        <v>21</v>
      </c>
      <c r="AI3072" t="str">
        <f>T("25")</f>
        <v>25</v>
      </c>
      <c r="AK3072" t="str">
        <f>T("1416")</f>
        <v>1416</v>
      </c>
    </row>
    <row r="3073" spans="1:37" x14ac:dyDescent="0.3">
      <c r="A3073" t="s">
        <v>9509</v>
      </c>
      <c r="B3073" t="s">
        <v>9510</v>
      </c>
      <c r="C3073" t="s">
        <v>9511</v>
      </c>
      <c r="D3073" t="s">
        <v>7</v>
      </c>
      <c r="AG3073" t="str">
        <f>T("4507")</f>
        <v>4507</v>
      </c>
      <c r="AH3073" t="str">
        <f>T("24")</f>
        <v>24</v>
      </c>
      <c r="AK3073" t="str">
        <f>T("1904")</f>
        <v>1904</v>
      </c>
    </row>
    <row r="3074" spans="1:37" x14ac:dyDescent="0.3">
      <c r="A3074" t="s">
        <v>9512</v>
      </c>
      <c r="B3074" t="s">
        <v>9513</v>
      </c>
      <c r="C3074" t="s">
        <v>9514</v>
      </c>
      <c r="D3074" t="s">
        <v>7</v>
      </c>
      <c r="AG3074" t="str">
        <f>T("4508")</f>
        <v>4508</v>
      </c>
      <c r="AH3074" t="str">
        <f>T("24")</f>
        <v>24</v>
      </c>
      <c r="AK3074" t="str">
        <f>T("1905")</f>
        <v>1905</v>
      </c>
    </row>
    <row r="3075" spans="1:37" x14ac:dyDescent="0.3">
      <c r="A3075" t="s">
        <v>9515</v>
      </c>
      <c r="B3075" t="s">
        <v>9516</v>
      </c>
      <c r="C3075" t="s">
        <v>9517</v>
      </c>
      <c r="D3075" t="s">
        <v>4712</v>
      </c>
      <c r="K3075" t="str">
        <f>T("172.255")</f>
        <v>172.255</v>
      </c>
      <c r="L3075" t="str">
        <f>T("173.315")</f>
        <v>173.315</v>
      </c>
      <c r="M3075" t="str">
        <f>T("175.105")</f>
        <v>175.105</v>
      </c>
      <c r="N3075" t="str">
        <f>T("176.170")</f>
        <v>176.170</v>
      </c>
      <c r="O3075" t="str">
        <f>T("176.180")</f>
        <v>176.180</v>
      </c>
    </row>
    <row r="3076" spans="1:37" x14ac:dyDescent="0.3">
      <c r="A3076" t="s">
        <v>9518</v>
      </c>
      <c r="B3076" t="s">
        <v>9519</v>
      </c>
      <c r="C3076" t="s">
        <v>9520</v>
      </c>
      <c r="D3076" t="s">
        <v>199</v>
      </c>
      <c r="K3076" t="str">
        <f>T("173.10")</f>
        <v>173.10</v>
      </c>
    </row>
    <row r="3077" spans="1:37" x14ac:dyDescent="0.3">
      <c r="A3077" t="s">
        <v>9521</v>
      </c>
      <c r="B3077" t="s">
        <v>9522</v>
      </c>
      <c r="C3077" t="s">
        <v>9523</v>
      </c>
      <c r="D3077" t="s">
        <v>192</v>
      </c>
      <c r="K3077" t="str">
        <f>T("173.310")</f>
        <v>173.310</v>
      </c>
    </row>
    <row r="3078" spans="1:37" x14ac:dyDescent="0.3">
      <c r="A3078" t="s">
        <v>9524</v>
      </c>
      <c r="B3078" t="s">
        <v>9525</v>
      </c>
      <c r="C3078" t="s">
        <v>9526</v>
      </c>
      <c r="D3078" t="s">
        <v>3396</v>
      </c>
      <c r="K3078" t="str">
        <f>T("173.310")</f>
        <v>173.310</v>
      </c>
      <c r="L3078" t="str">
        <f>T("173.340")</f>
        <v>173.340</v>
      </c>
      <c r="M3078" t="str">
        <f>T("173.73")</f>
        <v>173.73</v>
      </c>
      <c r="N3078" t="str">
        <f>T("175.105")</f>
        <v>175.105</v>
      </c>
      <c r="O3078" t="str">
        <f>T("176.170")</f>
        <v>176.170</v>
      </c>
      <c r="P3078" t="str">
        <f>T("176.180")</f>
        <v>176.180</v>
      </c>
      <c r="Q3078" t="str">
        <f>T("176.200")</f>
        <v>176.200</v>
      </c>
      <c r="R3078" t="str">
        <f>T("177.1200")</f>
        <v>177.1200</v>
      </c>
      <c r="S3078" t="str">
        <f>T("177.1210")</f>
        <v>177.1210</v>
      </c>
    </row>
    <row r="3079" spans="1:37" x14ac:dyDescent="0.3">
      <c r="A3079" t="s">
        <v>9527</v>
      </c>
      <c r="B3079" t="s">
        <v>9528</v>
      </c>
      <c r="C3079" t="s">
        <v>9529</v>
      </c>
      <c r="D3079" t="s">
        <v>9530</v>
      </c>
      <c r="K3079" t="str">
        <f>T("172.841")</f>
        <v>172.841</v>
      </c>
    </row>
    <row r="3080" spans="1:37" x14ac:dyDescent="0.3">
      <c r="A3080" t="s">
        <v>9531</v>
      </c>
      <c r="B3080" t="s">
        <v>9532</v>
      </c>
      <c r="C3080" t="s">
        <v>9533</v>
      </c>
      <c r="D3080" t="s">
        <v>846</v>
      </c>
      <c r="K3080" t="str">
        <f>T("173.65")</f>
        <v>173.65</v>
      </c>
    </row>
    <row r="3081" spans="1:37" x14ac:dyDescent="0.3">
      <c r="A3081" t="s">
        <v>9534</v>
      </c>
      <c r="B3081" t="s">
        <v>9535</v>
      </c>
      <c r="C3081" t="s">
        <v>9536</v>
      </c>
      <c r="D3081" t="s">
        <v>199</v>
      </c>
      <c r="K3081" t="str">
        <f>T("173.70")</f>
        <v>173.70</v>
      </c>
    </row>
    <row r="3082" spans="1:37" x14ac:dyDescent="0.3">
      <c r="A3082" t="s">
        <v>9537</v>
      </c>
      <c r="B3082" t="s">
        <v>9538</v>
      </c>
      <c r="C3082" t="s">
        <v>9539</v>
      </c>
      <c r="D3082" t="s">
        <v>9540</v>
      </c>
      <c r="K3082" t="str">
        <f>T("172.615")</f>
        <v>172.615</v>
      </c>
      <c r="L3082" t="str">
        <f>T("173.20")</f>
        <v>173.20</v>
      </c>
      <c r="M3082" t="str">
        <f>T("175.300")</f>
        <v>175.300</v>
      </c>
      <c r="N3082" t="str">
        <f>T("176.180")</f>
        <v>176.180</v>
      </c>
      <c r="O3082" t="str">
        <f>T("176.200")</f>
        <v>176.200</v>
      </c>
      <c r="P3082" t="str">
        <f>T("176.210")</f>
        <v>176.210</v>
      </c>
      <c r="Q3082" t="str">
        <f>T("177.1200")</f>
        <v>177.1200</v>
      </c>
      <c r="R3082" t="str">
        <f>T("177.1390")</f>
        <v>177.1390</v>
      </c>
      <c r="S3082" t="str">
        <f>T("177.1395")</f>
        <v>177.1395</v>
      </c>
      <c r="T3082" t="str">
        <f>T("177.1520")</f>
        <v>177.1520</v>
      </c>
      <c r="U3082" t="str">
        <f>T("177.1615")</f>
        <v>177.1615</v>
      </c>
      <c r="V3082" t="str">
        <f>T("177.1620")</f>
        <v>177.1620</v>
      </c>
      <c r="W3082" t="str">
        <f>T("177.2210")</f>
        <v>177.2210</v>
      </c>
      <c r="X3082" t="str">
        <f>T("177.2600")</f>
        <v>177.2600</v>
      </c>
      <c r="Y3082" t="str">
        <f>T("178.3570")</f>
        <v>178.3570</v>
      </c>
      <c r="Z3082" t="str">
        <f>T("178.38")</f>
        <v>178.38</v>
      </c>
    </row>
    <row r="3083" spans="1:37" x14ac:dyDescent="0.3">
      <c r="A3083" t="s">
        <v>9541</v>
      </c>
      <c r="B3083" t="s">
        <v>9542</v>
      </c>
      <c r="C3083" t="s">
        <v>9543</v>
      </c>
      <c r="D3083" t="s">
        <v>9544</v>
      </c>
      <c r="E3083" t="str">
        <f>T("73.1")</f>
        <v>73.1</v>
      </c>
      <c r="K3083" t="str">
        <f>T("172.210")</f>
        <v>172.210</v>
      </c>
      <c r="L3083" t="str">
        <f>T("172.820")</f>
        <v>172.820</v>
      </c>
      <c r="M3083" t="str">
        <f>T("173.310")</f>
        <v>173.310</v>
      </c>
      <c r="N3083" t="str">
        <f>T("173.340")</f>
        <v>173.340</v>
      </c>
      <c r="O3083" t="str">
        <f>T("175.105")</f>
        <v>175.105</v>
      </c>
      <c r="P3083" t="str">
        <f>T("175.300")</f>
        <v>175.300</v>
      </c>
      <c r="Q3083" t="str">
        <f>T("176.180")</f>
        <v>176.180</v>
      </c>
      <c r="R3083" t="str">
        <f>T("178.3750")</f>
        <v>178.3750</v>
      </c>
    </row>
    <row r="3084" spans="1:37" x14ac:dyDescent="0.3">
      <c r="A3084" t="s">
        <v>9545</v>
      </c>
      <c r="B3084" t="s">
        <v>9546</v>
      </c>
      <c r="C3084" t="s">
        <v>9547</v>
      </c>
      <c r="D3084" t="s">
        <v>2253</v>
      </c>
      <c r="K3084" t="str">
        <f>T("172.260")</f>
        <v>172.260</v>
      </c>
      <c r="L3084" t="str">
        <f>T("175.105")</f>
        <v>175.105</v>
      </c>
      <c r="M3084" t="str">
        <f>T("175.125")</f>
        <v>175.125</v>
      </c>
      <c r="N3084" t="str">
        <f>T("176.170")</f>
        <v>176.170</v>
      </c>
      <c r="O3084" t="str">
        <f>T("176.180")</f>
        <v>176.180</v>
      </c>
      <c r="P3084" t="str">
        <f>T("176.200")</f>
        <v>176.200</v>
      </c>
      <c r="Q3084" t="str">
        <f>T("176.210")</f>
        <v>176.210</v>
      </c>
      <c r="R3084" t="str">
        <f>T("177.1200")</f>
        <v>177.1200</v>
      </c>
      <c r="S3084" t="str">
        <f>T("177.1620")</f>
        <v>177.1620</v>
      </c>
      <c r="T3084" t="str">
        <f>T("177.2800")</f>
        <v>177.2800</v>
      </c>
    </row>
    <row r="3085" spans="1:37" x14ac:dyDescent="0.3">
      <c r="A3085" t="s">
        <v>9548</v>
      </c>
      <c r="B3085" t="s">
        <v>9549</v>
      </c>
      <c r="C3085" t="s">
        <v>9550</v>
      </c>
      <c r="D3085" t="s">
        <v>4694</v>
      </c>
      <c r="K3085" t="str">
        <f>T("173.357")</f>
        <v>173.357</v>
      </c>
    </row>
    <row r="3086" spans="1:37" ht="115.2" x14ac:dyDescent="0.3">
      <c r="A3086" t="s">
        <v>9551</v>
      </c>
      <c r="B3086" t="s">
        <v>9552</v>
      </c>
      <c r="C3086" s="1" t="s">
        <v>9553</v>
      </c>
      <c r="K3086" t="str">
        <f>T("172.710")</f>
        <v>172.710</v>
      </c>
      <c r="L3086" t="str">
        <f>T("175.105")</f>
        <v>175.105</v>
      </c>
    </row>
    <row r="3087" spans="1:37" x14ac:dyDescent="0.3">
      <c r="A3087" t="s">
        <v>9554</v>
      </c>
      <c r="B3087" t="s">
        <v>9555</v>
      </c>
      <c r="C3087" t="s">
        <v>9556</v>
      </c>
      <c r="D3087" t="s">
        <v>1175</v>
      </c>
      <c r="K3087" t="str">
        <f>T("172.615")</f>
        <v>172.615</v>
      </c>
      <c r="L3087" t="str">
        <f>T("175.105")</f>
        <v>175.105</v>
      </c>
      <c r="M3087" t="str">
        <f>T("175.125")</f>
        <v>175.125</v>
      </c>
      <c r="N3087" t="str">
        <f>T("175.300")</f>
        <v>175.300</v>
      </c>
      <c r="O3087" t="str">
        <f>T("176.180")</f>
        <v>176.180</v>
      </c>
      <c r="P3087" t="str">
        <f>T("177.1200")</f>
        <v>177.1200</v>
      </c>
      <c r="Q3087" t="str">
        <f>T("177.1210")</f>
        <v>177.1210</v>
      </c>
      <c r="R3087" t="str">
        <f>T("177.1390")</f>
        <v>177.1390</v>
      </c>
      <c r="S3087" t="str">
        <f>T("177.1420")</f>
        <v>177.1420</v>
      </c>
      <c r="T3087" t="str">
        <f>T("177.2800")</f>
        <v>177.2800</v>
      </c>
      <c r="U3087" t="str">
        <f>T("178.1005")</f>
        <v>178.1005</v>
      </c>
      <c r="V3087" t="str">
        <f>T("178.1010")</f>
        <v>178.1010</v>
      </c>
      <c r="W3087" t="str">
        <f>T("178.3570")</f>
        <v>178.3570</v>
      </c>
      <c r="X3087" t="str">
        <f>T("178.3740")</f>
        <v>178.3740</v>
      </c>
    </row>
    <row r="3088" spans="1:37" x14ac:dyDescent="0.3">
      <c r="A3088" t="s">
        <v>9557</v>
      </c>
      <c r="B3088" t="s">
        <v>9558</v>
      </c>
      <c r="C3088" t="s">
        <v>9559</v>
      </c>
      <c r="D3088" t="s">
        <v>188</v>
      </c>
      <c r="K3088" t="str">
        <f>T("172.515")</f>
        <v>172.515</v>
      </c>
      <c r="L3088" t="str">
        <f>T("175.300")</f>
        <v>175.300</v>
      </c>
      <c r="M3088" t="str">
        <f>T("177.2600")</f>
        <v>177.2600</v>
      </c>
    </row>
    <row r="3089" spans="1:34" x14ac:dyDescent="0.3">
      <c r="A3089" t="s">
        <v>9560</v>
      </c>
      <c r="B3089" t="s">
        <v>9561</v>
      </c>
      <c r="C3089" t="s">
        <v>9562</v>
      </c>
      <c r="D3089" t="s">
        <v>199</v>
      </c>
      <c r="K3089" t="str">
        <f>T("173.310")</f>
        <v>173.310</v>
      </c>
      <c r="L3089" t="str">
        <f>T("173.45")</f>
        <v>173.45</v>
      </c>
    </row>
    <row r="3090" spans="1:34" x14ac:dyDescent="0.3">
      <c r="A3090" t="s">
        <v>9563</v>
      </c>
      <c r="B3090" t="s">
        <v>9564</v>
      </c>
      <c r="C3090" t="s">
        <v>9565</v>
      </c>
      <c r="D3090" t="s">
        <v>199</v>
      </c>
      <c r="K3090" t="str">
        <f>T("173.310")</f>
        <v>173.310</v>
      </c>
      <c r="L3090" t="str">
        <f>T("173.45")</f>
        <v>173.45</v>
      </c>
    </row>
    <row r="3091" spans="1:34" x14ac:dyDescent="0.3">
      <c r="A3091" t="s">
        <v>9566</v>
      </c>
      <c r="B3091" t="s">
        <v>9567</v>
      </c>
      <c r="C3091" t="s">
        <v>9568</v>
      </c>
      <c r="D3091" t="s">
        <v>192</v>
      </c>
      <c r="K3091" t="str">
        <f>T("173.310")</f>
        <v>173.310</v>
      </c>
      <c r="L3091" t="str">
        <f>T("173.45")</f>
        <v>173.45</v>
      </c>
    </row>
    <row r="3092" spans="1:34" x14ac:dyDescent="0.3">
      <c r="A3092" t="s">
        <v>9569</v>
      </c>
      <c r="B3092" t="s">
        <v>9570</v>
      </c>
      <c r="C3092" t="s">
        <v>9571</v>
      </c>
      <c r="D3092" t="s">
        <v>420</v>
      </c>
    </row>
    <row r="3093" spans="1:34" x14ac:dyDescent="0.3">
      <c r="A3093" t="s">
        <v>9572</v>
      </c>
      <c r="B3093" t="s">
        <v>9573</v>
      </c>
      <c r="C3093" t="s">
        <v>9574</v>
      </c>
      <c r="D3093" t="s">
        <v>420</v>
      </c>
      <c r="K3093" t="str">
        <f>T("173.340")</f>
        <v>173.340</v>
      </c>
      <c r="L3093" t="str">
        <f>T("176.200")</f>
        <v>176.200</v>
      </c>
    </row>
    <row r="3094" spans="1:34" x14ac:dyDescent="0.3">
      <c r="A3094" t="s">
        <v>9575</v>
      </c>
      <c r="B3094" t="s">
        <v>9576</v>
      </c>
      <c r="C3094" t="s">
        <v>9577</v>
      </c>
      <c r="D3094" t="s">
        <v>420</v>
      </c>
      <c r="K3094" t="str">
        <f>T("173.340")</f>
        <v>173.340</v>
      </c>
      <c r="L3094" t="str">
        <f>T("175.105")</f>
        <v>175.105</v>
      </c>
    </row>
    <row r="3095" spans="1:34" x14ac:dyDescent="0.3">
      <c r="A3095" t="s">
        <v>9578</v>
      </c>
      <c r="B3095" t="s">
        <v>9579</v>
      </c>
      <c r="C3095" t="s">
        <v>9580</v>
      </c>
      <c r="D3095" t="s">
        <v>1304</v>
      </c>
      <c r="K3095" t="str">
        <f>T("173.310")</f>
        <v>173.310</v>
      </c>
      <c r="L3095" t="str">
        <f>T("173.340")</f>
        <v>173.340</v>
      </c>
      <c r="M3095" t="str">
        <f>T("175.105")</f>
        <v>175.105</v>
      </c>
      <c r="N3095" t="str">
        <f>T("175.300")</f>
        <v>175.300</v>
      </c>
      <c r="O3095" t="str">
        <f>T("177.1680")</f>
        <v>177.1680</v>
      </c>
      <c r="P3095" t="str">
        <f>T("178.3740")</f>
        <v>178.3740</v>
      </c>
    </row>
    <row r="3096" spans="1:34" x14ac:dyDescent="0.3">
      <c r="A3096" t="s">
        <v>9581</v>
      </c>
      <c r="B3096" t="s">
        <v>9582</v>
      </c>
      <c r="C3096" t="s">
        <v>9583</v>
      </c>
      <c r="D3096" t="s">
        <v>9584</v>
      </c>
      <c r="K3096" t="str">
        <f>T("172.515")</f>
        <v>172.515</v>
      </c>
      <c r="L3096" t="str">
        <f>T("173.310")</f>
        <v>173.310</v>
      </c>
      <c r="M3096" t="str">
        <f>T("175.105")</f>
        <v>175.105</v>
      </c>
      <c r="N3096" t="str">
        <f>T("178.3400")</f>
        <v>178.3400</v>
      </c>
      <c r="AG3096" t="str">
        <f>T("2915")</f>
        <v>2915</v>
      </c>
      <c r="AH3096" t="str">
        <f>T("3")</f>
        <v>3</v>
      </c>
    </row>
    <row r="3097" spans="1:34" x14ac:dyDescent="0.3">
      <c r="A3097" t="s">
        <v>9585</v>
      </c>
      <c r="B3097" t="s">
        <v>9586</v>
      </c>
      <c r="C3097" t="s">
        <v>9587</v>
      </c>
      <c r="D3097" t="s">
        <v>9584</v>
      </c>
      <c r="E3097" t="str">
        <f>T("73.1001")</f>
        <v>73.1001</v>
      </c>
      <c r="K3097" t="str">
        <f>T("172.515")</f>
        <v>172.515</v>
      </c>
      <c r="L3097" t="str">
        <f>T("172.836")</f>
        <v>172.836</v>
      </c>
      <c r="M3097" t="str">
        <f>T("172.838")</f>
        <v>172.838</v>
      </c>
      <c r="N3097" t="str">
        <f>T("172.840")</f>
        <v>172.840</v>
      </c>
      <c r="O3097" t="str">
        <f>T("172.842")</f>
        <v>172.842</v>
      </c>
      <c r="P3097" t="str">
        <f>T("173.310")</f>
        <v>173.310</v>
      </c>
      <c r="Q3097" t="str">
        <f>T("173.340")</f>
        <v>173.340</v>
      </c>
      <c r="R3097" t="str">
        <f>T("175.105")</f>
        <v>175.105</v>
      </c>
      <c r="S3097" t="str">
        <f>T("178.3400")</f>
        <v>178.3400</v>
      </c>
      <c r="AG3097" t="str">
        <f>T("2916")</f>
        <v>2916</v>
      </c>
      <c r="AH3097" t="str">
        <f>T("3")</f>
        <v>3</v>
      </c>
    </row>
    <row r="3098" spans="1:34" x14ac:dyDescent="0.3">
      <c r="A3098" t="s">
        <v>9588</v>
      </c>
      <c r="B3098" t="s">
        <v>9589</v>
      </c>
      <c r="C3098" t="s">
        <v>9590</v>
      </c>
      <c r="D3098" t="s">
        <v>1623</v>
      </c>
      <c r="E3098" t="str">
        <f>T("73.1001")</f>
        <v>73.1001</v>
      </c>
      <c r="K3098" t="str">
        <f>T("172.836")</f>
        <v>172.836</v>
      </c>
      <c r="L3098" t="str">
        <f>T("172.838")</f>
        <v>172.838</v>
      </c>
      <c r="M3098" t="str">
        <f>T("172.840")</f>
        <v>172.840</v>
      </c>
      <c r="N3098" t="str">
        <f>T("172.842")</f>
        <v>172.842</v>
      </c>
      <c r="O3098" t="str">
        <f>T("173.340")</f>
        <v>173.340</v>
      </c>
      <c r="P3098" t="str">
        <f>T("178.3400")</f>
        <v>178.3400</v>
      </c>
    </row>
    <row r="3099" spans="1:34" x14ac:dyDescent="0.3">
      <c r="A3099" t="s">
        <v>9591</v>
      </c>
      <c r="B3099" t="s">
        <v>9592</v>
      </c>
      <c r="C3099" t="s">
        <v>9593</v>
      </c>
      <c r="D3099" t="s">
        <v>9594</v>
      </c>
      <c r="E3099" t="str">
        <f>T("73.1")</f>
        <v>73.1</v>
      </c>
      <c r="F3099" t="str">
        <f>T("73.1001")</f>
        <v>73.1001</v>
      </c>
      <c r="K3099" t="str">
        <f>T("172.515")</f>
        <v>172.515</v>
      </c>
      <c r="L3099" t="str">
        <f>T("172.836")</f>
        <v>172.836</v>
      </c>
      <c r="M3099" t="str">
        <f>T("172.838")</f>
        <v>172.838</v>
      </c>
      <c r="N3099" t="str">
        <f>T("172.840")</f>
        <v>172.840</v>
      </c>
      <c r="O3099" t="str">
        <f>T("172.842")</f>
        <v>172.842</v>
      </c>
      <c r="P3099" t="str">
        <f>T("173.340")</f>
        <v>173.340</v>
      </c>
      <c r="Q3099" t="str">
        <f>T("175.105")</f>
        <v>175.105</v>
      </c>
      <c r="R3099" t="str">
        <f>T("176.180")</f>
        <v>176.180</v>
      </c>
      <c r="S3099" t="str">
        <f>T("178.3400")</f>
        <v>178.3400</v>
      </c>
      <c r="AG3099" t="str">
        <f>T("2917")</f>
        <v>2917</v>
      </c>
      <c r="AH3099" t="str">
        <f>T("3")</f>
        <v>3</v>
      </c>
    </row>
    <row r="3100" spans="1:34" x14ac:dyDescent="0.3">
      <c r="A3100" t="s">
        <v>9595</v>
      </c>
      <c r="B3100" t="s">
        <v>9596</v>
      </c>
      <c r="C3100" t="s">
        <v>9597</v>
      </c>
      <c r="K3100" t="str">
        <f>T("173.25")</f>
        <v>173.25</v>
      </c>
    </row>
    <row r="3101" spans="1:34" x14ac:dyDescent="0.3">
      <c r="A3101" t="s">
        <v>9598</v>
      </c>
      <c r="B3101" t="s">
        <v>9599</v>
      </c>
      <c r="C3101" t="s">
        <v>9600</v>
      </c>
      <c r="D3101" t="s">
        <v>1175</v>
      </c>
      <c r="E3101" t="str">
        <f>T("73.1")</f>
        <v>73.1</v>
      </c>
      <c r="K3101" t="str">
        <f>T("172.615")</f>
        <v>172.615</v>
      </c>
      <c r="L3101" t="str">
        <f>T("175.105")</f>
        <v>175.105</v>
      </c>
      <c r="M3101" t="str">
        <f>T("175.300")</f>
        <v>175.300</v>
      </c>
      <c r="N3101" t="str">
        <f>T("175.320")</f>
        <v>175.320</v>
      </c>
      <c r="O3101" t="str">
        <f>T("176.170")</f>
        <v>176.170</v>
      </c>
      <c r="P3101" t="str">
        <f>T("176.180")</f>
        <v>176.180</v>
      </c>
      <c r="Q3101" t="str">
        <f>T("177.1200")</f>
        <v>177.1200</v>
      </c>
      <c r="R3101" t="str">
        <f>T("177.2260")</f>
        <v>177.2260</v>
      </c>
      <c r="S3101" t="str">
        <f>T("177.2800")</f>
        <v>177.2800</v>
      </c>
      <c r="T3101" t="str">
        <f>T("181.30")</f>
        <v>181.30</v>
      </c>
    </row>
    <row r="3102" spans="1:34" x14ac:dyDescent="0.3">
      <c r="A3102" t="s">
        <v>9601</v>
      </c>
      <c r="B3102" t="s">
        <v>9602</v>
      </c>
      <c r="C3102" t="s">
        <v>9603</v>
      </c>
      <c r="D3102" t="s">
        <v>846</v>
      </c>
      <c r="E3102" t="str">
        <f>T("73.1")</f>
        <v>73.1</v>
      </c>
      <c r="K3102" t="str">
        <f>T("175.105")</f>
        <v>175.105</v>
      </c>
      <c r="L3102" t="str">
        <f>T("175.300")</f>
        <v>175.300</v>
      </c>
      <c r="M3102" t="str">
        <f>T("175.320")</f>
        <v>175.320</v>
      </c>
      <c r="N3102" t="str">
        <f>T("176.170")</f>
        <v>176.170</v>
      </c>
      <c r="O3102" t="str">
        <f>T("176.180")</f>
        <v>176.180</v>
      </c>
      <c r="P3102" t="str">
        <f>T("177.1200")</f>
        <v>177.1200</v>
      </c>
      <c r="Q3102" t="str">
        <f>T("177.1670")</f>
        <v>177.1670</v>
      </c>
      <c r="R3102" t="str">
        <f>T("177.2260")</f>
        <v>177.2260</v>
      </c>
      <c r="S3102" t="str">
        <f>T("177.2800")</f>
        <v>177.2800</v>
      </c>
      <c r="T3102" t="str">
        <f>T("178.3910")</f>
        <v>178.3910</v>
      </c>
      <c r="U3102" t="str">
        <f>T("181.30")</f>
        <v>181.30</v>
      </c>
    </row>
    <row r="3103" spans="1:34" x14ac:dyDescent="0.3">
      <c r="A3103" t="s">
        <v>9604</v>
      </c>
      <c r="B3103" t="s">
        <v>9605</v>
      </c>
      <c r="C3103" t="s">
        <v>9606</v>
      </c>
      <c r="D3103" t="s">
        <v>2380</v>
      </c>
      <c r="K3103" t="str">
        <f>T("173.50")</f>
        <v>173.50</v>
      </c>
    </row>
    <row r="3104" spans="1:34" x14ac:dyDescent="0.3">
      <c r="A3104" t="s">
        <v>9607</v>
      </c>
      <c r="B3104" t="s">
        <v>9608</v>
      </c>
      <c r="C3104" t="s">
        <v>9609</v>
      </c>
      <c r="D3104" t="s">
        <v>9610</v>
      </c>
      <c r="E3104" t="str">
        <f>T("73.1")</f>
        <v>73.1</v>
      </c>
      <c r="F3104" t="str">
        <f>T("73.1001")</f>
        <v>73.1001</v>
      </c>
      <c r="K3104" t="str">
        <f>T("172.210")</f>
        <v>172.210</v>
      </c>
      <c r="L3104" t="str">
        <f>T("173.55")</f>
        <v>173.55</v>
      </c>
      <c r="M3104" t="str">
        <f>T("175.105")</f>
        <v>175.105</v>
      </c>
      <c r="N3104" t="str">
        <f>T("175.300")</f>
        <v>175.300</v>
      </c>
      <c r="O3104" t="str">
        <f>T("176.170")</f>
        <v>176.170</v>
      </c>
      <c r="P3104" t="str">
        <f>T("176.180")</f>
        <v>176.180</v>
      </c>
      <c r="Q3104" t="str">
        <f>T("176.210")</f>
        <v>176.210</v>
      </c>
    </row>
    <row r="3105" spans="1:34" x14ac:dyDescent="0.3">
      <c r="A3105" t="s">
        <v>9611</v>
      </c>
      <c r="B3105" t="s">
        <v>9612</v>
      </c>
      <c r="C3105" t="s">
        <v>9613</v>
      </c>
      <c r="D3105" t="s">
        <v>7</v>
      </c>
      <c r="K3105" t="str">
        <f>T("182.20")</f>
        <v>182.20</v>
      </c>
      <c r="AG3105" t="str">
        <f>T("2918")</f>
        <v>2918</v>
      </c>
      <c r="AH3105" t="str">
        <f>T("3")</f>
        <v>3</v>
      </c>
    </row>
    <row r="3106" spans="1:34" x14ac:dyDescent="0.3">
      <c r="A3106" t="s">
        <v>9614</v>
      </c>
      <c r="B3106" t="s">
        <v>9615</v>
      </c>
      <c r="C3106" t="s">
        <v>9616</v>
      </c>
      <c r="D3106" t="s">
        <v>7</v>
      </c>
      <c r="K3106" t="str">
        <f>T("172.510")</f>
        <v>172.510</v>
      </c>
    </row>
    <row r="3107" spans="1:34" x14ac:dyDescent="0.3">
      <c r="A3107" t="s">
        <v>9617</v>
      </c>
      <c r="B3107" t="s">
        <v>9618</v>
      </c>
      <c r="C3107" t="s">
        <v>9619</v>
      </c>
      <c r="D3107" t="s">
        <v>7</v>
      </c>
      <c r="K3107" t="str">
        <f>T("182.10")</f>
        <v>182.10</v>
      </c>
      <c r="AG3107" t="str">
        <f>T("2919")</f>
        <v>2919</v>
      </c>
      <c r="AH3107" t="str">
        <f>T("3")</f>
        <v>3</v>
      </c>
    </row>
    <row r="3108" spans="1:34" x14ac:dyDescent="0.3">
      <c r="A3108" t="s">
        <v>9620</v>
      </c>
      <c r="B3108" t="s">
        <v>9621</v>
      </c>
      <c r="C3108" t="s">
        <v>9622</v>
      </c>
      <c r="D3108" t="s">
        <v>7</v>
      </c>
      <c r="K3108" t="str">
        <f>T("172.515")</f>
        <v>172.515</v>
      </c>
      <c r="AG3108" t="str">
        <f>T("2920")</f>
        <v>2920</v>
      </c>
      <c r="AH3108" t="str">
        <f>T("3")</f>
        <v>3</v>
      </c>
    </row>
    <row r="3109" spans="1:34" x14ac:dyDescent="0.3">
      <c r="A3109" t="s">
        <v>9623</v>
      </c>
      <c r="B3109" t="s">
        <v>9624</v>
      </c>
      <c r="C3109" t="s">
        <v>9625</v>
      </c>
      <c r="D3109" t="s">
        <v>8027</v>
      </c>
    </row>
    <row r="3110" spans="1:34" x14ac:dyDescent="0.3">
      <c r="A3110" t="s">
        <v>9626</v>
      </c>
      <c r="B3110" t="s">
        <v>9627</v>
      </c>
      <c r="C3110" t="s">
        <v>9628</v>
      </c>
      <c r="D3110" t="s">
        <v>184</v>
      </c>
      <c r="K3110" t="str">
        <f>T("177.1210")</f>
        <v>177.1210</v>
      </c>
      <c r="AF3110" t="str">
        <f>T("166.11")</f>
        <v>166.11</v>
      </c>
    </row>
    <row r="3111" spans="1:34" x14ac:dyDescent="0.3">
      <c r="A3111" t="s">
        <v>9629</v>
      </c>
      <c r="B3111" t="s">
        <v>9630</v>
      </c>
      <c r="C3111" t="s">
        <v>9631</v>
      </c>
      <c r="D3111" t="s">
        <v>9632</v>
      </c>
      <c r="E3111" t="str">
        <f>T("73.85")</f>
        <v>73.85</v>
      </c>
      <c r="K3111" t="str">
        <f>T("184.1613")</f>
        <v>184.1613</v>
      </c>
      <c r="AF3111" t="s">
        <v>553</v>
      </c>
    </row>
    <row r="3112" spans="1:34" x14ac:dyDescent="0.3">
      <c r="A3112" t="s">
        <v>9633</v>
      </c>
      <c r="B3112" t="s">
        <v>9634</v>
      </c>
      <c r="C3112" t="s">
        <v>9635</v>
      </c>
      <c r="D3112" t="s">
        <v>184</v>
      </c>
      <c r="K3112" t="str">
        <f>T("182.3616")</f>
        <v>182.3616</v>
      </c>
    </row>
    <row r="3113" spans="1:34" x14ac:dyDescent="0.3">
      <c r="A3113" t="s">
        <v>9636</v>
      </c>
      <c r="B3113" t="s">
        <v>9637</v>
      </c>
      <c r="C3113" t="s">
        <v>9638</v>
      </c>
    </row>
    <row r="3114" spans="1:34" x14ac:dyDescent="0.3">
      <c r="A3114" t="s">
        <v>9639</v>
      </c>
      <c r="B3114" t="s">
        <v>9640</v>
      </c>
      <c r="C3114" t="s">
        <v>9641</v>
      </c>
      <c r="D3114" t="s">
        <v>9642</v>
      </c>
      <c r="K3114" t="str">
        <f>T("172.730")</f>
        <v>172.730</v>
      </c>
      <c r="AF3114" t="s">
        <v>9643</v>
      </c>
    </row>
    <row r="3115" spans="1:34" x14ac:dyDescent="0.3">
      <c r="A3115" t="s">
        <v>9644</v>
      </c>
      <c r="B3115" t="s">
        <v>9645</v>
      </c>
      <c r="C3115" t="s">
        <v>9646</v>
      </c>
      <c r="D3115" t="s">
        <v>3667</v>
      </c>
      <c r="K3115" t="str">
        <f>T("173.315")</f>
        <v>173.315</v>
      </c>
      <c r="L3115" t="str">
        <f>T("178.1010")</f>
        <v>178.1010</v>
      </c>
      <c r="M3115" t="str">
        <f>T("178.2010")</f>
        <v>178.2010</v>
      </c>
    </row>
    <row r="3116" spans="1:34" x14ac:dyDescent="0.3">
      <c r="A3116" t="s">
        <v>9647</v>
      </c>
      <c r="B3116" t="s">
        <v>9648</v>
      </c>
      <c r="C3116" t="s">
        <v>9649</v>
      </c>
      <c r="D3116" t="s">
        <v>1417</v>
      </c>
      <c r="K3116" t="str">
        <f>T("172.863")</f>
        <v>172.863</v>
      </c>
    </row>
    <row r="3117" spans="1:34" x14ac:dyDescent="0.3">
      <c r="A3117" t="s">
        <v>9650</v>
      </c>
      <c r="B3117" t="s">
        <v>9651</v>
      </c>
      <c r="C3117" t="s">
        <v>9652</v>
      </c>
      <c r="D3117" t="s">
        <v>1417</v>
      </c>
      <c r="K3117" t="str">
        <f>T("172.863")</f>
        <v>172.863</v>
      </c>
    </row>
    <row r="3118" spans="1:34" x14ac:dyDescent="0.3">
      <c r="A3118" t="s">
        <v>9653</v>
      </c>
      <c r="B3118" t="s">
        <v>9654</v>
      </c>
      <c r="C3118" t="s">
        <v>9655</v>
      </c>
      <c r="D3118" t="s">
        <v>9656</v>
      </c>
      <c r="E3118" t="str">
        <f>T("73.85")</f>
        <v>73.85</v>
      </c>
      <c r="K3118" t="str">
        <f>T("172.560")</f>
        <v>172.560</v>
      </c>
      <c r="L3118" t="str">
        <f>T("173.310")</f>
        <v>173.310</v>
      </c>
      <c r="M3118" t="str">
        <f>T("184.1619")</f>
        <v>184.1619</v>
      </c>
      <c r="AF3118" t="s">
        <v>553</v>
      </c>
    </row>
    <row r="3119" spans="1:34" x14ac:dyDescent="0.3">
      <c r="A3119" t="s">
        <v>9657</v>
      </c>
      <c r="B3119" t="s">
        <v>9658</v>
      </c>
      <c r="C3119" t="s">
        <v>9659</v>
      </c>
      <c r="D3119" t="s">
        <v>9660</v>
      </c>
      <c r="AF3119" t="s">
        <v>561</v>
      </c>
    </row>
    <row r="3120" spans="1:34" x14ac:dyDescent="0.3">
      <c r="A3120" t="s">
        <v>9661</v>
      </c>
      <c r="B3120" t="s">
        <v>9662</v>
      </c>
      <c r="C3120" t="s">
        <v>9663</v>
      </c>
      <c r="D3120" t="s">
        <v>11</v>
      </c>
      <c r="AD3120" t="str">
        <f>T("189.135")</f>
        <v>189.135</v>
      </c>
    </row>
    <row r="3121" spans="1:37" x14ac:dyDescent="0.3">
      <c r="A3121" t="s">
        <v>9664</v>
      </c>
      <c r="B3121" t="s">
        <v>9665</v>
      </c>
      <c r="C3121" t="s">
        <v>9666</v>
      </c>
      <c r="D3121" t="s">
        <v>7</v>
      </c>
      <c r="AG3121" t="str">
        <f>T("3752")</f>
        <v>3752</v>
      </c>
      <c r="AH3121" t="str">
        <f>T("14")</f>
        <v>14</v>
      </c>
      <c r="AK3121" t="str">
        <f>T("933")</f>
        <v>933</v>
      </c>
    </row>
    <row r="3122" spans="1:37" x14ac:dyDescent="0.3">
      <c r="A3122" t="s">
        <v>9667</v>
      </c>
      <c r="B3122" t="s">
        <v>9668</v>
      </c>
      <c r="C3122" t="s">
        <v>9669</v>
      </c>
      <c r="D3122" t="s">
        <v>137</v>
      </c>
      <c r="K3122" t="str">
        <f>T("172.350")</f>
        <v>172.350</v>
      </c>
    </row>
    <row r="3123" spans="1:37" x14ac:dyDescent="0.3">
      <c r="A3123" t="s">
        <v>9670</v>
      </c>
      <c r="B3123" t="s">
        <v>9671</v>
      </c>
      <c r="C3123" t="s">
        <v>9672</v>
      </c>
      <c r="D3123" t="s">
        <v>199</v>
      </c>
      <c r="K3123" t="str">
        <f>T("172.725")</f>
        <v>172.725</v>
      </c>
    </row>
    <row r="3124" spans="1:37" x14ac:dyDescent="0.3">
      <c r="A3124" t="s">
        <v>9673</v>
      </c>
      <c r="B3124" t="s">
        <v>9674</v>
      </c>
      <c r="C3124" t="s">
        <v>9675</v>
      </c>
      <c r="D3124" t="s">
        <v>1067</v>
      </c>
    </row>
    <row r="3125" spans="1:37" x14ac:dyDescent="0.3">
      <c r="A3125" t="s">
        <v>9676</v>
      </c>
      <c r="B3125" t="s">
        <v>9677</v>
      </c>
      <c r="C3125" t="s">
        <v>9678</v>
      </c>
    </row>
    <row r="3126" spans="1:37" x14ac:dyDescent="0.3">
      <c r="A3126" t="s">
        <v>9679</v>
      </c>
      <c r="B3126" t="s">
        <v>9680</v>
      </c>
      <c r="C3126" t="s">
        <v>9681</v>
      </c>
      <c r="D3126" t="s">
        <v>9682</v>
      </c>
      <c r="E3126" t="str">
        <f>T("73.85")</f>
        <v>73.85</v>
      </c>
      <c r="K3126" t="str">
        <f>T("172.841")</f>
        <v>172.841</v>
      </c>
      <c r="L3126" t="str">
        <f>T("175.210")</f>
        <v>175.210</v>
      </c>
      <c r="M3126" t="str">
        <f>T("176.180")</f>
        <v>176.180</v>
      </c>
      <c r="N3126" t="str">
        <f>T("176.210")</f>
        <v>176.210</v>
      </c>
      <c r="O3126" t="str">
        <f>T("177.1600")</f>
        <v>177.1600</v>
      </c>
      <c r="P3126" t="str">
        <f>T("177.2800")</f>
        <v>177.2800</v>
      </c>
      <c r="Q3126" t="str">
        <f>T("184.1631")</f>
        <v>184.1631</v>
      </c>
      <c r="AF3126" t="s">
        <v>553</v>
      </c>
    </row>
    <row r="3127" spans="1:37" x14ac:dyDescent="0.3">
      <c r="A3127" t="s">
        <v>9683</v>
      </c>
      <c r="B3127" t="s">
        <v>9684</v>
      </c>
      <c r="C3127" t="s">
        <v>9685</v>
      </c>
    </row>
    <row r="3128" spans="1:37" x14ac:dyDescent="0.3">
      <c r="A3128" t="s">
        <v>9686</v>
      </c>
      <c r="B3128" t="s">
        <v>9687</v>
      </c>
      <c r="C3128" t="s">
        <v>9688</v>
      </c>
    </row>
    <row r="3129" spans="1:37" x14ac:dyDescent="0.3">
      <c r="A3129" t="s">
        <v>9689</v>
      </c>
      <c r="B3129" t="s">
        <v>9690</v>
      </c>
      <c r="C3129" t="s">
        <v>9691</v>
      </c>
      <c r="D3129" t="s">
        <v>9692</v>
      </c>
      <c r="K3129" t="str">
        <f>T("184.1635")</f>
        <v>184.1635</v>
      </c>
      <c r="AF3129" t="str">
        <f>T("136.11")</f>
        <v>136.11</v>
      </c>
    </row>
    <row r="3130" spans="1:37" x14ac:dyDescent="0.3">
      <c r="A3130" t="s">
        <v>9693</v>
      </c>
      <c r="B3130" t="s">
        <v>9694</v>
      </c>
      <c r="C3130" t="s">
        <v>9695</v>
      </c>
      <c r="D3130" t="s">
        <v>9696</v>
      </c>
      <c r="K3130" t="str">
        <f>T("172.375")</f>
        <v>172.375</v>
      </c>
      <c r="L3130" t="str">
        <f>T("178.1010")</f>
        <v>178.1010</v>
      </c>
      <c r="M3130" t="str">
        <f>T("184.1634")</f>
        <v>184.1634</v>
      </c>
    </row>
    <row r="3131" spans="1:37" x14ac:dyDescent="0.3">
      <c r="A3131" t="s">
        <v>9697</v>
      </c>
      <c r="B3131" t="s">
        <v>9698</v>
      </c>
      <c r="C3131" t="s">
        <v>9699</v>
      </c>
      <c r="D3131" t="s">
        <v>3104</v>
      </c>
      <c r="K3131" t="str">
        <f>T("184.1639")</f>
        <v>184.1639</v>
      </c>
    </row>
    <row r="3132" spans="1:37" x14ac:dyDescent="0.3">
      <c r="A3132" t="s">
        <v>9700</v>
      </c>
      <c r="B3132" t="s">
        <v>9701</v>
      </c>
      <c r="C3132" t="s">
        <v>9702</v>
      </c>
      <c r="D3132" t="s">
        <v>1417</v>
      </c>
      <c r="K3132" t="str">
        <f>T("172.863")</f>
        <v>172.863</v>
      </c>
    </row>
    <row r="3133" spans="1:37" x14ac:dyDescent="0.3">
      <c r="A3133" t="s">
        <v>9703</v>
      </c>
      <c r="B3133" t="s">
        <v>9704</v>
      </c>
      <c r="C3133" t="s">
        <v>9705</v>
      </c>
      <c r="D3133" t="s">
        <v>9706</v>
      </c>
      <c r="K3133" t="str">
        <f>T("182.3637")</f>
        <v>182.3637</v>
      </c>
    </row>
    <row r="3134" spans="1:37" x14ac:dyDescent="0.3">
      <c r="A3134" t="s">
        <v>9707</v>
      </c>
      <c r="B3134" t="s">
        <v>9708</v>
      </c>
      <c r="C3134" t="s">
        <v>9709</v>
      </c>
      <c r="D3134" t="s">
        <v>184</v>
      </c>
      <c r="K3134" t="str">
        <f>T("173.320")</f>
        <v>173.320</v>
      </c>
      <c r="L3134" t="str">
        <f>T("175.105")</f>
        <v>175.105</v>
      </c>
      <c r="M3134" t="str">
        <f>T("176.300")</f>
        <v>176.300</v>
      </c>
      <c r="N3134" t="str">
        <f>T("178.3120")</f>
        <v>178.3120</v>
      </c>
    </row>
    <row r="3135" spans="1:37" x14ac:dyDescent="0.3">
      <c r="A3135" t="s">
        <v>9710</v>
      </c>
      <c r="B3135" t="s">
        <v>9711</v>
      </c>
      <c r="C3135" t="s">
        <v>9712</v>
      </c>
      <c r="D3135" t="s">
        <v>1417</v>
      </c>
      <c r="K3135" t="str">
        <f>T("172.863")</f>
        <v>172.863</v>
      </c>
    </row>
    <row r="3136" spans="1:37" x14ac:dyDescent="0.3">
      <c r="A3136" t="s">
        <v>9713</v>
      </c>
      <c r="B3136" t="s">
        <v>9714</v>
      </c>
      <c r="C3136" t="s">
        <v>9715</v>
      </c>
      <c r="D3136" t="s">
        <v>9716</v>
      </c>
      <c r="K3136" t="str">
        <f>T("172.160")</f>
        <v>172.160</v>
      </c>
      <c r="L3136" t="str">
        <f>T("181.33")</f>
        <v>181.33</v>
      </c>
      <c r="M3136" t="str">
        <f>T("181.34")</f>
        <v>181.34</v>
      </c>
    </row>
    <row r="3137" spans="1:32" x14ac:dyDescent="0.3">
      <c r="A3137" t="s">
        <v>9717</v>
      </c>
      <c r="B3137" t="s">
        <v>9718</v>
      </c>
      <c r="C3137" t="s">
        <v>9719</v>
      </c>
      <c r="K3137" t="str">
        <f>T("181.33")</f>
        <v>181.33</v>
      </c>
      <c r="L3137" t="str">
        <f>T("181.34")</f>
        <v>181.34</v>
      </c>
    </row>
    <row r="3138" spans="1:32" x14ac:dyDescent="0.3">
      <c r="A3138" t="s">
        <v>9720</v>
      </c>
      <c r="B3138" t="s">
        <v>9721</v>
      </c>
      <c r="C3138" t="s">
        <v>9722</v>
      </c>
      <c r="D3138" t="s">
        <v>9723</v>
      </c>
      <c r="K3138" t="str">
        <f>T("172.863")</f>
        <v>172.863</v>
      </c>
      <c r="L3138" t="str">
        <f>T("175.300")</f>
        <v>175.300</v>
      </c>
      <c r="M3138" t="str">
        <f>T("181.29")</f>
        <v>181.29</v>
      </c>
    </row>
    <row r="3139" spans="1:32" x14ac:dyDescent="0.3">
      <c r="A3139" t="s">
        <v>9724</v>
      </c>
      <c r="B3139" t="s">
        <v>9725</v>
      </c>
      <c r="C3139" t="s">
        <v>9726</v>
      </c>
      <c r="D3139" t="s">
        <v>453</v>
      </c>
      <c r="K3139" t="str">
        <f>T("172.863")</f>
        <v>172.863</v>
      </c>
    </row>
    <row r="3140" spans="1:32" x14ac:dyDescent="0.3">
      <c r="A3140" t="s">
        <v>9727</v>
      </c>
      <c r="B3140" t="s">
        <v>9728</v>
      </c>
      <c r="C3140" t="s">
        <v>9729</v>
      </c>
      <c r="D3140" t="s">
        <v>1623</v>
      </c>
      <c r="K3140" t="str">
        <f>T("184.1588")</f>
        <v>184.1588</v>
      </c>
    </row>
    <row r="3141" spans="1:32" x14ac:dyDescent="0.3">
      <c r="A3141" t="s">
        <v>9730</v>
      </c>
      <c r="B3141" t="s">
        <v>9731</v>
      </c>
      <c r="C3141" t="s">
        <v>9732</v>
      </c>
      <c r="D3141" t="s">
        <v>453</v>
      </c>
      <c r="K3141" t="str">
        <f>T("172.892")</f>
        <v>172.892</v>
      </c>
      <c r="L3141" t="str">
        <f>T("175.105")</f>
        <v>175.105</v>
      </c>
      <c r="M3141" t="str">
        <f>T("178.1010")</f>
        <v>178.1010</v>
      </c>
    </row>
    <row r="3142" spans="1:32" x14ac:dyDescent="0.3">
      <c r="A3142" t="s">
        <v>9733</v>
      </c>
      <c r="B3142" t="s">
        <v>9734</v>
      </c>
      <c r="C3142" t="s">
        <v>9735</v>
      </c>
      <c r="D3142" t="s">
        <v>420</v>
      </c>
      <c r="K3142" t="str">
        <f>T("172.210")</f>
        <v>172.210</v>
      </c>
      <c r="L3142" t="str">
        <f>T("175.105")</f>
        <v>175.105</v>
      </c>
      <c r="M3142" t="str">
        <f>T("175.210")</f>
        <v>175.210</v>
      </c>
      <c r="N3142" t="str">
        <f>T("176.170")</f>
        <v>176.170</v>
      </c>
      <c r="O3142" t="str">
        <f>T("177.1210")</f>
        <v>177.1210</v>
      </c>
      <c r="P3142" t="str">
        <f>T("177.2600")</f>
        <v>177.2600</v>
      </c>
    </row>
    <row r="3143" spans="1:32" x14ac:dyDescent="0.3">
      <c r="A3143" t="s">
        <v>9736</v>
      </c>
      <c r="B3143" t="s">
        <v>9737</v>
      </c>
      <c r="C3143" t="s">
        <v>9738</v>
      </c>
      <c r="D3143" t="s">
        <v>9739</v>
      </c>
      <c r="K3143" t="str">
        <f>T("175.105")</f>
        <v>175.105</v>
      </c>
      <c r="AF3143" t="s">
        <v>9740</v>
      </c>
    </row>
    <row r="3144" spans="1:32" x14ac:dyDescent="0.3">
      <c r="A3144" t="s">
        <v>9741</v>
      </c>
      <c r="B3144" t="s">
        <v>9742</v>
      </c>
      <c r="C3144" t="s">
        <v>9743</v>
      </c>
      <c r="D3144" t="s">
        <v>9744</v>
      </c>
      <c r="E3144" t="str">
        <f>T("73.85")</f>
        <v>73.85</v>
      </c>
      <c r="K3144" t="str">
        <f>T("175.105")</f>
        <v>175.105</v>
      </c>
      <c r="L3144" t="str">
        <f>T("176.170")</f>
        <v>176.170</v>
      </c>
      <c r="M3144" t="str">
        <f>T("176.180")</f>
        <v>176.180</v>
      </c>
    </row>
    <row r="3145" spans="1:32" x14ac:dyDescent="0.3">
      <c r="A3145" t="s">
        <v>9745</v>
      </c>
      <c r="B3145" t="s">
        <v>9746</v>
      </c>
      <c r="C3145" t="s">
        <v>9747</v>
      </c>
      <c r="D3145" t="s">
        <v>9748</v>
      </c>
    </row>
    <row r="3146" spans="1:32" x14ac:dyDescent="0.3">
      <c r="A3146" t="s">
        <v>9749</v>
      </c>
      <c r="B3146" t="s">
        <v>9750</v>
      </c>
      <c r="C3146" t="s">
        <v>9751</v>
      </c>
      <c r="D3146" t="s">
        <v>8027</v>
      </c>
      <c r="K3146" t="str">
        <f>T("173.315")</f>
        <v>173.315</v>
      </c>
    </row>
    <row r="3147" spans="1:32" x14ac:dyDescent="0.3">
      <c r="A3147" t="s">
        <v>9752</v>
      </c>
      <c r="B3147" t="s">
        <v>9753</v>
      </c>
      <c r="C3147" t="s">
        <v>9754</v>
      </c>
      <c r="D3147" t="s">
        <v>453</v>
      </c>
      <c r="K3147" t="str">
        <f>T("172.863")</f>
        <v>172.863</v>
      </c>
      <c r="L3147" t="str">
        <f>T("175.105")</f>
        <v>175.105</v>
      </c>
      <c r="M3147" t="str">
        <f>T("177.2600")</f>
        <v>177.2600</v>
      </c>
      <c r="N3147" t="str">
        <f>T("178.3910")</f>
        <v>178.3910</v>
      </c>
    </row>
    <row r="3148" spans="1:32" x14ac:dyDescent="0.3">
      <c r="A3148" t="s">
        <v>9755</v>
      </c>
      <c r="B3148" t="s">
        <v>9756</v>
      </c>
      <c r="C3148" t="s">
        <v>9757</v>
      </c>
      <c r="D3148" t="s">
        <v>9758</v>
      </c>
      <c r="K3148" t="str">
        <f>T("172.615")</f>
        <v>172.615</v>
      </c>
      <c r="L3148" t="str">
        <f>T("172.863")</f>
        <v>172.863</v>
      </c>
      <c r="M3148" t="str">
        <f>T("173.340")</f>
        <v>173.340</v>
      </c>
      <c r="N3148" t="str">
        <f>T("175.300")</f>
        <v>175.300</v>
      </c>
      <c r="O3148" t="str">
        <f>T("179.45")</f>
        <v>179.45</v>
      </c>
      <c r="P3148" t="str">
        <f>T("181.29")</f>
        <v>181.29</v>
      </c>
    </row>
    <row r="3149" spans="1:32" x14ac:dyDescent="0.3">
      <c r="A3149" t="s">
        <v>9759</v>
      </c>
      <c r="B3149" t="s">
        <v>9760</v>
      </c>
      <c r="C3149" t="s">
        <v>9761</v>
      </c>
      <c r="D3149" t="s">
        <v>9762</v>
      </c>
      <c r="E3149" t="str">
        <f>T("73.85")</f>
        <v>73.85</v>
      </c>
      <c r="K3149" t="str">
        <f>T("184.1643")</f>
        <v>184.1643</v>
      </c>
    </row>
    <row r="3150" spans="1:32" x14ac:dyDescent="0.3">
      <c r="A3150" t="s">
        <v>9763</v>
      </c>
      <c r="B3150" t="s">
        <v>9764</v>
      </c>
      <c r="C3150" t="s">
        <v>9765</v>
      </c>
      <c r="E3150" t="str">
        <f>T("73.85")</f>
        <v>73.85</v>
      </c>
    </row>
    <row r="3151" spans="1:32" x14ac:dyDescent="0.3">
      <c r="A3151" t="s">
        <v>9766</v>
      </c>
      <c r="B3151" t="s">
        <v>9767</v>
      </c>
      <c r="C3151" t="s">
        <v>9768</v>
      </c>
      <c r="D3151" t="s">
        <v>9769</v>
      </c>
      <c r="K3151" t="str">
        <f>T("173.310")</f>
        <v>173.310</v>
      </c>
      <c r="L3151" t="str">
        <f>T("175.105")</f>
        <v>175.105</v>
      </c>
    </row>
    <row r="3152" spans="1:32" x14ac:dyDescent="0.3">
      <c r="A3152" t="s">
        <v>9770</v>
      </c>
      <c r="B3152" t="s">
        <v>9771</v>
      </c>
      <c r="C3152" t="s">
        <v>9772</v>
      </c>
      <c r="D3152" t="s">
        <v>9773</v>
      </c>
      <c r="K3152" t="str">
        <f>T("182.70")</f>
        <v>182.70</v>
      </c>
    </row>
    <row r="3153" spans="1:37" x14ac:dyDescent="0.3">
      <c r="A3153" t="s">
        <v>9774</v>
      </c>
      <c r="B3153" t="s">
        <v>9775</v>
      </c>
      <c r="C3153" t="s">
        <v>9776</v>
      </c>
      <c r="D3153" t="s">
        <v>7</v>
      </c>
      <c r="AG3153" t="str">
        <f>T("4202")</f>
        <v>4202</v>
      </c>
      <c r="AH3153" t="str">
        <f>T("22")</f>
        <v>22</v>
      </c>
      <c r="AK3153" t="str">
        <f>T("1827")</f>
        <v>1827</v>
      </c>
    </row>
    <row r="3154" spans="1:37" x14ac:dyDescent="0.3">
      <c r="A3154" t="s">
        <v>9777</v>
      </c>
      <c r="B3154" t="s">
        <v>9778</v>
      </c>
      <c r="C3154" t="s">
        <v>9779</v>
      </c>
      <c r="D3154" t="s">
        <v>7</v>
      </c>
      <c r="AG3154" t="str">
        <f>T("4203")</f>
        <v>4203</v>
      </c>
      <c r="AH3154" t="str">
        <f>T("22")</f>
        <v>22</v>
      </c>
      <c r="AK3154" t="str">
        <f>T("2063")</f>
        <v>2063</v>
      </c>
    </row>
    <row r="3155" spans="1:37" x14ac:dyDescent="0.3">
      <c r="A3155" t="s">
        <v>9780</v>
      </c>
      <c r="B3155" t="s">
        <v>9781</v>
      </c>
      <c r="C3155" t="s">
        <v>9782</v>
      </c>
      <c r="D3155" t="s">
        <v>7</v>
      </c>
      <c r="AG3155" t="str">
        <f>T("4204")</f>
        <v>4204</v>
      </c>
      <c r="AH3155" t="str">
        <f>T("22")</f>
        <v>22</v>
      </c>
      <c r="AK3155" t="str">
        <f>T("1829")</f>
        <v>1829</v>
      </c>
    </row>
    <row r="3156" spans="1:37" x14ac:dyDescent="0.3">
      <c r="A3156" t="s">
        <v>9783</v>
      </c>
      <c r="B3156" t="s">
        <v>9784</v>
      </c>
      <c r="C3156" t="s">
        <v>9785</v>
      </c>
      <c r="D3156" t="s">
        <v>7</v>
      </c>
      <c r="AG3156" t="str">
        <f>T("4205")</f>
        <v>4205</v>
      </c>
      <c r="AH3156" t="str">
        <f>T("22")</f>
        <v>22</v>
      </c>
      <c r="AK3156" t="str">
        <f>T("1826")</f>
        <v>1826</v>
      </c>
    </row>
    <row r="3157" spans="1:37" x14ac:dyDescent="0.3">
      <c r="A3157" t="s">
        <v>9786</v>
      </c>
      <c r="B3157" t="s">
        <v>9787</v>
      </c>
      <c r="C3157" t="s">
        <v>9788</v>
      </c>
      <c r="D3157" t="s">
        <v>7</v>
      </c>
      <c r="AG3157" t="str">
        <f>T("4206")</f>
        <v>4206</v>
      </c>
      <c r="AH3157" t="str">
        <f>T("22")</f>
        <v>22</v>
      </c>
      <c r="AK3157" t="str">
        <f>T("1828")</f>
        <v>1828</v>
      </c>
    </row>
    <row r="3158" spans="1:37" x14ac:dyDescent="0.3">
      <c r="A3158" t="s">
        <v>9789</v>
      </c>
      <c r="B3158" t="s">
        <v>9790</v>
      </c>
      <c r="C3158" t="s">
        <v>9791</v>
      </c>
      <c r="D3158" t="s">
        <v>7</v>
      </c>
      <c r="AG3158" t="str">
        <f>T("3895")</f>
        <v>3895</v>
      </c>
      <c r="AH3158" t="str">
        <f>T("18")</f>
        <v>18</v>
      </c>
      <c r="AK3158" t="str">
        <f>T("491")</f>
        <v>491</v>
      </c>
    </row>
    <row r="3159" spans="1:37" x14ac:dyDescent="0.3">
      <c r="A3159" t="s">
        <v>9792</v>
      </c>
      <c r="B3159" t="s">
        <v>9793</v>
      </c>
      <c r="C3159" t="s">
        <v>9794</v>
      </c>
      <c r="D3159" t="s">
        <v>7</v>
      </c>
      <c r="AG3159" t="str">
        <f>T("3896")</f>
        <v>3896</v>
      </c>
      <c r="AH3159" t="str">
        <f>T("18")</f>
        <v>18</v>
      </c>
      <c r="AK3159" t="str">
        <f>T("522")</f>
        <v>522</v>
      </c>
    </row>
    <row r="3160" spans="1:37" x14ac:dyDescent="0.3">
      <c r="A3160" t="s">
        <v>9795</v>
      </c>
      <c r="B3160" t="s">
        <v>9796</v>
      </c>
      <c r="C3160" t="s">
        <v>9797</v>
      </c>
      <c r="D3160" t="s">
        <v>7</v>
      </c>
      <c r="K3160" t="str">
        <f>T("182.20")</f>
        <v>182.20</v>
      </c>
      <c r="AG3160" t="str">
        <f>T("2110")</f>
        <v>2110</v>
      </c>
      <c r="AH3160" t="str">
        <f>T("3")</f>
        <v>3</v>
      </c>
    </row>
    <row r="3161" spans="1:37" x14ac:dyDescent="0.3">
      <c r="A3161" t="s">
        <v>9798</v>
      </c>
      <c r="B3161" t="s">
        <v>9799</v>
      </c>
      <c r="C3161" t="s">
        <v>9800</v>
      </c>
      <c r="D3161" t="s">
        <v>7</v>
      </c>
      <c r="K3161" t="str">
        <f>T("182.20")</f>
        <v>182.20</v>
      </c>
    </row>
    <row r="3162" spans="1:37" x14ac:dyDescent="0.3">
      <c r="A3162" t="s">
        <v>9801</v>
      </c>
      <c r="B3162" t="s">
        <v>9802</v>
      </c>
      <c r="C3162" t="s">
        <v>9803</v>
      </c>
      <c r="D3162" t="s">
        <v>213</v>
      </c>
      <c r="K3162" t="str">
        <f>T("172.320")</f>
        <v>172.320</v>
      </c>
      <c r="AG3162" t="str">
        <f>T("3319")</f>
        <v>3319</v>
      </c>
      <c r="AH3162" t="str">
        <f>T("5")</f>
        <v>5</v>
      </c>
      <c r="AK3162" t="str">
        <f>T("1425")</f>
        <v>1425</v>
      </c>
    </row>
    <row r="3163" spans="1:37" x14ac:dyDescent="0.3">
      <c r="A3163" t="s">
        <v>9804</v>
      </c>
      <c r="B3163" t="s">
        <v>9805</v>
      </c>
      <c r="C3163" t="s">
        <v>9806</v>
      </c>
      <c r="D3163" t="s">
        <v>1185</v>
      </c>
      <c r="K3163" t="str">
        <f>T("173.350")</f>
        <v>173.350</v>
      </c>
      <c r="L3163" t="str">
        <f>T("184.1655")</f>
        <v>184.1655</v>
      </c>
    </row>
    <row r="3164" spans="1:37" x14ac:dyDescent="0.3">
      <c r="A3164" t="s">
        <v>9807</v>
      </c>
      <c r="B3164" t="s">
        <v>9808</v>
      </c>
      <c r="C3164" t="s">
        <v>9809</v>
      </c>
      <c r="D3164" t="s">
        <v>7</v>
      </c>
      <c r="AG3164" t="str">
        <f>T("4670")</f>
        <v>4670</v>
      </c>
      <c r="AH3164" t="str">
        <f>T("25")</f>
        <v>25</v>
      </c>
      <c r="AK3164" t="str">
        <f>T("2087")</f>
        <v>2087</v>
      </c>
    </row>
    <row r="3165" spans="1:37" x14ac:dyDescent="0.3">
      <c r="A3165" t="s">
        <v>9810</v>
      </c>
      <c r="B3165" t="s">
        <v>9811</v>
      </c>
      <c r="C3165" t="s">
        <v>9812</v>
      </c>
      <c r="D3165" t="s">
        <v>7</v>
      </c>
      <c r="AG3165" t="str">
        <f>T("3520")</f>
        <v>3520</v>
      </c>
      <c r="AH3165" t="str">
        <f>T("10")</f>
        <v>10</v>
      </c>
      <c r="AK3165" t="str">
        <f>T("536")</f>
        <v>536</v>
      </c>
    </row>
    <row r="3166" spans="1:37" x14ac:dyDescent="0.3">
      <c r="A3166" t="s">
        <v>9813</v>
      </c>
      <c r="B3166" t="s">
        <v>9814</v>
      </c>
      <c r="C3166" t="s">
        <v>9815</v>
      </c>
      <c r="D3166" t="s">
        <v>7</v>
      </c>
      <c r="AG3166" t="str">
        <f>T("3588")</f>
        <v>3588</v>
      </c>
      <c r="AH3166" t="str">
        <f>T("11")</f>
        <v>11</v>
      </c>
      <c r="AK3166" t="str">
        <f>T("535")</f>
        <v>535</v>
      </c>
    </row>
    <row r="3167" spans="1:37" x14ac:dyDescent="0.3">
      <c r="A3167" t="s">
        <v>9816</v>
      </c>
      <c r="B3167" t="s">
        <v>9817</v>
      </c>
      <c r="C3167" t="s">
        <v>9818</v>
      </c>
      <c r="D3167" t="s">
        <v>7</v>
      </c>
      <c r="AG3167" t="str">
        <f>T("3897")</f>
        <v>3897</v>
      </c>
      <c r="AH3167" t="str">
        <f>T("18")</f>
        <v>18</v>
      </c>
      <c r="AK3167" t="str">
        <f>T("510")</f>
        <v>510</v>
      </c>
    </row>
    <row r="3168" spans="1:37" x14ac:dyDescent="0.3">
      <c r="A3168" t="s">
        <v>9819</v>
      </c>
      <c r="B3168" t="s">
        <v>9820</v>
      </c>
      <c r="C3168" t="s">
        <v>9821</v>
      </c>
      <c r="D3168" t="s">
        <v>7</v>
      </c>
      <c r="AG3168" t="str">
        <f>T("3415")</f>
        <v>3415</v>
      </c>
      <c r="AH3168" t="str">
        <f>T("7")</f>
        <v>7</v>
      </c>
      <c r="AI3168" t="str">
        <f>T("25")</f>
        <v>25</v>
      </c>
      <c r="AK3168" t="str">
        <f>T("461")</f>
        <v>461</v>
      </c>
    </row>
    <row r="3169" spans="1:37" ht="129.6" x14ac:dyDescent="0.3">
      <c r="A3169" t="s">
        <v>9822</v>
      </c>
      <c r="B3169" t="s">
        <v>9823</v>
      </c>
      <c r="C3169" s="1" t="s">
        <v>9824</v>
      </c>
      <c r="D3169" t="s">
        <v>7</v>
      </c>
      <c r="AG3169" t="str">
        <f>T("3728")</f>
        <v>3728</v>
      </c>
      <c r="AH3169" t="str">
        <f>T("13")</f>
        <v>13</v>
      </c>
      <c r="AK3169" t="str">
        <f>T("1265")</f>
        <v>1265</v>
      </c>
    </row>
    <row r="3170" spans="1:37" x14ac:dyDescent="0.3">
      <c r="A3170" t="s">
        <v>9825</v>
      </c>
      <c r="B3170" t="s">
        <v>9826</v>
      </c>
      <c r="C3170" t="s">
        <v>9827</v>
      </c>
      <c r="D3170" t="s">
        <v>7</v>
      </c>
      <c r="K3170" t="str">
        <f>T("172.515")</f>
        <v>172.515</v>
      </c>
      <c r="AG3170" t="str">
        <f>T("2922")</f>
        <v>2922</v>
      </c>
      <c r="AH3170" t="str">
        <f>T("3")</f>
        <v>3</v>
      </c>
      <c r="AI3170" t="str">
        <f>T("25")</f>
        <v>25</v>
      </c>
      <c r="AK3170" t="str">
        <f>T("1264")</f>
        <v>1264</v>
      </c>
    </row>
    <row r="3171" spans="1:37" x14ac:dyDescent="0.3">
      <c r="A3171" t="s">
        <v>9828</v>
      </c>
      <c r="B3171" t="s">
        <v>9829</v>
      </c>
      <c r="C3171" t="s">
        <v>9830</v>
      </c>
      <c r="D3171" t="s">
        <v>7</v>
      </c>
      <c r="AG3171" t="str">
        <f>T("4062")</f>
        <v>4062</v>
      </c>
      <c r="AH3171" t="str">
        <f>T("21")</f>
        <v>21</v>
      </c>
      <c r="AK3171" t="str">
        <f>T("2012")</f>
        <v>2012</v>
      </c>
    </row>
    <row r="3172" spans="1:37" x14ac:dyDescent="0.3">
      <c r="A3172" t="s">
        <v>9831</v>
      </c>
      <c r="B3172" t="s">
        <v>9832</v>
      </c>
      <c r="C3172" t="s">
        <v>9833</v>
      </c>
      <c r="D3172" t="s">
        <v>7</v>
      </c>
      <c r="AG3172" t="str">
        <f>T("4548")</f>
        <v>4548</v>
      </c>
      <c r="AH3172" t="str">
        <f>T("24")</f>
        <v>24</v>
      </c>
      <c r="AK3172" t="str">
        <f>T("2018")</f>
        <v>2018</v>
      </c>
    </row>
    <row r="3173" spans="1:37" x14ac:dyDescent="0.3">
      <c r="A3173" t="s">
        <v>9834</v>
      </c>
      <c r="B3173" t="s">
        <v>9835</v>
      </c>
      <c r="C3173" t="s">
        <v>9836</v>
      </c>
      <c r="D3173" t="s">
        <v>7</v>
      </c>
      <c r="AG3173" t="str">
        <f>T("3227")</f>
        <v>3227</v>
      </c>
      <c r="AH3173" t="str">
        <f>T("4")</f>
        <v>4</v>
      </c>
      <c r="AK3173" t="str">
        <f>T("570")</f>
        <v>570</v>
      </c>
    </row>
    <row r="3174" spans="1:37" x14ac:dyDescent="0.3">
      <c r="A3174" t="s">
        <v>9837</v>
      </c>
      <c r="B3174" t="s">
        <v>9838</v>
      </c>
      <c r="C3174" t="s">
        <v>9839</v>
      </c>
      <c r="D3174" t="s">
        <v>7</v>
      </c>
      <c r="AG3174" t="str">
        <f>T("4386")</f>
        <v>4386</v>
      </c>
      <c r="AH3174" t="str">
        <f>T("23")</f>
        <v>23</v>
      </c>
      <c r="AK3174" t="str">
        <f>T("1911")</f>
        <v>1911</v>
      </c>
    </row>
    <row r="3175" spans="1:37" x14ac:dyDescent="0.3">
      <c r="A3175" t="s">
        <v>9840</v>
      </c>
      <c r="B3175" t="s">
        <v>9841</v>
      </c>
      <c r="C3175" t="s">
        <v>9842</v>
      </c>
      <c r="D3175" t="s">
        <v>7</v>
      </c>
      <c r="K3175" t="str">
        <f>T("172.515")</f>
        <v>172.515</v>
      </c>
      <c r="AG3175" t="str">
        <f>T("2923")</f>
        <v>2923</v>
      </c>
      <c r="AH3175" t="str">
        <f>T("3")</f>
        <v>3</v>
      </c>
      <c r="AI3175" t="str">
        <f>T("25")</f>
        <v>25</v>
      </c>
      <c r="AK3175" t="str">
        <f>T("83")</f>
        <v>83</v>
      </c>
    </row>
    <row r="3176" spans="1:37" x14ac:dyDescent="0.3">
      <c r="A3176" t="s">
        <v>9843</v>
      </c>
      <c r="B3176" t="s">
        <v>9844</v>
      </c>
      <c r="C3176" t="s">
        <v>9845</v>
      </c>
      <c r="D3176" t="s">
        <v>9846</v>
      </c>
      <c r="K3176" t="str">
        <f>T("178.1010")</f>
        <v>178.1010</v>
      </c>
      <c r="L3176" t="str">
        <f>T("184.1081")</f>
        <v>184.1081</v>
      </c>
      <c r="AG3176" t="str">
        <f>T("2924")</f>
        <v>2924</v>
      </c>
      <c r="AH3176" t="str">
        <f>T("3")</f>
        <v>3</v>
      </c>
      <c r="AI3176" t="str">
        <f>T("25")</f>
        <v>25</v>
      </c>
      <c r="AK3176" t="str">
        <f>T("84")</f>
        <v>84</v>
      </c>
    </row>
    <row r="3177" spans="1:37" x14ac:dyDescent="0.3">
      <c r="A3177" t="s">
        <v>9847</v>
      </c>
      <c r="B3177" t="s">
        <v>9848</v>
      </c>
      <c r="C3177" t="s">
        <v>9849</v>
      </c>
      <c r="D3177" t="s">
        <v>7</v>
      </c>
      <c r="AG3177" t="str">
        <f>T("3863")</f>
        <v>3863</v>
      </c>
      <c r="AH3177" t="str">
        <f>T("18")</f>
        <v>18</v>
      </c>
      <c r="AK3177" t="str">
        <f>T("1167")</f>
        <v>1167</v>
      </c>
    </row>
    <row r="3178" spans="1:37" x14ac:dyDescent="0.3">
      <c r="A3178" t="s">
        <v>9850</v>
      </c>
      <c r="B3178" t="s">
        <v>9851</v>
      </c>
      <c r="C3178" t="s">
        <v>9852</v>
      </c>
      <c r="D3178" t="s">
        <v>7</v>
      </c>
      <c r="AG3178" t="str">
        <f>T("3614")</f>
        <v>3614</v>
      </c>
      <c r="AH3178" t="str">
        <f>T("12")</f>
        <v>12</v>
      </c>
      <c r="AK3178" t="str">
        <f>T("1319")</f>
        <v>1319</v>
      </c>
    </row>
    <row r="3179" spans="1:37" x14ac:dyDescent="0.3">
      <c r="A3179" t="s">
        <v>9853</v>
      </c>
      <c r="B3179" t="s">
        <v>9854</v>
      </c>
      <c r="C3179" t="s">
        <v>9855</v>
      </c>
      <c r="D3179" t="s">
        <v>7</v>
      </c>
      <c r="AG3179" t="str">
        <f>T("4063")</f>
        <v>4063</v>
      </c>
      <c r="AH3179" t="str">
        <f>T("21")</f>
        <v>21</v>
      </c>
      <c r="AK3179" t="str">
        <f>T("1605")</f>
        <v>1605</v>
      </c>
    </row>
    <row r="3180" spans="1:37" x14ac:dyDescent="0.3">
      <c r="A3180" t="s">
        <v>9856</v>
      </c>
      <c r="B3180" t="s">
        <v>9857</v>
      </c>
      <c r="C3180" t="s">
        <v>9858</v>
      </c>
      <c r="D3180" t="s">
        <v>7</v>
      </c>
      <c r="AG3180" t="str">
        <f>T("3611")</f>
        <v>3611</v>
      </c>
      <c r="AH3180" t="str">
        <f>T("12")</f>
        <v>12</v>
      </c>
      <c r="AK3180" t="str">
        <f>T("1042")</f>
        <v>1042</v>
      </c>
    </row>
    <row r="3181" spans="1:37" x14ac:dyDescent="0.3">
      <c r="A3181" t="s">
        <v>9859</v>
      </c>
      <c r="B3181" t="s">
        <v>9860</v>
      </c>
      <c r="C3181" t="s">
        <v>9861</v>
      </c>
      <c r="D3181" t="s">
        <v>7</v>
      </c>
      <c r="AG3181" t="str">
        <f>T("4064")</f>
        <v>4064</v>
      </c>
      <c r="AH3181" t="str">
        <f>T("21")</f>
        <v>21</v>
      </c>
      <c r="AK3181" t="str">
        <f>T("1760")</f>
        <v>1760</v>
      </c>
    </row>
    <row r="3182" spans="1:37" x14ac:dyDescent="0.3">
      <c r="A3182" t="s">
        <v>9862</v>
      </c>
      <c r="B3182" t="s">
        <v>9863</v>
      </c>
      <c r="C3182" t="s">
        <v>9864</v>
      </c>
      <c r="D3182" t="s">
        <v>7</v>
      </c>
      <c r="AG3182" t="str">
        <f>T("3469")</f>
        <v>3469</v>
      </c>
      <c r="AH3182" t="str">
        <f>T("9")</f>
        <v>9</v>
      </c>
      <c r="AK3182" t="str">
        <f>T("824")</f>
        <v>824</v>
      </c>
    </row>
    <row r="3183" spans="1:37" x14ac:dyDescent="0.3">
      <c r="A3183" t="s">
        <v>9865</v>
      </c>
      <c r="B3183" t="s">
        <v>9866</v>
      </c>
      <c r="C3183" t="s">
        <v>9867</v>
      </c>
      <c r="D3183" t="s">
        <v>7</v>
      </c>
      <c r="K3183" t="str">
        <f>T("172.515")</f>
        <v>172.515</v>
      </c>
      <c r="L3183" t="str">
        <f>T("177.1200")</f>
        <v>177.1200</v>
      </c>
      <c r="AG3183" t="str">
        <f>T("2925")</f>
        <v>2925</v>
      </c>
      <c r="AH3183" t="str">
        <f>T("3")</f>
        <v>3</v>
      </c>
      <c r="AK3183" t="str">
        <f>T("126")</f>
        <v>126</v>
      </c>
    </row>
    <row r="3184" spans="1:37" x14ac:dyDescent="0.3">
      <c r="A3184" t="s">
        <v>9868</v>
      </c>
      <c r="B3184" t="s">
        <v>9869</v>
      </c>
      <c r="C3184" t="s">
        <v>9870</v>
      </c>
      <c r="D3184" t="s">
        <v>88</v>
      </c>
      <c r="K3184" t="str">
        <f>T("172.515")</f>
        <v>172.515</v>
      </c>
      <c r="L3184" t="str">
        <f>T("175.105")</f>
        <v>175.105</v>
      </c>
      <c r="M3184" t="str">
        <f>T("176.180")</f>
        <v>176.180</v>
      </c>
      <c r="N3184" t="str">
        <f>T("176.210")</f>
        <v>176.210</v>
      </c>
      <c r="O3184" t="str">
        <f>T("177.1200")</f>
        <v>177.1200</v>
      </c>
      <c r="AG3184" t="str">
        <f>T("2928")</f>
        <v>2928</v>
      </c>
      <c r="AH3184" t="str">
        <f>T("3")</f>
        <v>3</v>
      </c>
      <c r="AI3184" t="str">
        <f>T("25")</f>
        <v>25</v>
      </c>
      <c r="AK3184" t="str">
        <f>T("82")</f>
        <v>82</v>
      </c>
    </row>
    <row r="3185" spans="1:37" x14ac:dyDescent="0.3">
      <c r="A3185" t="s">
        <v>9871</v>
      </c>
      <c r="B3185" t="s">
        <v>9872</v>
      </c>
      <c r="C3185" t="s">
        <v>9873</v>
      </c>
      <c r="D3185" t="s">
        <v>7</v>
      </c>
      <c r="AG3185" t="str">
        <f>T("4237")</f>
        <v>4237</v>
      </c>
      <c r="AH3185" t="str">
        <f>T("22")</f>
        <v>22</v>
      </c>
      <c r="AK3185" t="str">
        <f>T("1580")</f>
        <v>1580</v>
      </c>
    </row>
    <row r="3186" spans="1:37" x14ac:dyDescent="0.3">
      <c r="A3186" t="s">
        <v>9874</v>
      </c>
      <c r="B3186" t="s">
        <v>9875</v>
      </c>
      <c r="C3186" t="s">
        <v>9876</v>
      </c>
      <c r="D3186" t="s">
        <v>7</v>
      </c>
      <c r="K3186" t="str">
        <f>T("172.515")</f>
        <v>172.515</v>
      </c>
      <c r="AG3186" t="str">
        <f>T("2930")</f>
        <v>2930</v>
      </c>
      <c r="AH3186" t="str">
        <f>T("3")</f>
        <v>3</v>
      </c>
      <c r="AI3186" t="str">
        <f>T("25")</f>
        <v>25</v>
      </c>
      <c r="AK3186" t="str">
        <f>T("1244")</f>
        <v>1244</v>
      </c>
    </row>
    <row r="3187" spans="1:37" x14ac:dyDescent="0.3">
      <c r="A3187" t="s">
        <v>9877</v>
      </c>
      <c r="B3187" t="s">
        <v>9878</v>
      </c>
      <c r="C3187" t="s">
        <v>9879</v>
      </c>
      <c r="D3187" t="s">
        <v>7</v>
      </c>
      <c r="K3187" t="str">
        <f>T("172.515")</f>
        <v>172.515</v>
      </c>
      <c r="AG3187" t="str">
        <f>T("2931")</f>
        <v>2931</v>
      </c>
      <c r="AH3187" t="str">
        <f>T("3")</f>
        <v>3</v>
      </c>
      <c r="AI3187" t="str">
        <f>T("25")</f>
        <v>25</v>
      </c>
      <c r="AK3187" t="str">
        <f>T("853")</f>
        <v>853</v>
      </c>
    </row>
    <row r="3188" spans="1:37" x14ac:dyDescent="0.3">
      <c r="A3188" t="s">
        <v>9880</v>
      </c>
      <c r="B3188" t="s">
        <v>9881</v>
      </c>
      <c r="C3188" t="s">
        <v>9882</v>
      </c>
      <c r="D3188" t="s">
        <v>7</v>
      </c>
      <c r="K3188" t="str">
        <f>T("172.515")</f>
        <v>172.515</v>
      </c>
      <c r="AG3188" t="str">
        <f>T("2934")</f>
        <v>2934</v>
      </c>
      <c r="AH3188" t="str">
        <f>T("3")</f>
        <v>3</v>
      </c>
      <c r="AI3188" t="str">
        <f>T("25")</f>
        <v>25</v>
      </c>
      <c r="AK3188" t="str">
        <f>T("150")</f>
        <v>150</v>
      </c>
    </row>
    <row r="3189" spans="1:37" x14ac:dyDescent="0.3">
      <c r="A3189" t="s">
        <v>9883</v>
      </c>
      <c r="B3189" t="s">
        <v>9884</v>
      </c>
      <c r="C3189" t="s">
        <v>9885</v>
      </c>
      <c r="D3189" t="s">
        <v>7</v>
      </c>
      <c r="K3189" t="str">
        <f>T("172.515")</f>
        <v>172.515</v>
      </c>
      <c r="AG3189" t="str">
        <f>T("2938")</f>
        <v>2938</v>
      </c>
      <c r="AH3189" t="str">
        <f>T("3")</f>
        <v>3</v>
      </c>
      <c r="AK3189" t="str">
        <f>T("660")</f>
        <v>660</v>
      </c>
    </row>
    <row r="3190" spans="1:37" x14ac:dyDescent="0.3">
      <c r="A3190" t="s">
        <v>9886</v>
      </c>
      <c r="B3190" t="s">
        <v>9887</v>
      </c>
      <c r="C3190" t="s">
        <v>9888</v>
      </c>
      <c r="D3190" t="s">
        <v>7</v>
      </c>
      <c r="AG3190" t="str">
        <f>T("3648")</f>
        <v>3648</v>
      </c>
      <c r="AH3190" t="str">
        <f>T("12")</f>
        <v>12</v>
      </c>
      <c r="AK3190" t="str">
        <f>T("1194")</f>
        <v>1194</v>
      </c>
    </row>
    <row r="3191" spans="1:37" x14ac:dyDescent="0.3">
      <c r="A3191" t="s">
        <v>9889</v>
      </c>
      <c r="B3191" t="s">
        <v>9890</v>
      </c>
      <c r="C3191" t="s">
        <v>9891</v>
      </c>
      <c r="D3191" t="s">
        <v>7</v>
      </c>
      <c r="AG3191" t="str">
        <f>T("3729")</f>
        <v>3729</v>
      </c>
      <c r="AH3191" t="str">
        <f>T("13")</f>
        <v>13</v>
      </c>
      <c r="AK3191" t="str">
        <f>T("724")</f>
        <v>724</v>
      </c>
    </row>
    <row r="3192" spans="1:37" x14ac:dyDescent="0.3">
      <c r="A3192" t="s">
        <v>9892</v>
      </c>
      <c r="B3192" t="s">
        <v>9893</v>
      </c>
      <c r="C3192" t="s">
        <v>9894</v>
      </c>
      <c r="D3192" t="s">
        <v>7</v>
      </c>
      <c r="AG3192" t="str">
        <f>T("4396")</f>
        <v>4396</v>
      </c>
      <c r="AH3192" t="str">
        <f>T("23")</f>
        <v>23</v>
      </c>
      <c r="AK3192" t="str">
        <f>T("1569")</f>
        <v>1569</v>
      </c>
    </row>
    <row r="3193" spans="1:37" x14ac:dyDescent="0.3">
      <c r="A3193" t="s">
        <v>9895</v>
      </c>
      <c r="B3193" t="s">
        <v>9896</v>
      </c>
      <c r="C3193" t="s">
        <v>9897</v>
      </c>
      <c r="D3193" t="s">
        <v>7</v>
      </c>
      <c r="K3193" t="str">
        <f>T("172.515")</f>
        <v>172.515</v>
      </c>
      <c r="AG3193" t="str">
        <f>T("3228")</f>
        <v>3228</v>
      </c>
      <c r="AH3193" t="str">
        <f>T("4")</f>
        <v>4</v>
      </c>
      <c r="AK3193" t="str">
        <f>T("566")</f>
        <v>566</v>
      </c>
    </row>
    <row r="3194" spans="1:37" x14ac:dyDescent="0.3">
      <c r="A3194" t="s">
        <v>9898</v>
      </c>
      <c r="B3194" t="s">
        <v>9899</v>
      </c>
      <c r="C3194" t="s">
        <v>9900</v>
      </c>
      <c r="D3194" t="s">
        <v>2782</v>
      </c>
      <c r="K3194" t="str">
        <f>T("172.892")</f>
        <v>172.892</v>
      </c>
    </row>
    <row r="3195" spans="1:37" x14ac:dyDescent="0.3">
      <c r="A3195" t="s">
        <v>9901</v>
      </c>
      <c r="B3195" t="s">
        <v>9902</v>
      </c>
      <c r="C3195" t="s">
        <v>9903</v>
      </c>
      <c r="D3195" t="s">
        <v>9904</v>
      </c>
      <c r="E3195" t="str">
        <f>T("73.30")</f>
        <v>73.30</v>
      </c>
      <c r="K3195" t="str">
        <f>T("175.300")</f>
        <v>175.300</v>
      </c>
      <c r="L3195" t="str">
        <f>T("175.320")</f>
        <v>175.320</v>
      </c>
      <c r="M3195" t="str">
        <f>T("176.180")</f>
        <v>176.180</v>
      </c>
      <c r="N3195" t="str">
        <f>T("176.210")</f>
        <v>176.210</v>
      </c>
      <c r="O3195" t="str">
        <f>T("177.1390")</f>
        <v>177.1390</v>
      </c>
      <c r="P3195" t="str">
        <f>T("177.1680")</f>
        <v>177.1680</v>
      </c>
      <c r="Q3195" t="str">
        <f>T("177.2420")</f>
        <v>177.2420</v>
      </c>
      <c r="R3195" t="str">
        <f>T("177.2600")</f>
        <v>177.2600</v>
      </c>
      <c r="S3195" t="str">
        <f>T("177.2800")</f>
        <v>177.2800</v>
      </c>
      <c r="T3195" t="str">
        <f>T("178.3300")</f>
        <v>178.3300</v>
      </c>
      <c r="U3195" t="str">
        <f>T("184.1666")</f>
        <v>184.1666</v>
      </c>
      <c r="AF3195" t="str">
        <f>T("169.175")</f>
        <v>169.175</v>
      </c>
      <c r="AG3195" t="str">
        <f>T("2940")</f>
        <v>2940</v>
      </c>
      <c r="AH3195" t="str">
        <f>T("3")</f>
        <v>3</v>
      </c>
    </row>
    <row r="3196" spans="1:37" x14ac:dyDescent="0.3">
      <c r="A3196" t="s">
        <v>9905</v>
      </c>
      <c r="B3196" t="s">
        <v>9906</v>
      </c>
      <c r="C3196" t="s">
        <v>9907</v>
      </c>
      <c r="D3196" t="s">
        <v>9908</v>
      </c>
      <c r="K3196" t="str">
        <f>T("172.210")</f>
        <v>172.210</v>
      </c>
      <c r="L3196" t="str">
        <f>T("172.858")</f>
        <v>172.858</v>
      </c>
      <c r="M3196" t="str">
        <f>T("173.340")</f>
        <v>173.340</v>
      </c>
      <c r="N3196" t="str">
        <f>T("176.170")</f>
        <v>176.170</v>
      </c>
      <c r="AF3196" t="s">
        <v>4513</v>
      </c>
      <c r="AG3196" t="str">
        <f>T("2941")</f>
        <v>2941</v>
      </c>
      <c r="AH3196" t="str">
        <f>T("3")</f>
        <v>3</v>
      </c>
    </row>
    <row r="3197" spans="1:37" x14ac:dyDescent="0.3">
      <c r="A3197" t="s">
        <v>9909</v>
      </c>
      <c r="B3197" t="s">
        <v>9910</v>
      </c>
      <c r="C3197" t="s">
        <v>9911</v>
      </c>
      <c r="D3197" t="s">
        <v>7</v>
      </c>
      <c r="AG3197" t="str">
        <f>T("4464")</f>
        <v>4464</v>
      </c>
      <c r="AH3197" t="str">
        <f>T("24")</f>
        <v>24</v>
      </c>
      <c r="AK3197" t="str">
        <f>T("1976")</f>
        <v>1976</v>
      </c>
    </row>
    <row r="3198" spans="1:37" x14ac:dyDescent="0.3">
      <c r="A3198" t="s">
        <v>9912</v>
      </c>
      <c r="B3198" t="s">
        <v>9913</v>
      </c>
      <c r="C3198" t="s">
        <v>9914</v>
      </c>
      <c r="D3198" t="s">
        <v>7</v>
      </c>
      <c r="K3198" t="str">
        <f>T("175.105")</f>
        <v>175.105</v>
      </c>
      <c r="AG3198" t="str">
        <f>T("3419")</f>
        <v>3419</v>
      </c>
      <c r="AH3198" t="str">
        <f>T("7")</f>
        <v>7</v>
      </c>
      <c r="AK3198" t="str">
        <f>T("862")</f>
        <v>862</v>
      </c>
    </row>
    <row r="3199" spans="1:37" x14ac:dyDescent="0.3">
      <c r="A3199" t="s">
        <v>9915</v>
      </c>
      <c r="B3199" t="s">
        <v>9916</v>
      </c>
      <c r="C3199" t="s">
        <v>9917</v>
      </c>
      <c r="D3199" t="s">
        <v>7</v>
      </c>
      <c r="AG3199" t="str">
        <f>T("4466")</f>
        <v>4466</v>
      </c>
      <c r="AH3199" t="str">
        <f>T("24")</f>
        <v>24</v>
      </c>
      <c r="AK3199" t="str">
        <f>T("1980")</f>
        <v>1980</v>
      </c>
    </row>
    <row r="3200" spans="1:37" x14ac:dyDescent="0.3">
      <c r="A3200" t="s">
        <v>9918</v>
      </c>
      <c r="B3200" t="s">
        <v>9919</v>
      </c>
      <c r="C3200" t="s">
        <v>9920</v>
      </c>
      <c r="D3200" t="s">
        <v>7</v>
      </c>
      <c r="AG3200" t="str">
        <f>T("4470")</f>
        <v>4470</v>
      </c>
      <c r="AH3200" t="str">
        <f>T("24")</f>
        <v>24</v>
      </c>
      <c r="AK3200" t="str">
        <f>T("1984")</f>
        <v>1984</v>
      </c>
    </row>
    <row r="3201" spans="1:37" x14ac:dyDescent="0.3">
      <c r="A3201" t="s">
        <v>9921</v>
      </c>
      <c r="B3201" t="s">
        <v>9922</v>
      </c>
      <c r="D3201" t="s">
        <v>7</v>
      </c>
      <c r="AG3201" t="str">
        <f>T("4468")</f>
        <v>4468</v>
      </c>
      <c r="AH3201" t="str">
        <f>T("24")</f>
        <v>24</v>
      </c>
      <c r="AK3201" t="str">
        <f>T("1982")</f>
        <v>1982</v>
      </c>
    </row>
    <row r="3202" spans="1:37" x14ac:dyDescent="0.3">
      <c r="A3202" t="s">
        <v>9923</v>
      </c>
      <c r="B3202" t="s">
        <v>9924</v>
      </c>
      <c r="C3202" t="s">
        <v>9925</v>
      </c>
      <c r="D3202" t="s">
        <v>7</v>
      </c>
      <c r="AG3202" t="str">
        <f>T("4471")</f>
        <v>4471</v>
      </c>
      <c r="AH3202" t="str">
        <f>T("24")</f>
        <v>24</v>
      </c>
      <c r="AK3202" t="str">
        <f>T("1985")</f>
        <v>1985</v>
      </c>
    </row>
    <row r="3203" spans="1:37" x14ac:dyDescent="0.3">
      <c r="A3203" t="s">
        <v>9926</v>
      </c>
      <c r="B3203" t="s">
        <v>9927</v>
      </c>
      <c r="C3203" t="s">
        <v>9928</v>
      </c>
      <c r="D3203" t="s">
        <v>7</v>
      </c>
      <c r="AG3203" t="str">
        <f>T("4465")</f>
        <v>4465</v>
      </c>
      <c r="AH3203" t="str">
        <f>T("24")</f>
        <v>24</v>
      </c>
      <c r="AK3203" t="str">
        <f>T("1978")</f>
        <v>1978</v>
      </c>
    </row>
    <row r="3204" spans="1:37" x14ac:dyDescent="0.3">
      <c r="A3204" t="s">
        <v>9929</v>
      </c>
      <c r="B3204" t="s">
        <v>9930</v>
      </c>
      <c r="C3204" t="s">
        <v>9931</v>
      </c>
      <c r="D3204" t="s">
        <v>1623</v>
      </c>
      <c r="K3204" t="str">
        <f>T("172.856")</f>
        <v>172.856</v>
      </c>
      <c r="L3204" t="str">
        <f>T("173.340")</f>
        <v>173.340</v>
      </c>
      <c r="M3204" t="str">
        <f>T("176.170")</f>
        <v>176.170</v>
      </c>
      <c r="AF3204" t="str">
        <f>T("136.11")</f>
        <v>136.11</v>
      </c>
      <c r="AG3204" t="str">
        <f>T("4208")</f>
        <v>4208</v>
      </c>
      <c r="AH3204" t="str">
        <f>T("22")</f>
        <v>22</v>
      </c>
    </row>
    <row r="3205" spans="1:37" x14ac:dyDescent="0.3">
      <c r="A3205" t="s">
        <v>9932</v>
      </c>
      <c r="B3205" t="s">
        <v>9933</v>
      </c>
      <c r="C3205" t="s">
        <v>9934</v>
      </c>
      <c r="D3205" t="s">
        <v>7</v>
      </c>
      <c r="AG3205" t="str">
        <f>T("4488")</f>
        <v>4488</v>
      </c>
      <c r="AH3205" t="str">
        <f>T("24")</f>
        <v>24</v>
      </c>
      <c r="AK3205" t="str">
        <f>T("1979")</f>
        <v>1979</v>
      </c>
    </row>
    <row r="3206" spans="1:37" x14ac:dyDescent="0.3">
      <c r="A3206" t="s">
        <v>9935</v>
      </c>
      <c r="B3206" t="s">
        <v>9936</v>
      </c>
      <c r="C3206" t="s">
        <v>9937</v>
      </c>
      <c r="D3206" t="s">
        <v>7</v>
      </c>
      <c r="AG3206" t="str">
        <f>T("4469")</f>
        <v>4469</v>
      </c>
      <c r="AH3206" t="str">
        <f>T("24")</f>
        <v>24</v>
      </c>
      <c r="AK3206" t="str">
        <f>T("1983")</f>
        <v>1983</v>
      </c>
    </row>
    <row r="3207" spans="1:37" x14ac:dyDescent="0.3">
      <c r="A3207" t="s">
        <v>9938</v>
      </c>
      <c r="B3207" t="s">
        <v>9939</v>
      </c>
      <c r="C3207" t="s">
        <v>9940</v>
      </c>
      <c r="D3207" t="s">
        <v>7</v>
      </c>
      <c r="AG3207" t="str">
        <f>T("4467")</f>
        <v>4467</v>
      </c>
      <c r="AH3207" t="str">
        <f>T("24")</f>
        <v>24</v>
      </c>
      <c r="AK3207" t="str">
        <f>T("1981")</f>
        <v>1981</v>
      </c>
    </row>
    <row r="3208" spans="1:37" x14ac:dyDescent="0.3">
      <c r="A3208" t="s">
        <v>9941</v>
      </c>
      <c r="B3208" t="s">
        <v>9942</v>
      </c>
      <c r="C3208" t="s">
        <v>9943</v>
      </c>
      <c r="D3208" t="s">
        <v>9944</v>
      </c>
      <c r="K3208" t="str">
        <f>T("175.105")</f>
        <v>175.105</v>
      </c>
      <c r="AG3208" t="str">
        <f>T("2942")</f>
        <v>2942</v>
      </c>
      <c r="AH3208" t="str">
        <f>T("3")</f>
        <v>3</v>
      </c>
      <c r="AK3208" t="str">
        <f>T("926")</f>
        <v>926</v>
      </c>
    </row>
    <row r="3209" spans="1:37" x14ac:dyDescent="0.3">
      <c r="A3209" t="s">
        <v>9945</v>
      </c>
      <c r="B3209" t="s">
        <v>9946</v>
      </c>
      <c r="C3209" t="s">
        <v>9947</v>
      </c>
      <c r="K3209" t="str">
        <f>T("172.892")</f>
        <v>172.892</v>
      </c>
      <c r="L3209" t="str">
        <f>T("175.105")</f>
        <v>175.105</v>
      </c>
      <c r="M3209" t="str">
        <f>T("176.210")</f>
        <v>176.210</v>
      </c>
    </row>
    <row r="3210" spans="1:37" x14ac:dyDescent="0.3">
      <c r="A3210" t="s">
        <v>9948</v>
      </c>
      <c r="B3210" t="s">
        <v>9949</v>
      </c>
      <c r="C3210" t="s">
        <v>9950</v>
      </c>
      <c r="D3210" t="s">
        <v>7</v>
      </c>
      <c r="K3210" t="str">
        <f>T("172.515")</f>
        <v>172.515</v>
      </c>
      <c r="AG3210" t="str">
        <f>T("2943")</f>
        <v>2943</v>
      </c>
      <c r="AH3210" t="str">
        <f t="shared" ref="AH3210:AH3218" si="35">T("3")</f>
        <v>3</v>
      </c>
      <c r="AI3210" t="str">
        <f>T("25")</f>
        <v>25</v>
      </c>
      <c r="AK3210" t="str">
        <f>T("117")</f>
        <v>117</v>
      </c>
    </row>
    <row r="3211" spans="1:37" x14ac:dyDescent="0.3">
      <c r="A3211" t="s">
        <v>9951</v>
      </c>
      <c r="B3211" t="s">
        <v>9952</v>
      </c>
      <c r="C3211" t="s">
        <v>9953</v>
      </c>
      <c r="D3211" t="s">
        <v>7</v>
      </c>
      <c r="K3211" t="str">
        <f>T("172.515")</f>
        <v>172.515</v>
      </c>
      <c r="AG3211" t="str">
        <f>T("2945")</f>
        <v>2945</v>
      </c>
      <c r="AH3211" t="str">
        <f t="shared" si="35"/>
        <v>3</v>
      </c>
      <c r="AK3211" t="str">
        <f>T("1518")</f>
        <v>1518</v>
      </c>
    </row>
    <row r="3212" spans="1:37" x14ac:dyDescent="0.3">
      <c r="A3212" t="s">
        <v>9954</v>
      </c>
      <c r="B3212" t="s">
        <v>9955</v>
      </c>
      <c r="C3212" t="s">
        <v>9956</v>
      </c>
      <c r="D3212" t="s">
        <v>7</v>
      </c>
      <c r="AG3212" t="str">
        <f>T("2946")</f>
        <v>2946</v>
      </c>
      <c r="AH3212" t="str">
        <f t="shared" si="35"/>
        <v>3</v>
      </c>
      <c r="AK3212" t="str">
        <f>T("747")</f>
        <v>747</v>
      </c>
    </row>
    <row r="3213" spans="1:37" x14ac:dyDescent="0.3">
      <c r="A3213" t="s">
        <v>9957</v>
      </c>
      <c r="B3213" t="s">
        <v>9958</v>
      </c>
      <c r="C3213" t="s">
        <v>9959</v>
      </c>
      <c r="D3213" t="s">
        <v>4799</v>
      </c>
      <c r="K3213" t="str">
        <f>T("172.615")</f>
        <v>172.615</v>
      </c>
      <c r="L3213" t="str">
        <f>T("175.125")</f>
        <v>175.125</v>
      </c>
      <c r="M3213" t="str">
        <f>T("175.300")</f>
        <v>175.300</v>
      </c>
      <c r="N3213" t="str">
        <f>T("175.380")</f>
        <v>175.380</v>
      </c>
      <c r="O3213" t="str">
        <f>T("175.390")</f>
        <v>175.390</v>
      </c>
      <c r="P3213" t="str">
        <f>T("176.170")</f>
        <v>176.170</v>
      </c>
      <c r="Q3213" t="str">
        <f>T("177.1010")</f>
        <v>177.1010</v>
      </c>
      <c r="R3213" t="str">
        <f>T("177.1210")</f>
        <v>177.1210</v>
      </c>
      <c r="S3213" t="str">
        <f>T("177.1350")</f>
        <v>177.1350</v>
      </c>
      <c r="T3213" t="str">
        <f>T("181.24")</f>
        <v>181.24</v>
      </c>
      <c r="U3213" t="str">
        <f>T("184.1660")</f>
        <v>184.1660</v>
      </c>
      <c r="AF3213" t="str">
        <f>T("166.11")</f>
        <v>166.11</v>
      </c>
      <c r="AG3213" t="str">
        <f>T("2947")</f>
        <v>2947</v>
      </c>
      <c r="AH3213" t="str">
        <f t="shared" si="35"/>
        <v>3</v>
      </c>
    </row>
    <row r="3214" spans="1:37" x14ac:dyDescent="0.3">
      <c r="A3214" t="s">
        <v>9960</v>
      </c>
      <c r="B3214" t="s">
        <v>9961</v>
      </c>
      <c r="C3214" t="s">
        <v>9962</v>
      </c>
      <c r="D3214" t="s">
        <v>7</v>
      </c>
      <c r="K3214" t="str">
        <f>T("172.515")</f>
        <v>172.515</v>
      </c>
      <c r="AG3214" t="str">
        <f>T("2948")</f>
        <v>2948</v>
      </c>
      <c r="AH3214" t="str">
        <f t="shared" si="35"/>
        <v>3</v>
      </c>
      <c r="AK3214" t="str">
        <f>T("168")</f>
        <v>168</v>
      </c>
    </row>
    <row r="3215" spans="1:37" x14ac:dyDescent="0.3">
      <c r="A3215" t="s">
        <v>9963</v>
      </c>
      <c r="B3215" t="s">
        <v>9964</v>
      </c>
      <c r="C3215" t="s">
        <v>9965</v>
      </c>
      <c r="D3215" t="s">
        <v>7</v>
      </c>
      <c r="K3215" t="str">
        <f>T("172.515")</f>
        <v>172.515</v>
      </c>
      <c r="AG3215" t="str">
        <f>T("2949")</f>
        <v>2949</v>
      </c>
      <c r="AH3215" t="str">
        <f t="shared" si="35"/>
        <v>3</v>
      </c>
      <c r="AI3215" t="str">
        <f>T("25")</f>
        <v>25</v>
      </c>
      <c r="AK3215" t="str">
        <f>T("161")</f>
        <v>161</v>
      </c>
    </row>
    <row r="3216" spans="1:37" x14ac:dyDescent="0.3">
      <c r="A3216" t="s">
        <v>9966</v>
      </c>
      <c r="B3216" t="s">
        <v>9967</v>
      </c>
      <c r="C3216" t="s">
        <v>9968</v>
      </c>
      <c r="D3216" t="s">
        <v>7</v>
      </c>
      <c r="K3216" t="str">
        <f>T("172.515")</f>
        <v>172.515</v>
      </c>
      <c r="AG3216" t="str">
        <f>T("2952")</f>
        <v>2952</v>
      </c>
      <c r="AH3216" t="str">
        <f t="shared" si="35"/>
        <v>3</v>
      </c>
      <c r="AK3216" t="str">
        <f>T("1168")</f>
        <v>1168</v>
      </c>
    </row>
    <row r="3217" spans="1:37" x14ac:dyDescent="0.3">
      <c r="A3217" t="s">
        <v>9969</v>
      </c>
      <c r="B3217" t="s">
        <v>9970</v>
      </c>
      <c r="C3217" t="s">
        <v>9971</v>
      </c>
      <c r="D3217" t="s">
        <v>15</v>
      </c>
      <c r="K3217" t="str">
        <f>T("172.515")</f>
        <v>172.515</v>
      </c>
      <c r="AG3217" t="str">
        <f>T("2936")</f>
        <v>2936</v>
      </c>
      <c r="AH3217" t="str">
        <f t="shared" si="35"/>
        <v>3</v>
      </c>
      <c r="AK3217" t="str">
        <f>T("187")</f>
        <v>187</v>
      </c>
    </row>
    <row r="3218" spans="1:37" x14ac:dyDescent="0.3">
      <c r="A3218" t="s">
        <v>9972</v>
      </c>
      <c r="B3218" t="s">
        <v>9973</v>
      </c>
      <c r="C3218" t="s">
        <v>9974</v>
      </c>
      <c r="D3218" t="s">
        <v>7</v>
      </c>
      <c r="K3218" t="str">
        <f>T("172.515")</f>
        <v>172.515</v>
      </c>
      <c r="AG3218" t="str">
        <f>T("2960")</f>
        <v>2960</v>
      </c>
      <c r="AH3218" t="str">
        <f t="shared" si="35"/>
        <v>3</v>
      </c>
      <c r="AI3218" t="str">
        <f>T("25")</f>
        <v>25</v>
      </c>
      <c r="AK3218" t="str">
        <f>T("197")</f>
        <v>197</v>
      </c>
    </row>
    <row r="3219" spans="1:37" x14ac:dyDescent="0.3">
      <c r="A3219" t="s">
        <v>9975</v>
      </c>
      <c r="B3219" t="s">
        <v>9976</v>
      </c>
      <c r="C3219" t="s">
        <v>9977</v>
      </c>
      <c r="D3219" t="s">
        <v>7</v>
      </c>
      <c r="AG3219" t="str">
        <f>T("4480")</f>
        <v>4480</v>
      </c>
      <c r="AH3219" t="str">
        <f>T("24")</f>
        <v>24</v>
      </c>
      <c r="AK3219" t="str">
        <f>T("1971")</f>
        <v>1971</v>
      </c>
    </row>
    <row r="3220" spans="1:37" x14ac:dyDescent="0.3">
      <c r="A3220" t="s">
        <v>9978</v>
      </c>
      <c r="B3220" t="s">
        <v>9979</v>
      </c>
      <c r="C3220" t="s">
        <v>9980</v>
      </c>
      <c r="D3220" t="s">
        <v>7</v>
      </c>
      <c r="K3220" t="str">
        <f>T("172.515")</f>
        <v>172.515</v>
      </c>
      <c r="AG3220" t="str">
        <f>T("3521")</f>
        <v>3521</v>
      </c>
      <c r="AH3220" t="str">
        <f>T("10")</f>
        <v>10</v>
      </c>
      <c r="AK3220" t="str">
        <f>T("509")</f>
        <v>509</v>
      </c>
    </row>
    <row r="3221" spans="1:37" x14ac:dyDescent="0.3">
      <c r="A3221" t="s">
        <v>9981</v>
      </c>
      <c r="B3221" t="s">
        <v>9982</v>
      </c>
      <c r="C3221" t="s">
        <v>9983</v>
      </c>
      <c r="AG3221" t="str">
        <f>T("4207")</f>
        <v>4207</v>
      </c>
      <c r="AH3221" t="str">
        <f>T("22")</f>
        <v>22</v>
      </c>
      <c r="AK3221" t="str">
        <f>T("1667")</f>
        <v>1667</v>
      </c>
    </row>
    <row r="3222" spans="1:37" x14ac:dyDescent="0.3">
      <c r="A3222" t="s">
        <v>9984</v>
      </c>
      <c r="B3222" t="s">
        <v>9985</v>
      </c>
      <c r="C3222" t="s">
        <v>9986</v>
      </c>
      <c r="D3222" t="s">
        <v>7</v>
      </c>
      <c r="AG3222" t="str">
        <f>T("3607")</f>
        <v>3607</v>
      </c>
      <c r="AH3222" t="str">
        <f>T("12")</f>
        <v>12</v>
      </c>
      <c r="AK3222" t="str">
        <f>T("1065")</f>
        <v>1065</v>
      </c>
    </row>
    <row r="3223" spans="1:37" x14ac:dyDescent="0.3">
      <c r="A3223" t="s">
        <v>9987</v>
      </c>
      <c r="B3223" t="s">
        <v>9988</v>
      </c>
      <c r="C3223" t="s">
        <v>9989</v>
      </c>
      <c r="D3223" t="s">
        <v>7</v>
      </c>
      <c r="K3223" t="str">
        <f>T("172.515")</f>
        <v>172.515</v>
      </c>
      <c r="AG3223" t="str">
        <f>T("2953")</f>
        <v>2953</v>
      </c>
      <c r="AH3223" t="str">
        <f>T("3")</f>
        <v>3</v>
      </c>
      <c r="AK3223" t="str">
        <f>T("825")</f>
        <v>825</v>
      </c>
    </row>
    <row r="3224" spans="1:37" x14ac:dyDescent="0.3">
      <c r="A3224" t="s">
        <v>9990</v>
      </c>
      <c r="B3224" t="s">
        <v>9991</v>
      </c>
      <c r="C3224" t="s">
        <v>9992</v>
      </c>
      <c r="D3224" t="s">
        <v>7</v>
      </c>
      <c r="AG3224" t="str">
        <f>T("3522")</f>
        <v>3522</v>
      </c>
      <c r="AH3224" t="str">
        <f>T("10")</f>
        <v>10</v>
      </c>
      <c r="AK3224" t="str">
        <f>T("695")</f>
        <v>695</v>
      </c>
    </row>
    <row r="3225" spans="1:37" x14ac:dyDescent="0.3">
      <c r="A3225" t="s">
        <v>9993</v>
      </c>
      <c r="B3225" t="s">
        <v>9994</v>
      </c>
      <c r="C3225" t="s">
        <v>9995</v>
      </c>
      <c r="D3225" t="s">
        <v>7</v>
      </c>
      <c r="AG3225" t="str">
        <f>T("3649")</f>
        <v>3649</v>
      </c>
      <c r="AH3225" t="str">
        <f>T("12")</f>
        <v>12</v>
      </c>
      <c r="AK3225" t="str">
        <f>T("696")</f>
        <v>696</v>
      </c>
    </row>
    <row r="3226" spans="1:37" x14ac:dyDescent="0.3">
      <c r="A3226" t="s">
        <v>9996</v>
      </c>
      <c r="B3226" t="s">
        <v>9997</v>
      </c>
      <c r="C3226" t="s">
        <v>9998</v>
      </c>
      <c r="D3226" t="s">
        <v>7</v>
      </c>
      <c r="K3226" t="str">
        <f>T("172.515")</f>
        <v>172.515</v>
      </c>
      <c r="AG3226" t="str">
        <f>T("2955")</f>
        <v>2955</v>
      </c>
      <c r="AH3226" t="str">
        <f>T("3")</f>
        <v>3</v>
      </c>
      <c r="AK3226" t="str">
        <f>T("1010")</f>
        <v>1010</v>
      </c>
    </row>
    <row r="3227" spans="1:37" x14ac:dyDescent="0.3">
      <c r="A3227" t="s">
        <v>9999</v>
      </c>
      <c r="B3227" t="s">
        <v>10000</v>
      </c>
      <c r="C3227" t="s">
        <v>10001</v>
      </c>
      <c r="D3227" t="s">
        <v>7</v>
      </c>
      <c r="AG3227" t="str">
        <f>T("4263")</f>
        <v>4263</v>
      </c>
      <c r="AH3227" t="str">
        <f>T("23")</f>
        <v>23</v>
      </c>
      <c r="AK3227" t="str">
        <f>T("1702")</f>
        <v>1702</v>
      </c>
    </row>
    <row r="3228" spans="1:37" x14ac:dyDescent="0.3">
      <c r="A3228" t="s">
        <v>10002</v>
      </c>
      <c r="B3228" t="s">
        <v>10003</v>
      </c>
      <c r="C3228" t="s">
        <v>10004</v>
      </c>
      <c r="D3228" t="s">
        <v>7</v>
      </c>
      <c r="K3228" t="str">
        <f>T("172.515")</f>
        <v>172.515</v>
      </c>
      <c r="AG3228" t="str">
        <f>T("2958")</f>
        <v>2958</v>
      </c>
      <c r="AH3228" t="str">
        <f>T("3")</f>
        <v>3</v>
      </c>
      <c r="AK3228" t="str">
        <f>T("142")</f>
        <v>142</v>
      </c>
    </row>
    <row r="3229" spans="1:37" x14ac:dyDescent="0.3">
      <c r="A3229" t="s">
        <v>10005</v>
      </c>
      <c r="B3229" t="s">
        <v>10006</v>
      </c>
      <c r="C3229" t="s">
        <v>10007</v>
      </c>
      <c r="D3229" t="s">
        <v>7</v>
      </c>
      <c r="AG3229" t="str">
        <f>T("3961")</f>
        <v>3961</v>
      </c>
      <c r="AH3229" t="str">
        <f>T("19")</f>
        <v>19</v>
      </c>
      <c r="AK3229" t="str">
        <f>T("763")</f>
        <v>763</v>
      </c>
    </row>
    <row r="3230" spans="1:37" x14ac:dyDescent="0.3">
      <c r="A3230" t="s">
        <v>10008</v>
      </c>
      <c r="B3230" t="s">
        <v>10009</v>
      </c>
      <c r="C3230" t="s">
        <v>10010</v>
      </c>
      <c r="D3230" t="s">
        <v>7</v>
      </c>
      <c r="AG3230" t="str">
        <f>T("4065")</f>
        <v>4065</v>
      </c>
      <c r="AH3230" t="str">
        <f>T("21")</f>
        <v>21</v>
      </c>
      <c r="AK3230" t="str">
        <f>T("1322")</f>
        <v>1322</v>
      </c>
    </row>
    <row r="3231" spans="1:37" x14ac:dyDescent="0.3">
      <c r="A3231" t="s">
        <v>10011</v>
      </c>
      <c r="B3231" t="s">
        <v>10012</v>
      </c>
      <c r="C3231" t="s">
        <v>10013</v>
      </c>
      <c r="D3231" t="s">
        <v>7</v>
      </c>
      <c r="AG3231" t="str">
        <f>T("4484")</f>
        <v>4484</v>
      </c>
      <c r="AH3231" t="str">
        <f>T("24")</f>
        <v>24</v>
      </c>
      <c r="AK3231" t="str">
        <f>T("1946")</f>
        <v>1946</v>
      </c>
    </row>
    <row r="3232" spans="1:37" x14ac:dyDescent="0.3">
      <c r="A3232" t="s">
        <v>10014</v>
      </c>
      <c r="B3232" t="s">
        <v>10015</v>
      </c>
      <c r="C3232" t="s">
        <v>10016</v>
      </c>
      <c r="D3232" t="s">
        <v>7</v>
      </c>
      <c r="AG3232" t="str">
        <f>T("4614")</f>
        <v>4614</v>
      </c>
      <c r="AH3232" t="str">
        <f>T("24")</f>
        <v>24</v>
      </c>
      <c r="AK3232" t="str">
        <f>T("2164")</f>
        <v>2164</v>
      </c>
    </row>
    <row r="3233" spans="1:37" x14ac:dyDescent="0.3">
      <c r="A3233" t="s">
        <v>10017</v>
      </c>
      <c r="B3233" t="s">
        <v>10018</v>
      </c>
      <c r="C3233" t="s">
        <v>10019</v>
      </c>
      <c r="D3233" t="s">
        <v>7</v>
      </c>
      <c r="AG3233" t="str">
        <f>T("4619")</f>
        <v>4619</v>
      </c>
      <c r="AH3233" t="str">
        <f>T("24")</f>
        <v>24</v>
      </c>
    </row>
    <row r="3234" spans="1:37" x14ac:dyDescent="0.3">
      <c r="A3234" t="s">
        <v>10020</v>
      </c>
      <c r="B3234" t="s">
        <v>10021</v>
      </c>
      <c r="C3234" t="s">
        <v>10022</v>
      </c>
      <c r="D3234" t="s">
        <v>7</v>
      </c>
      <c r="AG3234" t="str">
        <f>T("3385")</f>
        <v>3385</v>
      </c>
      <c r="AH3234" t="str">
        <f>T("6")</f>
        <v>6</v>
      </c>
      <c r="AK3234" t="str">
        <f>T("485")</f>
        <v>485</v>
      </c>
    </row>
    <row r="3235" spans="1:37" x14ac:dyDescent="0.3">
      <c r="A3235" t="s">
        <v>10023</v>
      </c>
      <c r="B3235" t="s">
        <v>10024</v>
      </c>
      <c r="C3235" t="s">
        <v>10025</v>
      </c>
      <c r="D3235" t="s">
        <v>8946</v>
      </c>
    </row>
    <row r="3236" spans="1:37" x14ac:dyDescent="0.3">
      <c r="A3236" t="s">
        <v>10026</v>
      </c>
      <c r="B3236" t="s">
        <v>10027</v>
      </c>
      <c r="C3236" t="s">
        <v>10028</v>
      </c>
      <c r="D3236" t="s">
        <v>8946</v>
      </c>
    </row>
    <row r="3237" spans="1:37" x14ac:dyDescent="0.3">
      <c r="A3237" t="s">
        <v>10029</v>
      </c>
      <c r="B3237" t="s">
        <v>10030</v>
      </c>
      <c r="C3237" t="s">
        <v>10031</v>
      </c>
      <c r="D3237" t="s">
        <v>8946</v>
      </c>
    </row>
    <row r="3238" spans="1:37" x14ac:dyDescent="0.3">
      <c r="A3238" t="s">
        <v>10032</v>
      </c>
      <c r="B3238" t="s">
        <v>10033</v>
      </c>
      <c r="C3238" t="s">
        <v>10034</v>
      </c>
      <c r="D3238" t="s">
        <v>74</v>
      </c>
      <c r="K3238" t="str">
        <f>T("184.1150")</f>
        <v>184.1150</v>
      </c>
    </row>
    <row r="3239" spans="1:37" x14ac:dyDescent="0.3">
      <c r="A3239" t="s">
        <v>10035</v>
      </c>
      <c r="B3239" t="s">
        <v>10036</v>
      </c>
      <c r="C3239" t="s">
        <v>10037</v>
      </c>
      <c r="D3239" t="s">
        <v>8946</v>
      </c>
    </row>
    <row r="3240" spans="1:37" x14ac:dyDescent="0.3">
      <c r="A3240" t="s">
        <v>10038</v>
      </c>
      <c r="B3240" t="s">
        <v>10039</v>
      </c>
      <c r="C3240" t="s">
        <v>10040</v>
      </c>
      <c r="D3240" t="s">
        <v>8946</v>
      </c>
      <c r="K3240" t="str">
        <f>T("184.1150")</f>
        <v>184.1150</v>
      </c>
    </row>
    <row r="3241" spans="1:37" x14ac:dyDescent="0.3">
      <c r="A3241" t="s">
        <v>10041</v>
      </c>
      <c r="B3241" t="s">
        <v>10042</v>
      </c>
      <c r="C3241" t="s">
        <v>10043</v>
      </c>
      <c r="D3241" t="s">
        <v>15</v>
      </c>
      <c r="K3241" t="str">
        <f>T("170.60")</f>
        <v>170.60</v>
      </c>
    </row>
    <row r="3242" spans="1:37" x14ac:dyDescent="0.3">
      <c r="A3242" t="s">
        <v>10044</v>
      </c>
      <c r="B3242" t="s">
        <v>10045</v>
      </c>
      <c r="C3242" t="s">
        <v>10046</v>
      </c>
      <c r="D3242" t="s">
        <v>10047</v>
      </c>
      <c r="K3242" t="str">
        <f>T("170.60")</f>
        <v>170.60</v>
      </c>
      <c r="AF3242" t="s">
        <v>10048</v>
      </c>
    </row>
    <row r="3243" spans="1:37" x14ac:dyDescent="0.3">
      <c r="A3243" t="s">
        <v>10049</v>
      </c>
      <c r="B3243" t="s">
        <v>10050</v>
      </c>
      <c r="C3243" t="s">
        <v>10051</v>
      </c>
      <c r="D3243" t="s">
        <v>7</v>
      </c>
    </row>
    <row r="3244" spans="1:37" x14ac:dyDescent="0.3">
      <c r="A3244" t="s">
        <v>10052</v>
      </c>
      <c r="B3244" t="s">
        <v>10053</v>
      </c>
      <c r="C3244" t="s">
        <v>10054</v>
      </c>
      <c r="D3244" t="s">
        <v>10055</v>
      </c>
      <c r="K3244" t="str">
        <f>T("170.60")</f>
        <v>170.60</v>
      </c>
      <c r="AF3244" t="s">
        <v>3281</v>
      </c>
    </row>
    <row r="3245" spans="1:37" x14ac:dyDescent="0.3">
      <c r="A3245" t="s">
        <v>10056</v>
      </c>
      <c r="B3245" t="s">
        <v>10057</v>
      </c>
      <c r="C3245" t="s">
        <v>10058</v>
      </c>
      <c r="D3245" t="s">
        <v>7</v>
      </c>
      <c r="AG3245" t="str">
        <f>T("4299")</f>
        <v>4299</v>
      </c>
      <c r="AH3245" t="str">
        <f>T("23")</f>
        <v>23</v>
      </c>
      <c r="AK3245" t="str">
        <f>T("2187")</f>
        <v>2187</v>
      </c>
    </row>
    <row r="3246" spans="1:37" x14ac:dyDescent="0.3">
      <c r="A3246" t="s">
        <v>10059</v>
      </c>
      <c r="B3246" t="s">
        <v>10060</v>
      </c>
      <c r="C3246" t="s">
        <v>10061</v>
      </c>
      <c r="AF3246" t="s">
        <v>10062</v>
      </c>
    </row>
    <row r="3247" spans="1:37" x14ac:dyDescent="0.3">
      <c r="A3247" t="s">
        <v>10063</v>
      </c>
      <c r="B3247" t="s">
        <v>10064</v>
      </c>
      <c r="C3247" t="s">
        <v>10065</v>
      </c>
      <c r="D3247" t="s">
        <v>199</v>
      </c>
      <c r="K3247" t="str">
        <f>T("186.1673")</f>
        <v>186.1673</v>
      </c>
    </row>
    <row r="3248" spans="1:37" x14ac:dyDescent="0.3">
      <c r="A3248" t="s">
        <v>10066</v>
      </c>
      <c r="B3248" t="s">
        <v>10067</v>
      </c>
      <c r="C3248" t="s">
        <v>10068</v>
      </c>
      <c r="D3248" t="s">
        <v>7</v>
      </c>
      <c r="AG3248" t="str">
        <f>T("4015")</f>
        <v>4015</v>
      </c>
      <c r="AH3248" t="str">
        <f>T("20")</f>
        <v>20</v>
      </c>
      <c r="AK3248" t="str">
        <f>T("951")</f>
        <v>951</v>
      </c>
    </row>
    <row r="3249" spans="1:37" x14ac:dyDescent="0.3">
      <c r="A3249" t="s">
        <v>10069</v>
      </c>
      <c r="B3249" t="s">
        <v>10070</v>
      </c>
      <c r="C3249" t="s">
        <v>10071</v>
      </c>
      <c r="D3249" t="s">
        <v>7</v>
      </c>
      <c r="AG3249" t="str">
        <f>T("3230")</f>
        <v>3230</v>
      </c>
      <c r="AH3249" t="str">
        <f>T("4")</f>
        <v>4</v>
      </c>
      <c r="AK3249" t="str">
        <f>T("795")</f>
        <v>795</v>
      </c>
    </row>
    <row r="3250" spans="1:37" x14ac:dyDescent="0.3">
      <c r="A3250" t="s">
        <v>10072</v>
      </c>
      <c r="B3250" t="s">
        <v>10073</v>
      </c>
      <c r="C3250" t="s">
        <v>10074</v>
      </c>
      <c r="D3250" t="s">
        <v>7</v>
      </c>
      <c r="AG3250" t="str">
        <f>T("3231")</f>
        <v>3231</v>
      </c>
      <c r="AH3250" t="str">
        <f>T("4")</f>
        <v>4</v>
      </c>
      <c r="AK3250" t="str">
        <f>T("796")</f>
        <v>796</v>
      </c>
    </row>
    <row r="3251" spans="1:37" x14ac:dyDescent="0.3">
      <c r="A3251" t="s">
        <v>10075</v>
      </c>
      <c r="B3251" t="s">
        <v>10076</v>
      </c>
      <c r="C3251" t="s">
        <v>10077</v>
      </c>
      <c r="D3251" t="s">
        <v>7</v>
      </c>
      <c r="AG3251" t="str">
        <f>T("3232")</f>
        <v>3232</v>
      </c>
      <c r="AH3251" t="str">
        <f>T("4")</f>
        <v>4</v>
      </c>
      <c r="AK3251" t="str">
        <f>T("1308")</f>
        <v>1308</v>
      </c>
    </row>
    <row r="3252" spans="1:37" x14ac:dyDescent="0.3">
      <c r="A3252" t="s">
        <v>10078</v>
      </c>
      <c r="B3252" t="s">
        <v>10079</v>
      </c>
      <c r="C3252" t="s">
        <v>10080</v>
      </c>
      <c r="AF3252" t="str">
        <f>T("101.9")</f>
        <v>101.9</v>
      </c>
    </row>
    <row r="3253" spans="1:37" x14ac:dyDescent="0.3">
      <c r="A3253" t="s">
        <v>10081</v>
      </c>
      <c r="B3253" t="s">
        <v>10082</v>
      </c>
      <c r="C3253" t="s">
        <v>10083</v>
      </c>
      <c r="D3253" t="s">
        <v>137</v>
      </c>
      <c r="K3253" t="str">
        <f>T("184.1676")</f>
        <v>184.1676</v>
      </c>
      <c r="AF3253" t="s">
        <v>1068</v>
      </c>
    </row>
    <row r="3254" spans="1:37" x14ac:dyDescent="0.3">
      <c r="A3254" t="s">
        <v>10084</v>
      </c>
      <c r="B3254" t="s">
        <v>10085</v>
      </c>
      <c r="C3254" t="s">
        <v>10086</v>
      </c>
      <c r="D3254" t="s">
        <v>7</v>
      </c>
      <c r="AF3254" t="str">
        <f>T("101.22")</f>
        <v>101.22</v>
      </c>
      <c r="AG3254" t="str">
        <f>T("2967")</f>
        <v>2967</v>
      </c>
      <c r="AH3254" t="str">
        <f>T("3")</f>
        <v>3</v>
      </c>
    </row>
    <row r="3255" spans="1:37" x14ac:dyDescent="0.3">
      <c r="A3255" t="s">
        <v>10087</v>
      </c>
      <c r="B3255" t="s">
        <v>10088</v>
      </c>
      <c r="C3255" t="s">
        <v>10089</v>
      </c>
      <c r="D3255" t="s">
        <v>7</v>
      </c>
      <c r="K3255" t="str">
        <f>T("172.515")</f>
        <v>172.515</v>
      </c>
      <c r="AG3255" t="str">
        <f>T("2968")</f>
        <v>2968</v>
      </c>
      <c r="AH3255" t="str">
        <f>T("3")</f>
        <v>3</v>
      </c>
    </row>
    <row r="3256" spans="1:37" x14ac:dyDescent="0.3">
      <c r="A3256" t="s">
        <v>10090</v>
      </c>
      <c r="B3256" t="s">
        <v>10091</v>
      </c>
      <c r="C3256" t="s">
        <v>10092</v>
      </c>
      <c r="D3256" t="s">
        <v>7</v>
      </c>
      <c r="AG3256" t="str">
        <f>T("3386")</f>
        <v>3386</v>
      </c>
      <c r="AH3256" t="str">
        <f>T("6")</f>
        <v>6</v>
      </c>
      <c r="AK3256" t="str">
        <f>T("1314")</f>
        <v>1314</v>
      </c>
    </row>
    <row r="3257" spans="1:37" x14ac:dyDescent="0.3">
      <c r="A3257" t="s">
        <v>10093</v>
      </c>
      <c r="B3257" t="s">
        <v>10094</v>
      </c>
      <c r="C3257" t="s">
        <v>10095</v>
      </c>
      <c r="D3257" t="s">
        <v>7</v>
      </c>
      <c r="AG3257" t="str">
        <f>T("3523")</f>
        <v>3523</v>
      </c>
      <c r="AH3257" t="str">
        <f>T("10")</f>
        <v>10</v>
      </c>
      <c r="AK3257" t="str">
        <f>T("1609")</f>
        <v>1609</v>
      </c>
    </row>
    <row r="3258" spans="1:37" x14ac:dyDescent="0.3">
      <c r="A3258" t="s">
        <v>10096</v>
      </c>
      <c r="B3258" t="s">
        <v>10097</v>
      </c>
      <c r="D3258" t="s">
        <v>7</v>
      </c>
      <c r="AG3258" t="str">
        <f>T("4321")</f>
        <v>4321</v>
      </c>
      <c r="AH3258" t="str">
        <f>T("23")</f>
        <v>23</v>
      </c>
      <c r="AK3258" t="str">
        <f>T("1763")</f>
        <v>1763</v>
      </c>
    </row>
    <row r="3259" spans="1:37" x14ac:dyDescent="0.3">
      <c r="A3259" t="s">
        <v>10098</v>
      </c>
      <c r="B3259" t="s">
        <v>10099</v>
      </c>
      <c r="C3259" t="s">
        <v>10100</v>
      </c>
      <c r="D3259" t="s">
        <v>7</v>
      </c>
      <c r="AG3259" t="str">
        <f>T("3898")</f>
        <v>3898</v>
      </c>
      <c r="AH3259" t="str">
        <f>T("18")</f>
        <v>18</v>
      </c>
      <c r="AK3259" t="str">
        <f>T("1603")</f>
        <v>1603</v>
      </c>
    </row>
    <row r="3260" spans="1:37" x14ac:dyDescent="0.3">
      <c r="A3260" t="s">
        <v>10101</v>
      </c>
      <c r="B3260" t="s">
        <v>10102</v>
      </c>
      <c r="C3260" t="s">
        <v>10103</v>
      </c>
      <c r="D3260" t="s">
        <v>7</v>
      </c>
      <c r="K3260" t="str">
        <f>T("172.515")</f>
        <v>172.515</v>
      </c>
      <c r="AG3260" t="str">
        <f>T("2969")</f>
        <v>2969</v>
      </c>
      <c r="AH3260" t="str">
        <f>T("3")</f>
        <v>3</v>
      </c>
      <c r="AK3260" t="str">
        <f>T("937")</f>
        <v>937</v>
      </c>
    </row>
    <row r="3261" spans="1:37" x14ac:dyDescent="0.3">
      <c r="A3261" t="s">
        <v>10104</v>
      </c>
      <c r="B3261" t="s">
        <v>10105</v>
      </c>
      <c r="C3261" t="s">
        <v>10106</v>
      </c>
      <c r="D3261" t="s">
        <v>7</v>
      </c>
      <c r="K3261" t="str">
        <f>T("172.515")</f>
        <v>172.515</v>
      </c>
      <c r="AG3261" t="str">
        <f>T("2970")</f>
        <v>2970</v>
      </c>
      <c r="AH3261" t="str">
        <f>T("3")</f>
        <v>3</v>
      </c>
      <c r="AI3261" t="str">
        <f>T("25")</f>
        <v>25</v>
      </c>
      <c r="AK3261" t="str">
        <f>T("936")</f>
        <v>936</v>
      </c>
    </row>
    <row r="3262" spans="1:37" x14ac:dyDescent="0.3">
      <c r="A3262" t="s">
        <v>10107</v>
      </c>
      <c r="B3262" t="s">
        <v>10108</v>
      </c>
      <c r="C3262" t="s">
        <v>10109</v>
      </c>
      <c r="D3262" t="s">
        <v>7</v>
      </c>
      <c r="K3262" t="str">
        <f>T("172.510")</f>
        <v>172.510</v>
      </c>
      <c r="AG3262" t="str">
        <f>T("2971")</f>
        <v>2971</v>
      </c>
      <c r="AH3262" t="str">
        <f>T("3")</f>
        <v>3</v>
      </c>
    </row>
    <row r="3263" spans="1:37" x14ac:dyDescent="0.3">
      <c r="A3263" t="s">
        <v>10110</v>
      </c>
      <c r="B3263" t="s">
        <v>10111</v>
      </c>
      <c r="C3263" t="s">
        <v>10112</v>
      </c>
      <c r="D3263" t="s">
        <v>184</v>
      </c>
      <c r="K3263" t="str">
        <f>T("172.165")</f>
        <v>172.165</v>
      </c>
      <c r="L3263" t="str">
        <f>T("173.320")</f>
        <v>173.320</v>
      </c>
    </row>
    <row r="3264" spans="1:37" x14ac:dyDescent="0.3">
      <c r="A3264" t="s">
        <v>10113</v>
      </c>
      <c r="B3264" t="s">
        <v>10114</v>
      </c>
      <c r="C3264" t="s">
        <v>10115</v>
      </c>
      <c r="D3264" t="s">
        <v>7</v>
      </c>
      <c r="K3264" t="str">
        <f>T("172.510")</f>
        <v>172.510</v>
      </c>
      <c r="L3264" t="str">
        <f>T("173.310")</f>
        <v>173.310</v>
      </c>
      <c r="AG3264" t="str">
        <f>T("2972")</f>
        <v>2972</v>
      </c>
      <c r="AH3264" t="str">
        <f t="shared" ref="AH3264:AH3270" si="36">T("3")</f>
        <v>3</v>
      </c>
    </row>
    <row r="3265" spans="1:37" x14ac:dyDescent="0.3">
      <c r="A3265" t="s">
        <v>10116</v>
      </c>
      <c r="B3265" t="s">
        <v>10117</v>
      </c>
      <c r="C3265" t="s">
        <v>10118</v>
      </c>
      <c r="D3265" t="s">
        <v>7</v>
      </c>
      <c r="K3265" t="str">
        <f>T("172.510")</f>
        <v>172.510</v>
      </c>
      <c r="AG3265" t="str">
        <f>T("2973")</f>
        <v>2973</v>
      </c>
      <c r="AH3265" t="str">
        <f t="shared" si="36"/>
        <v>3</v>
      </c>
      <c r="AI3265" t="str">
        <f>T("27")</f>
        <v>27</v>
      </c>
    </row>
    <row r="3266" spans="1:37" x14ac:dyDescent="0.3">
      <c r="A3266" t="s">
        <v>10119</v>
      </c>
      <c r="B3266" t="s">
        <v>10120</v>
      </c>
      <c r="C3266" t="s">
        <v>10121</v>
      </c>
      <c r="D3266" t="s">
        <v>10122</v>
      </c>
      <c r="K3266" t="str">
        <f>T("172.510")</f>
        <v>172.510</v>
      </c>
      <c r="AG3266" t="str">
        <f>T("2973")</f>
        <v>2973</v>
      </c>
      <c r="AH3266" t="str">
        <f t="shared" si="36"/>
        <v>3</v>
      </c>
    </row>
    <row r="3267" spans="1:37" x14ac:dyDescent="0.3">
      <c r="A3267" t="s">
        <v>10123</v>
      </c>
      <c r="B3267" t="s">
        <v>10124</v>
      </c>
      <c r="C3267" t="s">
        <v>10125</v>
      </c>
      <c r="D3267" t="s">
        <v>7</v>
      </c>
      <c r="K3267" t="str">
        <f>T("182.40")</f>
        <v>182.40</v>
      </c>
      <c r="AG3267" t="str">
        <f>T("2974")</f>
        <v>2974</v>
      </c>
      <c r="AH3267" t="str">
        <f t="shared" si="36"/>
        <v>3</v>
      </c>
    </row>
    <row r="3268" spans="1:37" x14ac:dyDescent="0.3">
      <c r="A3268" t="s">
        <v>10126</v>
      </c>
      <c r="B3268" t="s">
        <v>10127</v>
      </c>
      <c r="C3268" t="s">
        <v>10128</v>
      </c>
      <c r="D3268" t="s">
        <v>7</v>
      </c>
      <c r="AG3268" t="str">
        <f>T("2975")</f>
        <v>2975</v>
      </c>
      <c r="AH3268" t="str">
        <f t="shared" si="36"/>
        <v>3</v>
      </c>
    </row>
    <row r="3269" spans="1:37" x14ac:dyDescent="0.3">
      <c r="A3269" t="s">
        <v>10129</v>
      </c>
      <c r="B3269" t="s">
        <v>10130</v>
      </c>
      <c r="C3269" t="s">
        <v>10131</v>
      </c>
      <c r="D3269" t="s">
        <v>7</v>
      </c>
      <c r="K3269" t="str">
        <f>T("172.575")</f>
        <v>172.575</v>
      </c>
      <c r="AG3269" t="str">
        <f>T("2976")</f>
        <v>2976</v>
      </c>
      <c r="AH3269" t="str">
        <f t="shared" si="36"/>
        <v>3</v>
      </c>
    </row>
    <row r="3270" spans="1:37" x14ac:dyDescent="0.3">
      <c r="A3270" t="s">
        <v>10132</v>
      </c>
      <c r="B3270" t="s">
        <v>10133</v>
      </c>
      <c r="C3270" t="s">
        <v>10134</v>
      </c>
      <c r="D3270" t="s">
        <v>7</v>
      </c>
      <c r="K3270" t="str">
        <f>T("172.575")</f>
        <v>172.575</v>
      </c>
      <c r="AG3270" t="str">
        <f>T("2977")</f>
        <v>2977</v>
      </c>
      <c r="AH3270" t="str">
        <f t="shared" si="36"/>
        <v>3</v>
      </c>
    </row>
    <row r="3271" spans="1:37" x14ac:dyDescent="0.3">
      <c r="A3271" t="s">
        <v>10135</v>
      </c>
      <c r="B3271" t="s">
        <v>10136</v>
      </c>
      <c r="C3271" t="s">
        <v>10137</v>
      </c>
      <c r="D3271" t="s">
        <v>7</v>
      </c>
      <c r="AG3271" t="s">
        <v>10138</v>
      </c>
      <c r="AH3271" t="str">
        <f>T("9")</f>
        <v>9</v>
      </c>
      <c r="AI3271" t="str">
        <f>T("27")</f>
        <v>27</v>
      </c>
      <c r="AJ3271" t="s">
        <v>3679</v>
      </c>
    </row>
    <row r="3272" spans="1:37" x14ac:dyDescent="0.3">
      <c r="A3272" t="s">
        <v>10139</v>
      </c>
      <c r="B3272" t="s">
        <v>10140</v>
      </c>
      <c r="C3272" t="s">
        <v>10141</v>
      </c>
      <c r="D3272" t="s">
        <v>865</v>
      </c>
      <c r="K3272" t="str">
        <f>T("176.180")</f>
        <v>176.180</v>
      </c>
      <c r="L3272" t="str">
        <f>T("176.210")</f>
        <v>176.210</v>
      </c>
      <c r="M3272" t="str">
        <f>T("177.2800")</f>
        <v>177.2800</v>
      </c>
      <c r="N3272" t="str">
        <f>T("184.1555")</f>
        <v>184.1555</v>
      </c>
    </row>
    <row r="3273" spans="1:37" x14ac:dyDescent="0.3">
      <c r="A3273" t="s">
        <v>10142</v>
      </c>
      <c r="B3273" t="s">
        <v>10143</v>
      </c>
      <c r="C3273" t="s">
        <v>10144</v>
      </c>
      <c r="D3273" t="s">
        <v>1623</v>
      </c>
      <c r="K3273" t="str">
        <f>T("184.1555")</f>
        <v>184.1555</v>
      </c>
    </row>
    <row r="3274" spans="1:37" x14ac:dyDescent="0.3">
      <c r="A3274" t="s">
        <v>10145</v>
      </c>
      <c r="B3274" t="s">
        <v>10146</v>
      </c>
      <c r="C3274" t="s">
        <v>10147</v>
      </c>
      <c r="D3274" t="s">
        <v>865</v>
      </c>
      <c r="K3274" t="str">
        <f>T("184.1555")</f>
        <v>184.1555</v>
      </c>
    </row>
    <row r="3275" spans="1:37" x14ac:dyDescent="0.3">
      <c r="A3275" t="s">
        <v>10148</v>
      </c>
      <c r="B3275" t="s">
        <v>10149</v>
      </c>
      <c r="C3275" t="s">
        <v>10150</v>
      </c>
      <c r="D3275" t="s">
        <v>865</v>
      </c>
      <c r="K3275" t="str">
        <f>T("184.1555")</f>
        <v>184.1555</v>
      </c>
    </row>
    <row r="3276" spans="1:37" x14ac:dyDescent="0.3">
      <c r="A3276" t="s">
        <v>10151</v>
      </c>
      <c r="B3276" t="s">
        <v>10152</v>
      </c>
      <c r="C3276" t="s">
        <v>10153</v>
      </c>
      <c r="D3276" t="s">
        <v>7</v>
      </c>
      <c r="AG3276" t="str">
        <f>T("4720")</f>
        <v>4720</v>
      </c>
      <c r="AH3276" t="str">
        <f>T("25")</f>
        <v>25</v>
      </c>
      <c r="AI3276" t="str">
        <f>T("26")</f>
        <v>26</v>
      </c>
    </row>
    <row r="3277" spans="1:37" x14ac:dyDescent="0.3">
      <c r="A3277" t="s">
        <v>10154</v>
      </c>
      <c r="B3277" t="s">
        <v>10155</v>
      </c>
      <c r="C3277" t="s">
        <v>10156</v>
      </c>
      <c r="D3277" t="s">
        <v>7</v>
      </c>
      <c r="AG3277" t="str">
        <f>T("4601")</f>
        <v>4601</v>
      </c>
      <c r="AH3277" t="str">
        <f>T("24")</f>
        <v>24</v>
      </c>
      <c r="AI3277" t="str">
        <f>T("26")</f>
        <v>26</v>
      </c>
    </row>
    <row r="3278" spans="1:37" x14ac:dyDescent="0.3">
      <c r="A3278" t="s">
        <v>10157</v>
      </c>
      <c r="B3278" t="s">
        <v>10158</v>
      </c>
      <c r="C3278" t="s">
        <v>10159</v>
      </c>
      <c r="D3278" t="s">
        <v>10160</v>
      </c>
      <c r="K3278" t="str">
        <f>T("184.1685")</f>
        <v>184.1685</v>
      </c>
      <c r="AF3278" t="s">
        <v>10161</v>
      </c>
    </row>
    <row r="3279" spans="1:37" x14ac:dyDescent="0.3">
      <c r="A3279" t="s">
        <v>10162</v>
      </c>
      <c r="B3279" t="s">
        <v>10163</v>
      </c>
      <c r="C3279" t="s">
        <v>10164</v>
      </c>
      <c r="D3279" t="s">
        <v>199</v>
      </c>
      <c r="K3279" t="str">
        <f>T("173.25")</f>
        <v>173.25</v>
      </c>
    </row>
    <row r="3280" spans="1:37" x14ac:dyDescent="0.3">
      <c r="A3280" t="s">
        <v>10165</v>
      </c>
      <c r="B3280" t="s">
        <v>10166</v>
      </c>
      <c r="C3280" t="s">
        <v>10167</v>
      </c>
      <c r="D3280" t="s">
        <v>15</v>
      </c>
      <c r="K3280" t="str">
        <f>T("177.1210")</f>
        <v>177.1210</v>
      </c>
      <c r="AG3280" t="str">
        <f>T("3589")</f>
        <v>3589</v>
      </c>
      <c r="AH3280" t="str">
        <f>T("11")</f>
        <v>11</v>
      </c>
      <c r="AK3280" t="str">
        <f>T("712")</f>
        <v>712</v>
      </c>
    </row>
    <row r="3281" spans="1:37" x14ac:dyDescent="0.3">
      <c r="A3281" t="s">
        <v>10168</v>
      </c>
      <c r="B3281" t="s">
        <v>10169</v>
      </c>
      <c r="C3281" t="s">
        <v>10170</v>
      </c>
      <c r="D3281" t="s">
        <v>7</v>
      </c>
      <c r="AG3281" t="str">
        <f>T("3730")</f>
        <v>3730</v>
      </c>
      <c r="AH3281" t="str">
        <f>T("13")</f>
        <v>13</v>
      </c>
    </row>
    <row r="3282" spans="1:37" x14ac:dyDescent="0.3">
      <c r="A3282" t="s">
        <v>10171</v>
      </c>
      <c r="B3282" t="s">
        <v>10172</v>
      </c>
      <c r="C3282" t="s">
        <v>10173</v>
      </c>
      <c r="D3282" t="s">
        <v>7</v>
      </c>
      <c r="K3282" t="str">
        <f>T("172.510")</f>
        <v>172.510</v>
      </c>
      <c r="AG3282" t="str">
        <f>T("2979")</f>
        <v>2979</v>
      </c>
      <c r="AH3282" t="str">
        <f t="shared" ref="AH3282:AH3290" si="37">T("3")</f>
        <v>3</v>
      </c>
    </row>
    <row r="3283" spans="1:37" x14ac:dyDescent="0.3">
      <c r="A3283" t="s">
        <v>10174</v>
      </c>
      <c r="B3283" t="s">
        <v>10175</v>
      </c>
      <c r="C3283" t="s">
        <v>10176</v>
      </c>
      <c r="D3283" t="s">
        <v>4799</v>
      </c>
      <c r="K3283" t="str">
        <f t="shared" ref="K3283:K3290" si="38">T("172.515")</f>
        <v>172.515</v>
      </c>
      <c r="AG3283" t="str">
        <f>T("2980")</f>
        <v>2980</v>
      </c>
      <c r="AH3283" t="str">
        <f t="shared" si="37"/>
        <v>3</v>
      </c>
      <c r="AK3283" t="str">
        <f>T("1222")</f>
        <v>1222</v>
      </c>
    </row>
    <row r="3284" spans="1:37" x14ac:dyDescent="0.3">
      <c r="A3284" t="s">
        <v>10177</v>
      </c>
      <c r="B3284" t="s">
        <v>10178</v>
      </c>
      <c r="C3284" t="s">
        <v>10179</v>
      </c>
      <c r="D3284" t="s">
        <v>7</v>
      </c>
      <c r="K3284" t="str">
        <f t="shared" si="38"/>
        <v>172.515</v>
      </c>
      <c r="AG3284" t="str">
        <f>T("2981")</f>
        <v>2981</v>
      </c>
      <c r="AH3284" t="str">
        <f t="shared" si="37"/>
        <v>3</v>
      </c>
      <c r="AK3284" t="str">
        <f>T("60")</f>
        <v>60</v>
      </c>
    </row>
    <row r="3285" spans="1:37" x14ac:dyDescent="0.3">
      <c r="A3285" t="s">
        <v>10180</v>
      </c>
      <c r="B3285" t="s">
        <v>10181</v>
      </c>
      <c r="C3285" t="s">
        <v>10182</v>
      </c>
      <c r="D3285" t="s">
        <v>7</v>
      </c>
      <c r="K3285" t="str">
        <f t="shared" si="38"/>
        <v>172.515</v>
      </c>
      <c r="AG3285" t="str">
        <f>T("2982")</f>
        <v>2982</v>
      </c>
      <c r="AH3285" t="str">
        <f t="shared" si="37"/>
        <v>3</v>
      </c>
      <c r="AK3285" t="str">
        <f>T("68")</f>
        <v>68</v>
      </c>
    </row>
    <row r="3286" spans="1:37" x14ac:dyDescent="0.3">
      <c r="A3286" t="s">
        <v>10183</v>
      </c>
      <c r="B3286" t="s">
        <v>10184</v>
      </c>
      <c r="C3286" t="s">
        <v>10185</v>
      </c>
      <c r="D3286" t="s">
        <v>7</v>
      </c>
      <c r="K3286" t="str">
        <f t="shared" si="38"/>
        <v>172.515</v>
      </c>
      <c r="AG3286" t="str">
        <f>T("2984")</f>
        <v>2984</v>
      </c>
      <c r="AH3286" t="str">
        <f t="shared" si="37"/>
        <v>3</v>
      </c>
      <c r="AI3286" t="str">
        <f>T("25")</f>
        <v>25</v>
      </c>
      <c r="AK3286" t="str">
        <f>T("56")</f>
        <v>56</v>
      </c>
    </row>
    <row r="3287" spans="1:37" x14ac:dyDescent="0.3">
      <c r="A3287" t="s">
        <v>10186</v>
      </c>
      <c r="B3287" t="s">
        <v>10187</v>
      </c>
      <c r="C3287" t="s">
        <v>10188</v>
      </c>
      <c r="D3287" t="s">
        <v>15</v>
      </c>
      <c r="K3287" t="str">
        <f t="shared" si="38"/>
        <v>172.515</v>
      </c>
      <c r="AG3287" t="str">
        <f>T("2983")</f>
        <v>2983</v>
      </c>
      <c r="AH3287" t="str">
        <f t="shared" si="37"/>
        <v>3</v>
      </c>
      <c r="AK3287" t="str">
        <f>T("74")</f>
        <v>74</v>
      </c>
    </row>
    <row r="3288" spans="1:37" x14ac:dyDescent="0.3">
      <c r="A3288" t="s">
        <v>10189</v>
      </c>
      <c r="B3288" t="s">
        <v>10190</v>
      </c>
      <c r="C3288" t="s">
        <v>10191</v>
      </c>
      <c r="D3288" t="s">
        <v>7</v>
      </c>
      <c r="K3288" t="str">
        <f t="shared" si="38"/>
        <v>172.515</v>
      </c>
      <c r="AG3288" t="str">
        <f>T("2987")</f>
        <v>2987</v>
      </c>
      <c r="AH3288" t="str">
        <f t="shared" si="37"/>
        <v>3</v>
      </c>
      <c r="AK3288" t="str">
        <f>T("77")</f>
        <v>77</v>
      </c>
    </row>
    <row r="3289" spans="1:37" x14ac:dyDescent="0.3">
      <c r="A3289" t="s">
        <v>10192</v>
      </c>
      <c r="B3289" t="s">
        <v>10193</v>
      </c>
      <c r="C3289" t="s">
        <v>10194</v>
      </c>
      <c r="D3289" t="s">
        <v>7</v>
      </c>
      <c r="K3289" t="str">
        <f t="shared" si="38"/>
        <v>172.515</v>
      </c>
      <c r="AG3289" t="str">
        <f>T("2985")</f>
        <v>2985</v>
      </c>
      <c r="AH3289" t="str">
        <f t="shared" si="37"/>
        <v>3</v>
      </c>
      <c r="AK3289" t="str">
        <f>T("1018")</f>
        <v>1018</v>
      </c>
    </row>
    <row r="3290" spans="1:37" x14ac:dyDescent="0.3">
      <c r="A3290" t="s">
        <v>10195</v>
      </c>
      <c r="B3290" t="s">
        <v>10196</v>
      </c>
      <c r="C3290" t="s">
        <v>10197</v>
      </c>
      <c r="D3290" t="s">
        <v>7</v>
      </c>
      <c r="K3290" t="str">
        <f t="shared" si="38"/>
        <v>172.515</v>
      </c>
      <c r="AG3290" t="str">
        <f>T("2986")</f>
        <v>2986</v>
      </c>
      <c r="AH3290" t="str">
        <f t="shared" si="37"/>
        <v>3</v>
      </c>
      <c r="AK3290" t="str">
        <f>T("64")</f>
        <v>64</v>
      </c>
    </row>
    <row r="3291" spans="1:37" x14ac:dyDescent="0.3">
      <c r="A3291" t="s">
        <v>10198</v>
      </c>
      <c r="B3291" t="s">
        <v>10199</v>
      </c>
      <c r="C3291" t="s">
        <v>10200</v>
      </c>
      <c r="D3291" t="s">
        <v>7</v>
      </c>
      <c r="K3291" t="str">
        <f>T("172.510")</f>
        <v>172.510</v>
      </c>
    </row>
    <row r="3292" spans="1:37" x14ac:dyDescent="0.3">
      <c r="A3292" t="s">
        <v>10201</v>
      </c>
      <c r="B3292" t="s">
        <v>10202</v>
      </c>
      <c r="C3292" t="s">
        <v>10203</v>
      </c>
      <c r="D3292" t="s">
        <v>7</v>
      </c>
      <c r="K3292" t="str">
        <f>T("172.510")</f>
        <v>172.510</v>
      </c>
    </row>
    <row r="3293" spans="1:37" x14ac:dyDescent="0.3">
      <c r="A3293" t="s">
        <v>10204</v>
      </c>
      <c r="B3293" t="s">
        <v>10205</v>
      </c>
      <c r="C3293" t="s">
        <v>10206</v>
      </c>
      <c r="D3293" t="s">
        <v>10207</v>
      </c>
      <c r="E3293" t="str">
        <f>T("73.450")</f>
        <v>73.450</v>
      </c>
      <c r="K3293" t="str">
        <f>T("184.1695")</f>
        <v>184.1695</v>
      </c>
      <c r="AF3293" t="s">
        <v>10208</v>
      </c>
    </row>
    <row r="3294" spans="1:37" x14ac:dyDescent="0.3">
      <c r="A3294" t="s">
        <v>10209</v>
      </c>
      <c r="B3294" t="s">
        <v>10210</v>
      </c>
      <c r="C3294" t="s">
        <v>10211</v>
      </c>
      <c r="D3294" t="s">
        <v>137</v>
      </c>
    </row>
    <row r="3295" spans="1:37" x14ac:dyDescent="0.3">
      <c r="A3295" t="s">
        <v>10212</v>
      </c>
      <c r="B3295" t="s">
        <v>10213</v>
      </c>
      <c r="C3295" t="s">
        <v>10214</v>
      </c>
      <c r="D3295" t="s">
        <v>137</v>
      </c>
      <c r="K3295" t="str">
        <f>T("184.1697")</f>
        <v>184.1697</v>
      </c>
    </row>
    <row r="3296" spans="1:37" x14ac:dyDescent="0.3">
      <c r="A3296" t="s">
        <v>10215</v>
      </c>
      <c r="B3296" t="s">
        <v>10216</v>
      </c>
      <c r="C3296" t="s">
        <v>10217</v>
      </c>
      <c r="D3296" t="s">
        <v>7</v>
      </c>
      <c r="AG3296" t="str">
        <f>T("3793")</f>
        <v>3793</v>
      </c>
      <c r="AH3296" t="str">
        <f>T("16")</f>
        <v>16</v>
      </c>
    </row>
    <row r="3297" spans="1:37" x14ac:dyDescent="0.3">
      <c r="A3297" t="s">
        <v>10218</v>
      </c>
      <c r="B3297" t="s">
        <v>10219</v>
      </c>
      <c r="C3297" t="s">
        <v>10220</v>
      </c>
      <c r="D3297" t="s">
        <v>10221</v>
      </c>
      <c r="K3297" t="str">
        <f>T("172.615")</f>
        <v>172.615</v>
      </c>
      <c r="L3297" t="str">
        <f>T("172.890")</f>
        <v>172.890</v>
      </c>
      <c r="M3297" t="str">
        <f>T("178.3860")</f>
        <v>178.3860</v>
      </c>
    </row>
    <row r="3298" spans="1:37" x14ac:dyDescent="0.3">
      <c r="A3298" t="s">
        <v>10222</v>
      </c>
      <c r="B3298" t="s">
        <v>10223</v>
      </c>
      <c r="C3298" t="s">
        <v>10224</v>
      </c>
      <c r="D3298" t="s">
        <v>10047</v>
      </c>
    </row>
    <row r="3299" spans="1:37" x14ac:dyDescent="0.3">
      <c r="A3299" t="s">
        <v>10225</v>
      </c>
      <c r="B3299" t="s">
        <v>10226</v>
      </c>
      <c r="C3299" t="s">
        <v>10227</v>
      </c>
      <c r="D3299" t="s">
        <v>802</v>
      </c>
    </row>
    <row r="3300" spans="1:37" x14ac:dyDescent="0.3">
      <c r="A3300" t="s">
        <v>10228</v>
      </c>
      <c r="B3300" t="s">
        <v>10229</v>
      </c>
      <c r="C3300" t="s">
        <v>10230</v>
      </c>
      <c r="D3300" t="s">
        <v>7</v>
      </c>
      <c r="AG3300" t="str">
        <f>T("4492")</f>
        <v>4492</v>
      </c>
      <c r="AH3300" t="str">
        <f>T("24")</f>
        <v>24</v>
      </c>
      <c r="AK3300" t="str">
        <f>T("2071")</f>
        <v>2071</v>
      </c>
    </row>
    <row r="3301" spans="1:37" x14ac:dyDescent="0.3">
      <c r="A3301" t="s">
        <v>10231</v>
      </c>
      <c r="B3301" t="s">
        <v>10232</v>
      </c>
      <c r="C3301" t="s">
        <v>10233</v>
      </c>
      <c r="D3301" t="s">
        <v>7</v>
      </c>
      <c r="K3301" t="str">
        <f>T("182.20")</f>
        <v>182.20</v>
      </c>
      <c r="AG3301" t="str">
        <f>T("2988")</f>
        <v>2988</v>
      </c>
      <c r="AH3301" t="str">
        <f>T("3")</f>
        <v>3</v>
      </c>
    </row>
    <row r="3302" spans="1:37" x14ac:dyDescent="0.3">
      <c r="A3302" t="s">
        <v>10234</v>
      </c>
      <c r="B3302" t="s">
        <v>10235</v>
      </c>
      <c r="C3302" t="s">
        <v>10236</v>
      </c>
      <c r="D3302" t="s">
        <v>7</v>
      </c>
    </row>
    <row r="3303" spans="1:37" x14ac:dyDescent="0.3">
      <c r="A3303" t="s">
        <v>10237</v>
      </c>
      <c r="B3303" t="s">
        <v>10238</v>
      </c>
      <c r="C3303" t="s">
        <v>10239</v>
      </c>
      <c r="D3303" t="s">
        <v>7</v>
      </c>
    </row>
    <row r="3304" spans="1:37" x14ac:dyDescent="0.3">
      <c r="A3304" t="s">
        <v>10240</v>
      </c>
      <c r="B3304" t="s">
        <v>10241</v>
      </c>
      <c r="C3304" t="s">
        <v>10242</v>
      </c>
      <c r="D3304" t="s">
        <v>3328</v>
      </c>
      <c r="K3304" t="str">
        <f>T("182.20")</f>
        <v>182.20</v>
      </c>
      <c r="AG3304" t="str">
        <f>T("2990")</f>
        <v>2990</v>
      </c>
      <c r="AH3304" t="str">
        <f>T("3")</f>
        <v>3</v>
      </c>
    </row>
    <row r="3305" spans="1:37" x14ac:dyDescent="0.3">
      <c r="A3305" t="s">
        <v>10243</v>
      </c>
      <c r="B3305" t="s">
        <v>10244</v>
      </c>
      <c r="C3305" t="s">
        <v>10245</v>
      </c>
      <c r="D3305" t="s">
        <v>7</v>
      </c>
    </row>
    <row r="3306" spans="1:37" x14ac:dyDescent="0.3">
      <c r="A3306" t="s">
        <v>10246</v>
      </c>
      <c r="B3306" t="s">
        <v>10247</v>
      </c>
      <c r="C3306" t="s">
        <v>10248</v>
      </c>
      <c r="D3306" t="s">
        <v>7</v>
      </c>
      <c r="K3306" t="str">
        <f>T("172.510")</f>
        <v>172.510</v>
      </c>
    </row>
    <row r="3307" spans="1:37" x14ac:dyDescent="0.3">
      <c r="A3307" t="s">
        <v>10249</v>
      </c>
      <c r="B3307" t="s">
        <v>10250</v>
      </c>
      <c r="C3307" t="s">
        <v>10251</v>
      </c>
      <c r="D3307" t="s">
        <v>7</v>
      </c>
      <c r="K3307" t="str">
        <f>T("182.20")</f>
        <v>182.20</v>
      </c>
    </row>
    <row r="3308" spans="1:37" x14ac:dyDescent="0.3">
      <c r="A3308" t="s">
        <v>10252</v>
      </c>
      <c r="B3308" t="s">
        <v>10253</v>
      </c>
      <c r="C3308" t="s">
        <v>10254</v>
      </c>
      <c r="D3308" t="s">
        <v>7</v>
      </c>
      <c r="K3308" t="str">
        <f>T("182.20")</f>
        <v>182.20</v>
      </c>
      <c r="AG3308" t="str">
        <f>T("2992")</f>
        <v>2992</v>
      </c>
      <c r="AH3308" t="str">
        <f>T("3")</f>
        <v>3</v>
      </c>
    </row>
    <row r="3309" spans="1:37" x14ac:dyDescent="0.3">
      <c r="A3309" t="s">
        <v>10255</v>
      </c>
      <c r="B3309" t="s">
        <v>10256</v>
      </c>
      <c r="C3309" t="s">
        <v>10257</v>
      </c>
      <c r="D3309" t="s">
        <v>7</v>
      </c>
      <c r="K3309" t="str">
        <f>T("182.20")</f>
        <v>182.20</v>
      </c>
      <c r="AG3309" t="str">
        <f>T("4705")</f>
        <v>4705</v>
      </c>
      <c r="AH3309" t="str">
        <f>T("25")</f>
        <v>25</v>
      </c>
    </row>
    <row r="3310" spans="1:37" x14ac:dyDescent="0.3">
      <c r="A3310" t="s">
        <v>10258</v>
      </c>
      <c r="B3310" t="s">
        <v>10259</v>
      </c>
      <c r="C3310" t="s">
        <v>10260</v>
      </c>
      <c r="D3310" t="s">
        <v>7</v>
      </c>
      <c r="K3310" t="str">
        <f>T("182.10")</f>
        <v>182.10</v>
      </c>
      <c r="AF3310" t="str">
        <f>T("101.22")</f>
        <v>101.22</v>
      </c>
      <c r="AG3310" t="str">
        <f>T("2991")</f>
        <v>2991</v>
      </c>
      <c r="AH3310" t="str">
        <f>T("3")</f>
        <v>3</v>
      </c>
    </row>
    <row r="3311" spans="1:37" x14ac:dyDescent="0.3">
      <c r="A3311" t="s">
        <v>10261</v>
      </c>
      <c r="B3311" t="s">
        <v>10262</v>
      </c>
      <c r="C3311" t="s">
        <v>10263</v>
      </c>
      <c r="D3311" t="s">
        <v>7</v>
      </c>
      <c r="K3311" t="str">
        <f>T("182.20")</f>
        <v>182.20</v>
      </c>
      <c r="AG3311" t="str">
        <f>T("2989")</f>
        <v>2989</v>
      </c>
      <c r="AH3311" t="str">
        <f>T("3")</f>
        <v>3</v>
      </c>
    </row>
    <row r="3312" spans="1:37" x14ac:dyDescent="0.3">
      <c r="A3312" t="s">
        <v>10264</v>
      </c>
      <c r="B3312" t="s">
        <v>10265</v>
      </c>
      <c r="C3312" t="s">
        <v>10266</v>
      </c>
      <c r="D3312" t="s">
        <v>7</v>
      </c>
      <c r="K3312" t="str">
        <f>T("182.20")</f>
        <v>182.20</v>
      </c>
      <c r="AG3312" t="str">
        <f>T("2993")</f>
        <v>2993</v>
      </c>
      <c r="AH3312" t="str">
        <f>T("3")</f>
        <v>3</v>
      </c>
    </row>
    <row r="3313" spans="1:34" x14ac:dyDescent="0.3">
      <c r="A3313" t="s">
        <v>10267</v>
      </c>
      <c r="B3313" t="s">
        <v>10268</v>
      </c>
      <c r="C3313" t="s">
        <v>10269</v>
      </c>
      <c r="D3313" t="s">
        <v>1175</v>
      </c>
      <c r="K3313" t="str">
        <f>T("172.615")</f>
        <v>172.615</v>
      </c>
    </row>
    <row r="3314" spans="1:34" x14ac:dyDescent="0.3">
      <c r="A3314" t="s">
        <v>10270</v>
      </c>
      <c r="B3314" t="s">
        <v>10271</v>
      </c>
      <c r="C3314" t="s">
        <v>10272</v>
      </c>
      <c r="E3314" t="str">
        <f>T("73.1")</f>
        <v>73.1</v>
      </c>
      <c r="K3314" t="str">
        <f>T("175.105")</f>
        <v>175.105</v>
      </c>
      <c r="L3314" t="str">
        <f>T("175.320")</f>
        <v>175.320</v>
      </c>
    </row>
    <row r="3315" spans="1:34" x14ac:dyDescent="0.3">
      <c r="A3315" t="s">
        <v>10273</v>
      </c>
      <c r="B3315" t="s">
        <v>10274</v>
      </c>
      <c r="C3315" t="s">
        <v>10275</v>
      </c>
      <c r="K3315" t="str">
        <f>T("175.105")</f>
        <v>175.105</v>
      </c>
      <c r="L3315" t="str">
        <f>T("175.300")</f>
        <v>175.300</v>
      </c>
      <c r="AG3315" t="str">
        <f>T("4226")</f>
        <v>4226</v>
      </c>
      <c r="AH3315" t="str">
        <f>T("22")</f>
        <v>22</v>
      </c>
    </row>
    <row r="3316" spans="1:34" x14ac:dyDescent="0.3">
      <c r="A3316" t="s">
        <v>10276</v>
      </c>
      <c r="B3316" t="s">
        <v>10277</v>
      </c>
      <c r="C3316" t="s">
        <v>10278</v>
      </c>
      <c r="D3316" t="s">
        <v>10279</v>
      </c>
      <c r="K3316" t="str">
        <f>T("172.615")</f>
        <v>172.615</v>
      </c>
      <c r="L3316" t="str">
        <f>T("172.735")</f>
        <v>172.735</v>
      </c>
      <c r="M3316" t="str">
        <f>T("175.105")</f>
        <v>175.105</v>
      </c>
      <c r="N3316" t="str">
        <f>T("175.300")</f>
        <v>175.300</v>
      </c>
      <c r="O3316" t="str">
        <f>T("175.320")</f>
        <v>175.320</v>
      </c>
    </row>
    <row r="3317" spans="1:34" x14ac:dyDescent="0.3">
      <c r="A3317" t="s">
        <v>10280</v>
      </c>
      <c r="B3317" t="s">
        <v>10281</v>
      </c>
      <c r="C3317" t="s">
        <v>10282</v>
      </c>
      <c r="D3317" t="s">
        <v>1175</v>
      </c>
      <c r="K3317" t="str">
        <f>T("172.615")</f>
        <v>172.615</v>
      </c>
      <c r="L3317" t="str">
        <f>T("175.105")</f>
        <v>175.105</v>
      </c>
      <c r="M3317" t="str">
        <f>T("175.300")</f>
        <v>175.300</v>
      </c>
    </row>
    <row r="3318" spans="1:34" x14ac:dyDescent="0.3">
      <c r="A3318" t="s">
        <v>10283</v>
      </c>
      <c r="B3318" t="s">
        <v>10284</v>
      </c>
      <c r="C3318" t="s">
        <v>10285</v>
      </c>
      <c r="D3318" t="s">
        <v>1175</v>
      </c>
      <c r="K3318" t="str">
        <f>T("172.615")</f>
        <v>172.615</v>
      </c>
      <c r="L3318" t="str">
        <f>T("175.105")</f>
        <v>175.105</v>
      </c>
      <c r="M3318" t="str">
        <f>T("175.300")</f>
        <v>175.300</v>
      </c>
    </row>
    <row r="3319" spans="1:34" x14ac:dyDescent="0.3">
      <c r="A3319" t="s">
        <v>10286</v>
      </c>
      <c r="B3319" t="s">
        <v>10287</v>
      </c>
      <c r="C3319" t="s">
        <v>10288</v>
      </c>
      <c r="D3319" t="s">
        <v>1175</v>
      </c>
      <c r="K3319" t="str">
        <f>T("172.615")</f>
        <v>172.615</v>
      </c>
      <c r="L3319" t="str">
        <f>T("175.105")</f>
        <v>175.105</v>
      </c>
      <c r="M3319" t="str">
        <f>T("175.300")</f>
        <v>175.300</v>
      </c>
    </row>
    <row r="3320" spans="1:34" x14ac:dyDescent="0.3">
      <c r="A3320" t="s">
        <v>10289</v>
      </c>
      <c r="B3320" t="s">
        <v>10290</v>
      </c>
      <c r="C3320" t="s">
        <v>10291</v>
      </c>
      <c r="E3320" t="str">
        <f>T("73.1")</f>
        <v>73.1</v>
      </c>
      <c r="K3320" t="str">
        <f>T("175.105")</f>
        <v>175.105</v>
      </c>
      <c r="L3320" t="str">
        <f>T("175.300")</f>
        <v>175.300</v>
      </c>
    </row>
    <row r="3321" spans="1:34" x14ac:dyDescent="0.3">
      <c r="A3321" t="s">
        <v>10292</v>
      </c>
      <c r="B3321" t="s">
        <v>10293</v>
      </c>
      <c r="C3321" t="s">
        <v>10294</v>
      </c>
      <c r="D3321" t="s">
        <v>10295</v>
      </c>
      <c r="K3321" t="str">
        <f>T("172.515")</f>
        <v>172.515</v>
      </c>
      <c r="L3321" t="str">
        <f>T("172.615")</f>
        <v>172.615</v>
      </c>
      <c r="M3321" t="str">
        <f>T("175.105")</f>
        <v>175.105</v>
      </c>
      <c r="N3321" t="str">
        <f>T("175.300")</f>
        <v>175.300</v>
      </c>
      <c r="O3321" t="str">
        <f>T("176.200")</f>
        <v>176.200</v>
      </c>
      <c r="P3321" t="str">
        <f>T("178.3120")</f>
        <v>178.3120</v>
      </c>
      <c r="Q3321" t="str">
        <f>T("178.3800")</f>
        <v>178.3800</v>
      </c>
      <c r="R3321" t="str">
        <f>T("178.3850")</f>
        <v>178.3850</v>
      </c>
      <c r="S3321" t="str">
        <f>T("178.3870")</f>
        <v>178.3870</v>
      </c>
    </row>
    <row r="3322" spans="1:34" x14ac:dyDescent="0.3">
      <c r="A3322" t="s">
        <v>10296</v>
      </c>
      <c r="B3322" t="s">
        <v>10297</v>
      </c>
      <c r="C3322" t="s">
        <v>10298</v>
      </c>
      <c r="D3322" t="s">
        <v>2253</v>
      </c>
      <c r="K3322" t="str">
        <f>T("172.210")</f>
        <v>172.210</v>
      </c>
      <c r="L3322" t="str">
        <f>T("175.105")</f>
        <v>175.105</v>
      </c>
      <c r="M3322" t="str">
        <f>T("176.200")</f>
        <v>176.200</v>
      </c>
      <c r="N3322" t="str">
        <f>T("178.3120")</f>
        <v>178.3120</v>
      </c>
      <c r="O3322" t="str">
        <f>T("178.3800")</f>
        <v>178.3800</v>
      </c>
      <c r="P3322" t="str">
        <f>T("178.3850")</f>
        <v>178.3850</v>
      </c>
      <c r="Q3322" t="str">
        <f>T("178.3870")</f>
        <v>178.3870</v>
      </c>
    </row>
    <row r="3323" spans="1:34" x14ac:dyDescent="0.3">
      <c r="A3323" t="s">
        <v>10299</v>
      </c>
      <c r="B3323" t="s">
        <v>10300</v>
      </c>
      <c r="C3323" t="s">
        <v>10301</v>
      </c>
      <c r="D3323" t="s">
        <v>1175</v>
      </c>
      <c r="K3323" t="str">
        <f>T("172.615")</f>
        <v>172.615</v>
      </c>
      <c r="L3323" t="str">
        <f>T("175.105")</f>
        <v>175.105</v>
      </c>
      <c r="M3323" t="str">
        <f>T("175.300")</f>
        <v>175.300</v>
      </c>
      <c r="N3323" t="str">
        <f>T("176.200")</f>
        <v>176.200</v>
      </c>
      <c r="O3323" t="str">
        <f>T("178.3120")</f>
        <v>178.3120</v>
      </c>
      <c r="P3323" t="str">
        <f>T("178.3800")</f>
        <v>178.3800</v>
      </c>
      <c r="Q3323" t="str">
        <f>T("178.3850")</f>
        <v>178.3850</v>
      </c>
      <c r="R3323" t="str">
        <f>T("178.3870")</f>
        <v>178.3870</v>
      </c>
    </row>
    <row r="3324" spans="1:34" x14ac:dyDescent="0.3">
      <c r="A3324" t="s">
        <v>10302</v>
      </c>
      <c r="B3324" t="s">
        <v>10303</v>
      </c>
      <c r="C3324" t="s">
        <v>10304</v>
      </c>
      <c r="D3324" t="s">
        <v>2253</v>
      </c>
      <c r="K3324" t="str">
        <f>T("172.210")</f>
        <v>172.210</v>
      </c>
      <c r="L3324" t="str">
        <f>T("175.105")</f>
        <v>175.105</v>
      </c>
      <c r="M3324" t="str">
        <f>T("175.300")</f>
        <v>175.300</v>
      </c>
      <c r="N3324" t="str">
        <f>T("176.200")</f>
        <v>176.200</v>
      </c>
      <c r="O3324" t="str">
        <f>T("178.3120")</f>
        <v>178.3120</v>
      </c>
      <c r="P3324" t="str">
        <f>T("178.3800")</f>
        <v>178.3800</v>
      </c>
      <c r="Q3324" t="str">
        <f>T("178.3850")</f>
        <v>178.3850</v>
      </c>
      <c r="R3324" t="str">
        <f>T("178.3870")</f>
        <v>178.3870</v>
      </c>
    </row>
    <row r="3325" spans="1:34" x14ac:dyDescent="0.3">
      <c r="A3325" t="s">
        <v>10305</v>
      </c>
      <c r="B3325" t="s">
        <v>10306</v>
      </c>
      <c r="C3325" t="s">
        <v>10307</v>
      </c>
      <c r="D3325" t="s">
        <v>286</v>
      </c>
      <c r="E3325" t="str">
        <f>T("73.1")</f>
        <v>73.1</v>
      </c>
      <c r="K3325" t="str">
        <f>T("172.510")</f>
        <v>172.510</v>
      </c>
      <c r="L3325" t="str">
        <f>T("175.105")</f>
        <v>175.105</v>
      </c>
      <c r="M3325" t="str">
        <f>T("175.125")</f>
        <v>175.125</v>
      </c>
      <c r="N3325" t="str">
        <f>T("176.170")</f>
        <v>176.170</v>
      </c>
      <c r="O3325" t="str">
        <f>T("179.45")</f>
        <v>179.45</v>
      </c>
    </row>
    <row r="3326" spans="1:34" x14ac:dyDescent="0.3">
      <c r="A3326" t="s">
        <v>10308</v>
      </c>
      <c r="B3326" t="s">
        <v>10309</v>
      </c>
      <c r="C3326" t="s">
        <v>10310</v>
      </c>
      <c r="D3326" t="s">
        <v>1175</v>
      </c>
      <c r="K3326" t="str">
        <f>T("172.615")</f>
        <v>172.615</v>
      </c>
      <c r="L3326" t="str">
        <f>T("175.300")</f>
        <v>175.300</v>
      </c>
    </row>
    <row r="3327" spans="1:34" x14ac:dyDescent="0.3">
      <c r="A3327" t="s">
        <v>10311</v>
      </c>
      <c r="B3327" t="s">
        <v>10312</v>
      </c>
      <c r="C3327" t="s">
        <v>10313</v>
      </c>
      <c r="D3327" t="s">
        <v>1175</v>
      </c>
      <c r="K3327" t="str">
        <f>T("172.615")</f>
        <v>172.615</v>
      </c>
      <c r="L3327" t="str">
        <f>T("172.735")</f>
        <v>172.735</v>
      </c>
      <c r="M3327" t="str">
        <f>T("175.105")</f>
        <v>175.105</v>
      </c>
      <c r="N3327" t="str">
        <f>T("175.300")</f>
        <v>175.300</v>
      </c>
      <c r="O3327" t="str">
        <f>T("176.200")</f>
        <v>176.200</v>
      </c>
      <c r="P3327" t="str">
        <f>T("178.3120")</f>
        <v>178.3120</v>
      </c>
      <c r="Q3327" t="str">
        <f>T("178.3800")</f>
        <v>178.3800</v>
      </c>
      <c r="R3327" t="str">
        <f>T("178.3850")</f>
        <v>178.3850</v>
      </c>
      <c r="S3327" t="str">
        <f>T("178.3870")</f>
        <v>178.3870</v>
      </c>
    </row>
    <row r="3328" spans="1:34" x14ac:dyDescent="0.3">
      <c r="A3328" t="s">
        <v>10314</v>
      </c>
      <c r="B3328" t="s">
        <v>10315</v>
      </c>
      <c r="C3328" t="s">
        <v>10316</v>
      </c>
      <c r="D3328" t="s">
        <v>2253</v>
      </c>
      <c r="K3328" t="str">
        <f>T("172.210")</f>
        <v>172.210</v>
      </c>
      <c r="L3328" t="str">
        <f>T("172.735")</f>
        <v>172.735</v>
      </c>
      <c r="M3328" t="str">
        <f>T("175.105")</f>
        <v>175.105</v>
      </c>
      <c r="N3328" t="str">
        <f>T("175.300")</f>
        <v>175.300</v>
      </c>
      <c r="O3328" t="str">
        <f>T("176.200")</f>
        <v>176.200</v>
      </c>
      <c r="P3328" t="str">
        <f>T("178.3120")</f>
        <v>178.3120</v>
      </c>
      <c r="Q3328" t="str">
        <f>T("178.3800")</f>
        <v>178.3800</v>
      </c>
      <c r="R3328" t="str">
        <f>T("178.3850")</f>
        <v>178.3850</v>
      </c>
      <c r="S3328" t="str">
        <f>T("178.3870")</f>
        <v>178.3870</v>
      </c>
    </row>
    <row r="3329" spans="1:37" x14ac:dyDescent="0.3">
      <c r="A3329" t="s">
        <v>10317</v>
      </c>
      <c r="B3329" t="s">
        <v>10318</v>
      </c>
      <c r="C3329" t="s">
        <v>10319</v>
      </c>
      <c r="D3329" t="s">
        <v>2253</v>
      </c>
      <c r="K3329" t="str">
        <f>T("172.615")</f>
        <v>172.615</v>
      </c>
      <c r="L3329" t="str">
        <f>T("172.735")</f>
        <v>172.735</v>
      </c>
      <c r="M3329" t="str">
        <f>T("175.105")</f>
        <v>175.105</v>
      </c>
      <c r="N3329" t="str">
        <f>T("175.300")</f>
        <v>175.300</v>
      </c>
      <c r="O3329" t="str">
        <f>T("176.200")</f>
        <v>176.200</v>
      </c>
      <c r="P3329" t="str">
        <f>T("178.3120")</f>
        <v>178.3120</v>
      </c>
      <c r="Q3329" t="str">
        <f>T("178.3800")</f>
        <v>178.3800</v>
      </c>
      <c r="R3329" t="str">
        <f>T("178.3850")</f>
        <v>178.3850</v>
      </c>
      <c r="S3329" t="str">
        <f>T("178.3870")</f>
        <v>178.3870</v>
      </c>
    </row>
    <row r="3330" spans="1:37" x14ac:dyDescent="0.3">
      <c r="A3330" t="s">
        <v>10320</v>
      </c>
      <c r="B3330" t="s">
        <v>10321</v>
      </c>
      <c r="C3330" t="s">
        <v>10322</v>
      </c>
      <c r="D3330" t="s">
        <v>2253</v>
      </c>
      <c r="K3330" t="str">
        <f>T("172.210")</f>
        <v>172.210</v>
      </c>
      <c r="L3330" t="str">
        <f>T("175.105")</f>
        <v>175.105</v>
      </c>
      <c r="M3330" t="str">
        <f>T("175.300")</f>
        <v>175.300</v>
      </c>
      <c r="N3330" t="str">
        <f>T("176.200")</f>
        <v>176.200</v>
      </c>
      <c r="O3330" t="str">
        <f>T("178.3120")</f>
        <v>178.3120</v>
      </c>
      <c r="P3330" t="str">
        <f>T("178.3800")</f>
        <v>178.3800</v>
      </c>
      <c r="Q3330" t="str">
        <f>T("178.3850")</f>
        <v>178.3850</v>
      </c>
      <c r="R3330" t="str">
        <f>T("178.3870")</f>
        <v>178.3870</v>
      </c>
    </row>
    <row r="3331" spans="1:37" x14ac:dyDescent="0.3">
      <c r="A3331" t="s">
        <v>10323</v>
      </c>
      <c r="B3331" t="s">
        <v>10324</v>
      </c>
      <c r="C3331" t="s">
        <v>10325</v>
      </c>
      <c r="K3331" t="str">
        <f>T("172.210")</f>
        <v>172.210</v>
      </c>
      <c r="L3331" t="str">
        <f>T("175.105")</f>
        <v>175.105</v>
      </c>
      <c r="M3331" t="str">
        <f>T("175.300")</f>
        <v>175.300</v>
      </c>
    </row>
    <row r="3332" spans="1:37" x14ac:dyDescent="0.3">
      <c r="A3332" t="s">
        <v>10326</v>
      </c>
      <c r="B3332" t="s">
        <v>10327</v>
      </c>
      <c r="C3332" t="s">
        <v>10328</v>
      </c>
      <c r="D3332" t="s">
        <v>7</v>
      </c>
      <c r="AG3332" t="str">
        <f>T("4681")</f>
        <v>4681</v>
      </c>
      <c r="AH3332" t="str">
        <f>T("25")</f>
        <v>25</v>
      </c>
      <c r="AK3332" t="str">
        <f>T("2079")</f>
        <v>2079</v>
      </c>
    </row>
    <row r="3333" spans="1:37" x14ac:dyDescent="0.3">
      <c r="A3333" t="s">
        <v>10329</v>
      </c>
      <c r="B3333" t="s">
        <v>10330</v>
      </c>
      <c r="C3333" t="s">
        <v>10331</v>
      </c>
      <c r="D3333" t="s">
        <v>1175</v>
      </c>
      <c r="K3333" t="str">
        <f>T("172.615")</f>
        <v>172.615</v>
      </c>
      <c r="L3333" t="str">
        <f>T("175.125")</f>
        <v>175.125</v>
      </c>
      <c r="M3333" t="str">
        <f>T("175.300")</f>
        <v>175.300</v>
      </c>
    </row>
    <row r="3334" spans="1:37" x14ac:dyDescent="0.3">
      <c r="A3334" t="s">
        <v>10332</v>
      </c>
      <c r="B3334" t="s">
        <v>10333</v>
      </c>
      <c r="C3334" t="s">
        <v>10334</v>
      </c>
      <c r="D3334" t="s">
        <v>7</v>
      </c>
      <c r="K3334" t="str">
        <f>T("184.1699")</f>
        <v>184.1699</v>
      </c>
      <c r="AG3334" t="str">
        <f>T("2995")</f>
        <v>2995</v>
      </c>
      <c r="AH3334" t="str">
        <f>T("3")</f>
        <v>3</v>
      </c>
    </row>
    <row r="3335" spans="1:37" x14ac:dyDescent="0.3">
      <c r="A3335" t="s">
        <v>10335</v>
      </c>
      <c r="B3335" t="s">
        <v>10336</v>
      </c>
      <c r="C3335" t="s">
        <v>10337</v>
      </c>
      <c r="D3335" t="s">
        <v>7</v>
      </c>
      <c r="K3335" t="str">
        <f>T("184.1698")</f>
        <v>184.1698</v>
      </c>
      <c r="AG3335" t="str">
        <f>T("2994")</f>
        <v>2994</v>
      </c>
      <c r="AH3335" t="str">
        <f>T("3")</f>
        <v>3</v>
      </c>
    </row>
    <row r="3336" spans="1:37" x14ac:dyDescent="0.3">
      <c r="A3336" t="s">
        <v>10338</v>
      </c>
      <c r="B3336" t="s">
        <v>10339</v>
      </c>
      <c r="C3336" t="s">
        <v>10340</v>
      </c>
    </row>
    <row r="3337" spans="1:37" x14ac:dyDescent="0.3">
      <c r="A3337" t="s">
        <v>10341</v>
      </c>
      <c r="B3337" t="s">
        <v>10342</v>
      </c>
      <c r="C3337" t="s">
        <v>10343</v>
      </c>
      <c r="D3337" t="s">
        <v>7</v>
      </c>
      <c r="K3337" t="str">
        <f>T("172.515")</f>
        <v>172.515</v>
      </c>
      <c r="AG3337" t="str">
        <f>T("2996")</f>
        <v>2996</v>
      </c>
      <c r="AH3337" t="str">
        <f>T("3")</f>
        <v>3</v>
      </c>
    </row>
    <row r="3338" spans="1:37" x14ac:dyDescent="0.3">
      <c r="A3338" t="s">
        <v>10344</v>
      </c>
      <c r="B3338" t="s">
        <v>10345</v>
      </c>
      <c r="C3338" t="s">
        <v>10346</v>
      </c>
    </row>
    <row r="3339" spans="1:37" x14ac:dyDescent="0.3">
      <c r="A3339" t="s">
        <v>10347</v>
      </c>
      <c r="B3339" t="s">
        <v>10348</v>
      </c>
      <c r="C3339" t="s">
        <v>10349</v>
      </c>
      <c r="D3339" t="s">
        <v>11</v>
      </c>
      <c r="K3339" t="str">
        <f>T("180.37")</f>
        <v>180.37</v>
      </c>
    </row>
    <row r="3340" spans="1:37" x14ac:dyDescent="0.3">
      <c r="A3340" t="s">
        <v>10350</v>
      </c>
      <c r="B3340" t="s">
        <v>10351</v>
      </c>
      <c r="C3340" t="s">
        <v>10352</v>
      </c>
      <c r="D3340" t="s">
        <v>1537</v>
      </c>
      <c r="E3340" t="str">
        <f>T("73.500")</f>
        <v>73.500</v>
      </c>
      <c r="K3340" t="str">
        <f>T("182.10")</f>
        <v>182.10</v>
      </c>
      <c r="AF3340" t="s">
        <v>10353</v>
      </c>
      <c r="AG3340" t="str">
        <f>T("2998")</f>
        <v>2998</v>
      </c>
      <c r="AH3340" t="str">
        <f>T("3")</f>
        <v>3</v>
      </c>
    </row>
    <row r="3341" spans="1:37" x14ac:dyDescent="0.3">
      <c r="A3341" t="s">
        <v>10354</v>
      </c>
      <c r="B3341" t="s">
        <v>10355</v>
      </c>
      <c r="C3341" t="s">
        <v>10356</v>
      </c>
      <c r="D3341" t="s">
        <v>1537</v>
      </c>
      <c r="K3341" t="str">
        <f>T("182.20")</f>
        <v>182.20</v>
      </c>
      <c r="AG3341" t="str">
        <f>T("2999")</f>
        <v>2999</v>
      </c>
      <c r="AH3341" t="str">
        <f>T("3")</f>
        <v>3</v>
      </c>
    </row>
    <row r="3342" spans="1:37" x14ac:dyDescent="0.3">
      <c r="A3342" t="s">
        <v>10357</v>
      </c>
      <c r="B3342" t="s">
        <v>10358</v>
      </c>
      <c r="C3342" t="s">
        <v>10359</v>
      </c>
      <c r="D3342" t="s">
        <v>7</v>
      </c>
      <c r="K3342" t="str">
        <f>T("172.580")</f>
        <v>172.580</v>
      </c>
    </row>
    <row r="3343" spans="1:37" x14ac:dyDescent="0.3">
      <c r="A3343" t="s">
        <v>10360</v>
      </c>
      <c r="B3343" t="s">
        <v>10361</v>
      </c>
      <c r="C3343" t="s">
        <v>10362</v>
      </c>
      <c r="D3343" t="s">
        <v>7</v>
      </c>
      <c r="AD3343" t="str">
        <f>T("189.180")</f>
        <v>189.180</v>
      </c>
    </row>
    <row r="3344" spans="1:37" x14ac:dyDescent="0.3">
      <c r="A3344" t="s">
        <v>10363</v>
      </c>
      <c r="B3344" t="s">
        <v>10364</v>
      </c>
      <c r="C3344" t="s">
        <v>10365</v>
      </c>
      <c r="D3344" t="s">
        <v>7</v>
      </c>
      <c r="K3344" t="str">
        <f>T("182.10")</f>
        <v>182.10</v>
      </c>
    </row>
    <row r="3345" spans="1:37" x14ac:dyDescent="0.3">
      <c r="A3345" t="s">
        <v>10366</v>
      </c>
      <c r="B3345" t="s">
        <v>10367</v>
      </c>
      <c r="C3345" t="s">
        <v>10368</v>
      </c>
      <c r="D3345" t="s">
        <v>7</v>
      </c>
      <c r="K3345" t="str">
        <f>T("182.20")</f>
        <v>182.20</v>
      </c>
      <c r="AG3345" t="str">
        <f>T("3001")</f>
        <v>3001</v>
      </c>
      <c r="AH3345" t="str">
        <f>T("3")</f>
        <v>3</v>
      </c>
    </row>
    <row r="3346" spans="1:37" x14ac:dyDescent="0.3">
      <c r="A3346" t="s">
        <v>10369</v>
      </c>
      <c r="B3346" t="s">
        <v>10370</v>
      </c>
      <c r="C3346" t="s">
        <v>10371</v>
      </c>
      <c r="D3346" t="s">
        <v>7</v>
      </c>
      <c r="K3346" t="str">
        <f>T("182.20")</f>
        <v>182.20</v>
      </c>
      <c r="AG3346" t="str">
        <f>T("3002")</f>
        <v>3002</v>
      </c>
      <c r="AH3346" t="str">
        <f>T("3")</f>
        <v>3</v>
      </c>
    </row>
    <row r="3347" spans="1:37" x14ac:dyDescent="0.3">
      <c r="A3347" t="s">
        <v>10372</v>
      </c>
      <c r="B3347" t="s">
        <v>10373</v>
      </c>
      <c r="C3347" t="s">
        <v>10374</v>
      </c>
      <c r="D3347" t="s">
        <v>7</v>
      </c>
      <c r="K3347" t="str">
        <f>T("182.10")</f>
        <v>182.10</v>
      </c>
      <c r="AF3347" t="str">
        <f>T("101.22")</f>
        <v>101.22</v>
      </c>
      <c r="AG3347" t="str">
        <f>T("3000")</f>
        <v>3000</v>
      </c>
      <c r="AH3347" t="str">
        <f>T("3")</f>
        <v>3</v>
      </c>
    </row>
    <row r="3348" spans="1:37" x14ac:dyDescent="0.3">
      <c r="A3348" t="s">
        <v>10375</v>
      </c>
      <c r="B3348" t="s">
        <v>10376</v>
      </c>
      <c r="C3348" t="s">
        <v>10377</v>
      </c>
      <c r="D3348" t="s">
        <v>7</v>
      </c>
      <c r="K3348" t="str">
        <f>T("182.20")</f>
        <v>182.20</v>
      </c>
      <c r="AG3348" t="str">
        <f>T("3003")</f>
        <v>3003</v>
      </c>
      <c r="AH3348" t="str">
        <f>T("3")</f>
        <v>3</v>
      </c>
    </row>
    <row r="3349" spans="1:37" x14ac:dyDescent="0.3">
      <c r="A3349" t="s">
        <v>10378</v>
      </c>
      <c r="B3349" t="s">
        <v>10379</v>
      </c>
      <c r="C3349" t="s">
        <v>10380</v>
      </c>
      <c r="D3349" t="s">
        <v>7</v>
      </c>
      <c r="K3349" t="str">
        <f>T("172.515")</f>
        <v>172.515</v>
      </c>
      <c r="AG3349" t="str">
        <f>T("3004")</f>
        <v>3004</v>
      </c>
      <c r="AH3349" t="str">
        <f>T("3")</f>
        <v>3</v>
      </c>
      <c r="AK3349" t="str">
        <f>T("897")</f>
        <v>897</v>
      </c>
    </row>
    <row r="3350" spans="1:37" x14ac:dyDescent="0.3">
      <c r="A3350" t="s">
        <v>10381</v>
      </c>
      <c r="B3350" t="s">
        <v>10382</v>
      </c>
      <c r="C3350" t="s">
        <v>10383</v>
      </c>
      <c r="D3350" t="s">
        <v>7</v>
      </c>
      <c r="K3350" t="str">
        <f>T("175.105")</f>
        <v>175.105</v>
      </c>
      <c r="L3350" t="str">
        <f>T("175.300")</f>
        <v>175.300</v>
      </c>
      <c r="M3350" t="str">
        <f>T("177.2600")</f>
        <v>177.2600</v>
      </c>
      <c r="AG3350" t="str">
        <f>T("3985")</f>
        <v>3985</v>
      </c>
      <c r="AH3350" t="str">
        <f>T("20")</f>
        <v>20</v>
      </c>
      <c r="AK3350" t="str">
        <f>T("958")</f>
        <v>958</v>
      </c>
    </row>
    <row r="3351" spans="1:37" x14ac:dyDescent="0.3">
      <c r="A3351" t="s">
        <v>10384</v>
      </c>
      <c r="B3351" t="s">
        <v>10385</v>
      </c>
      <c r="C3351" t="s">
        <v>10386</v>
      </c>
      <c r="D3351" t="s">
        <v>453</v>
      </c>
      <c r="E3351" t="str">
        <f>T("74.302")</f>
        <v>74.302</v>
      </c>
      <c r="K3351" t="str">
        <f>T("172.725")</f>
        <v>172.725</v>
      </c>
      <c r="L3351" t="str">
        <f>T("172.863")</f>
        <v>172.863</v>
      </c>
      <c r="M3351" t="str">
        <f>T("175.105")</f>
        <v>175.105</v>
      </c>
    </row>
    <row r="3352" spans="1:37" x14ac:dyDescent="0.3">
      <c r="A3352" t="s">
        <v>10387</v>
      </c>
      <c r="B3352" t="s">
        <v>10388</v>
      </c>
      <c r="C3352" t="s">
        <v>10389</v>
      </c>
      <c r="D3352" t="s">
        <v>7</v>
      </c>
      <c r="K3352" t="str">
        <f>T("172.510")</f>
        <v>172.510</v>
      </c>
    </row>
    <row r="3353" spans="1:37" x14ac:dyDescent="0.3">
      <c r="A3353" t="s">
        <v>10390</v>
      </c>
      <c r="B3353" t="s">
        <v>10391</v>
      </c>
      <c r="C3353" t="s">
        <v>10392</v>
      </c>
      <c r="D3353" t="s">
        <v>7</v>
      </c>
      <c r="K3353" t="str">
        <f>T("172.510")</f>
        <v>172.510</v>
      </c>
    </row>
    <row r="3354" spans="1:37" x14ac:dyDescent="0.3">
      <c r="A3354" t="s">
        <v>10393</v>
      </c>
      <c r="B3354" t="s">
        <v>10394</v>
      </c>
      <c r="C3354" t="s">
        <v>10395</v>
      </c>
      <c r="D3354" t="s">
        <v>7</v>
      </c>
      <c r="K3354" t="str">
        <f>T("172.510")</f>
        <v>172.510</v>
      </c>
      <c r="AG3354" t="str">
        <f>T("3005")</f>
        <v>3005</v>
      </c>
      <c r="AH3354" t="str">
        <f>T("3")</f>
        <v>3</v>
      </c>
    </row>
    <row r="3355" spans="1:37" x14ac:dyDescent="0.3">
      <c r="A3355" t="s">
        <v>10396</v>
      </c>
      <c r="B3355" t="s">
        <v>10397</v>
      </c>
      <c r="C3355" t="s">
        <v>10398</v>
      </c>
      <c r="D3355" t="s">
        <v>7</v>
      </c>
      <c r="K3355" t="str">
        <f>T("172.510")</f>
        <v>172.510</v>
      </c>
      <c r="L3355" t="str">
        <f>T("175.105")</f>
        <v>175.105</v>
      </c>
      <c r="M3355" t="str">
        <f>T("175.300")</f>
        <v>175.300</v>
      </c>
    </row>
    <row r="3356" spans="1:37" x14ac:dyDescent="0.3">
      <c r="A3356" t="s">
        <v>10399</v>
      </c>
      <c r="B3356" t="s">
        <v>10400</v>
      </c>
      <c r="C3356" t="s">
        <v>10401</v>
      </c>
      <c r="D3356" t="s">
        <v>7</v>
      </c>
      <c r="K3356" t="str">
        <f>T("172.515")</f>
        <v>172.515</v>
      </c>
      <c r="AG3356" t="str">
        <f>T("3006")</f>
        <v>3006</v>
      </c>
      <c r="AH3356" t="str">
        <f>T("3")</f>
        <v>3</v>
      </c>
      <c r="AK3356" t="str">
        <f>T("984")</f>
        <v>984</v>
      </c>
    </row>
    <row r="3357" spans="1:37" x14ac:dyDescent="0.3">
      <c r="A3357" t="s">
        <v>10402</v>
      </c>
      <c r="B3357" t="s">
        <v>10403</v>
      </c>
      <c r="C3357" t="s">
        <v>10404</v>
      </c>
      <c r="D3357" t="s">
        <v>7</v>
      </c>
      <c r="K3357" t="str">
        <f>T("172.515")</f>
        <v>172.515</v>
      </c>
      <c r="AG3357" t="str">
        <f>T("3006")</f>
        <v>3006</v>
      </c>
      <c r="AH3357" t="str">
        <f>T("3")</f>
        <v>3</v>
      </c>
      <c r="AK3357" t="str">
        <f>T("984")</f>
        <v>984</v>
      </c>
    </row>
    <row r="3358" spans="1:37" x14ac:dyDescent="0.3">
      <c r="A3358" t="s">
        <v>10405</v>
      </c>
      <c r="B3358" t="s">
        <v>10406</v>
      </c>
      <c r="C3358" t="s">
        <v>10407</v>
      </c>
      <c r="D3358" t="s">
        <v>7</v>
      </c>
      <c r="K3358" t="str">
        <f>T("172.515")</f>
        <v>172.515</v>
      </c>
      <c r="AG3358" t="str">
        <f>T("3006")</f>
        <v>3006</v>
      </c>
      <c r="AH3358" t="str">
        <f>T("3")</f>
        <v>3</v>
      </c>
      <c r="AK3358" t="str">
        <f>T("984")</f>
        <v>984</v>
      </c>
    </row>
    <row r="3359" spans="1:37" x14ac:dyDescent="0.3">
      <c r="A3359" t="s">
        <v>10408</v>
      </c>
      <c r="B3359" t="s">
        <v>10409</v>
      </c>
      <c r="C3359" t="s">
        <v>10410</v>
      </c>
      <c r="D3359" t="s">
        <v>7</v>
      </c>
      <c r="K3359" t="str">
        <f>T("172.515")</f>
        <v>172.515</v>
      </c>
      <c r="AG3359" t="str">
        <f>T("3007")</f>
        <v>3007</v>
      </c>
      <c r="AH3359" t="str">
        <f>T("3")</f>
        <v>3</v>
      </c>
      <c r="AK3359" t="str">
        <f>T("985")</f>
        <v>985</v>
      </c>
    </row>
    <row r="3360" spans="1:37" x14ac:dyDescent="0.3">
      <c r="A3360" t="s">
        <v>10411</v>
      </c>
      <c r="B3360" t="s">
        <v>10412</v>
      </c>
      <c r="C3360" t="s">
        <v>10413</v>
      </c>
      <c r="D3360" t="s">
        <v>7</v>
      </c>
      <c r="K3360" t="str">
        <f>T("172.515")</f>
        <v>172.515</v>
      </c>
      <c r="AG3360" t="str">
        <f>T("3008")</f>
        <v>3008</v>
      </c>
      <c r="AH3360" t="str">
        <f>T("3")</f>
        <v>3</v>
      </c>
      <c r="AK3360" t="str">
        <f>T("1022")</f>
        <v>1022</v>
      </c>
    </row>
    <row r="3361" spans="1:37" x14ac:dyDescent="0.3">
      <c r="A3361" t="s">
        <v>10414</v>
      </c>
      <c r="B3361" t="s">
        <v>10415</v>
      </c>
      <c r="C3361" t="s">
        <v>10416</v>
      </c>
      <c r="D3361" t="s">
        <v>7</v>
      </c>
      <c r="AG3361" t="str">
        <f>T("3899")</f>
        <v>3899</v>
      </c>
      <c r="AH3361" t="str">
        <f>T("18")</f>
        <v>18</v>
      </c>
    </row>
    <row r="3362" spans="1:37" x14ac:dyDescent="0.3">
      <c r="A3362" t="s">
        <v>10417</v>
      </c>
      <c r="B3362" t="s">
        <v>10418</v>
      </c>
      <c r="C3362" t="s">
        <v>10419</v>
      </c>
      <c r="D3362" t="s">
        <v>7</v>
      </c>
      <c r="K3362" t="str">
        <f>T("172.510")</f>
        <v>172.510</v>
      </c>
      <c r="AG3362" t="str">
        <f>T("3009")</f>
        <v>3009</v>
      </c>
      <c r="AH3362" t="str">
        <f>T("3")</f>
        <v>3</v>
      </c>
    </row>
    <row r="3363" spans="1:37" x14ac:dyDescent="0.3">
      <c r="A3363" t="s">
        <v>10420</v>
      </c>
      <c r="B3363" t="s">
        <v>10421</v>
      </c>
      <c r="C3363" t="s">
        <v>10422</v>
      </c>
      <c r="D3363" t="s">
        <v>7</v>
      </c>
      <c r="K3363" t="str">
        <f>T("172.580")</f>
        <v>172.580</v>
      </c>
      <c r="AG3363" t="str">
        <f>T("3010")</f>
        <v>3010</v>
      </c>
      <c r="AH3363" t="str">
        <f>T("3")</f>
        <v>3</v>
      </c>
    </row>
    <row r="3364" spans="1:37" x14ac:dyDescent="0.3">
      <c r="A3364" t="s">
        <v>10423</v>
      </c>
      <c r="B3364" t="s">
        <v>10424</v>
      </c>
      <c r="C3364" t="s">
        <v>10425</v>
      </c>
      <c r="D3364" t="s">
        <v>7</v>
      </c>
      <c r="K3364" t="str">
        <f>T("172.510")</f>
        <v>172.510</v>
      </c>
      <c r="AG3364" t="str">
        <f>T("3011")</f>
        <v>3011</v>
      </c>
      <c r="AH3364" t="str">
        <f>T("3")</f>
        <v>3</v>
      </c>
    </row>
    <row r="3365" spans="1:37" x14ac:dyDescent="0.3">
      <c r="A3365" t="s">
        <v>10426</v>
      </c>
      <c r="B3365" t="s">
        <v>10427</v>
      </c>
      <c r="D3365" t="s">
        <v>10428</v>
      </c>
    </row>
    <row r="3366" spans="1:37" x14ac:dyDescent="0.3">
      <c r="A3366" t="s">
        <v>10429</v>
      </c>
      <c r="B3366" t="s">
        <v>10430</v>
      </c>
      <c r="C3366" t="s">
        <v>10431</v>
      </c>
      <c r="D3366" t="s">
        <v>7</v>
      </c>
      <c r="K3366" t="str">
        <f>T("182.20")</f>
        <v>182.20</v>
      </c>
      <c r="AG3366" t="str">
        <f>T("3013")</f>
        <v>3013</v>
      </c>
      <c r="AH3366" t="str">
        <f t="shared" ref="AH3366:AH3372" si="39">T("3")</f>
        <v>3</v>
      </c>
    </row>
    <row r="3367" spans="1:37" x14ac:dyDescent="0.3">
      <c r="A3367" t="s">
        <v>10432</v>
      </c>
      <c r="B3367" t="s">
        <v>10433</v>
      </c>
      <c r="C3367" t="s">
        <v>10434</v>
      </c>
      <c r="D3367" t="s">
        <v>7</v>
      </c>
      <c r="K3367" t="str">
        <f>T("182.20")</f>
        <v>182.20</v>
      </c>
      <c r="AG3367" t="str">
        <f>T("3014")</f>
        <v>3014</v>
      </c>
      <c r="AH3367" t="str">
        <f t="shared" si="39"/>
        <v>3</v>
      </c>
    </row>
    <row r="3368" spans="1:37" x14ac:dyDescent="0.3">
      <c r="A3368" t="s">
        <v>10435</v>
      </c>
      <c r="B3368" t="s">
        <v>10436</v>
      </c>
      <c r="C3368" t="s">
        <v>10437</v>
      </c>
      <c r="D3368" t="s">
        <v>7</v>
      </c>
      <c r="K3368" t="str">
        <f>T("182.10")</f>
        <v>182.10</v>
      </c>
      <c r="AG3368" t="str">
        <f>T("3012")</f>
        <v>3012</v>
      </c>
      <c r="AH3368" t="str">
        <f t="shared" si="39"/>
        <v>3</v>
      </c>
    </row>
    <row r="3369" spans="1:37" x14ac:dyDescent="0.3">
      <c r="A3369" t="s">
        <v>10438</v>
      </c>
      <c r="B3369" t="s">
        <v>10439</v>
      </c>
      <c r="C3369" t="s">
        <v>10440</v>
      </c>
      <c r="D3369" t="s">
        <v>7</v>
      </c>
      <c r="K3369" t="str">
        <f>T("182.20")</f>
        <v>182.20</v>
      </c>
      <c r="AG3369" t="str">
        <f>T("3016")</f>
        <v>3016</v>
      </c>
      <c r="AH3369" t="str">
        <f t="shared" si="39"/>
        <v>3</v>
      </c>
    </row>
    <row r="3370" spans="1:37" x14ac:dyDescent="0.3">
      <c r="A3370" t="s">
        <v>10441</v>
      </c>
      <c r="B3370" t="s">
        <v>10442</v>
      </c>
      <c r="C3370" t="s">
        <v>10443</v>
      </c>
      <c r="D3370" t="s">
        <v>7</v>
      </c>
      <c r="K3370" t="str">
        <f>T("182.20")</f>
        <v>182.20</v>
      </c>
      <c r="AG3370" t="str">
        <f>T("3017")</f>
        <v>3017</v>
      </c>
      <c r="AH3370" t="str">
        <f t="shared" si="39"/>
        <v>3</v>
      </c>
    </row>
    <row r="3371" spans="1:37" x14ac:dyDescent="0.3">
      <c r="A3371" t="s">
        <v>10444</v>
      </c>
      <c r="B3371" t="s">
        <v>10445</v>
      </c>
      <c r="C3371" t="s">
        <v>10446</v>
      </c>
      <c r="D3371" t="s">
        <v>7</v>
      </c>
      <c r="K3371" t="str">
        <f>T("182.10")</f>
        <v>182.10</v>
      </c>
      <c r="AG3371" t="str">
        <f>T("3015")</f>
        <v>3015</v>
      </c>
      <c r="AH3371" t="str">
        <f t="shared" si="39"/>
        <v>3</v>
      </c>
    </row>
    <row r="3372" spans="1:37" x14ac:dyDescent="0.3">
      <c r="A3372" t="s">
        <v>10447</v>
      </c>
      <c r="B3372" t="s">
        <v>10448</v>
      </c>
      <c r="C3372" t="s">
        <v>10449</v>
      </c>
      <c r="D3372" t="s">
        <v>7</v>
      </c>
      <c r="K3372" t="str">
        <f>T("182.20")</f>
        <v>182.20</v>
      </c>
      <c r="AG3372" t="str">
        <f>T("3018")</f>
        <v>3018</v>
      </c>
      <c r="AH3372" t="str">
        <f t="shared" si="39"/>
        <v>3</v>
      </c>
    </row>
    <row r="3373" spans="1:37" x14ac:dyDescent="0.3">
      <c r="A3373" t="s">
        <v>10450</v>
      </c>
      <c r="B3373" t="s">
        <v>10451</v>
      </c>
      <c r="C3373" t="s">
        <v>10452</v>
      </c>
      <c r="D3373" t="s">
        <v>7</v>
      </c>
      <c r="AG3373" t="str">
        <f>T("4502")</f>
        <v>4502</v>
      </c>
      <c r="AH3373" t="str">
        <f>T("24")</f>
        <v>24</v>
      </c>
      <c r="AK3373" t="str">
        <f>T("2029")</f>
        <v>2029</v>
      </c>
    </row>
    <row r="3374" spans="1:37" x14ac:dyDescent="0.3">
      <c r="A3374" t="s">
        <v>10453</v>
      </c>
      <c r="B3374" t="s">
        <v>10454</v>
      </c>
      <c r="C3374" t="s">
        <v>10455</v>
      </c>
      <c r="D3374" t="s">
        <v>7</v>
      </c>
      <c r="AG3374" t="str">
        <f>T("3794")</f>
        <v>3794</v>
      </c>
      <c r="AH3374" t="str">
        <f>T("16")</f>
        <v>16</v>
      </c>
      <c r="AK3374" t="str">
        <f>T("1165")</f>
        <v>1165</v>
      </c>
    </row>
    <row r="3375" spans="1:37" x14ac:dyDescent="0.3">
      <c r="A3375" t="s">
        <v>10456</v>
      </c>
      <c r="B3375" t="s">
        <v>10457</v>
      </c>
      <c r="D3375" t="s">
        <v>7</v>
      </c>
      <c r="AG3375" t="str">
        <f>T("4221")</f>
        <v>4221</v>
      </c>
      <c r="AH3375" t="str">
        <f>T("22")</f>
        <v>22</v>
      </c>
      <c r="AI3375" t="str">
        <f>T("26")</f>
        <v>26</v>
      </c>
    </row>
    <row r="3376" spans="1:37" x14ac:dyDescent="0.3">
      <c r="A3376" t="s">
        <v>10458</v>
      </c>
      <c r="B3376" t="s">
        <v>10459</v>
      </c>
      <c r="C3376" t="s">
        <v>10460</v>
      </c>
      <c r="D3376" t="s">
        <v>7</v>
      </c>
      <c r="AG3376" t="str">
        <f>T("3261")</f>
        <v>3261</v>
      </c>
      <c r="AH3376" t="str">
        <f>T("5")</f>
        <v>5</v>
      </c>
      <c r="AK3376" t="str">
        <f>T("1109")</f>
        <v>1109</v>
      </c>
    </row>
    <row r="3377" spans="1:37" x14ac:dyDescent="0.3">
      <c r="A3377" t="s">
        <v>10461</v>
      </c>
      <c r="B3377" t="s">
        <v>10462</v>
      </c>
      <c r="C3377" t="s">
        <v>10463</v>
      </c>
      <c r="D3377" t="s">
        <v>15</v>
      </c>
      <c r="AG3377" t="str">
        <f>T("3131")</f>
        <v>3131</v>
      </c>
      <c r="AH3377" t="str">
        <f>T("4")</f>
        <v>4</v>
      </c>
      <c r="AK3377" t="str">
        <f>T("1231")</f>
        <v>1231</v>
      </c>
    </row>
    <row r="3378" spans="1:37" x14ac:dyDescent="0.3">
      <c r="A3378" t="s">
        <v>10464</v>
      </c>
      <c r="B3378" t="s">
        <v>10465</v>
      </c>
      <c r="C3378" t="s">
        <v>10466</v>
      </c>
      <c r="D3378" t="s">
        <v>7</v>
      </c>
      <c r="K3378" t="str">
        <f>T("172.510")</f>
        <v>172.510</v>
      </c>
    </row>
    <row r="3379" spans="1:37" x14ac:dyDescent="0.3">
      <c r="A3379" t="s">
        <v>10467</v>
      </c>
      <c r="B3379" t="s">
        <v>10468</v>
      </c>
      <c r="C3379" t="s">
        <v>10469</v>
      </c>
      <c r="D3379" t="s">
        <v>213</v>
      </c>
      <c r="K3379" t="str">
        <f>T("172.320")</f>
        <v>172.320</v>
      </c>
    </row>
    <row r="3380" spans="1:37" x14ac:dyDescent="0.3">
      <c r="A3380" t="s">
        <v>10470</v>
      </c>
      <c r="B3380" t="s">
        <v>10471</v>
      </c>
      <c r="C3380" t="s">
        <v>10472</v>
      </c>
      <c r="K3380" t="str">
        <f>T("172.510")</f>
        <v>172.510</v>
      </c>
    </row>
    <row r="3381" spans="1:37" x14ac:dyDescent="0.3">
      <c r="A3381" t="s">
        <v>10473</v>
      </c>
      <c r="B3381" t="s">
        <v>10474</v>
      </c>
      <c r="C3381" t="s">
        <v>10475</v>
      </c>
      <c r="D3381" t="s">
        <v>1537</v>
      </c>
      <c r="K3381" t="str">
        <f>T("182.10")</f>
        <v>182.10</v>
      </c>
    </row>
    <row r="3382" spans="1:37" x14ac:dyDescent="0.3">
      <c r="A3382" t="s">
        <v>10476</v>
      </c>
      <c r="B3382" t="s">
        <v>10477</v>
      </c>
      <c r="C3382" t="s">
        <v>10478</v>
      </c>
      <c r="D3382" t="s">
        <v>2253</v>
      </c>
      <c r="K3382" t="str">
        <f>T("184.1702")</f>
        <v>184.1702</v>
      </c>
    </row>
    <row r="3383" spans="1:37" x14ac:dyDescent="0.3">
      <c r="A3383" t="s">
        <v>10479</v>
      </c>
      <c r="B3383" t="s">
        <v>10480</v>
      </c>
      <c r="C3383" t="s">
        <v>10481</v>
      </c>
      <c r="D3383" t="s">
        <v>10482</v>
      </c>
      <c r="E3383" t="str">
        <f>T("73.1")</f>
        <v>73.1</v>
      </c>
      <c r="K3383" t="str">
        <f>T("175.105")</f>
        <v>175.105</v>
      </c>
      <c r="L3383" t="str">
        <f>T("175.300")</f>
        <v>175.300</v>
      </c>
      <c r="M3383" t="str">
        <f>T("175.380")</f>
        <v>175.380</v>
      </c>
      <c r="N3383" t="str">
        <f>T("175.390")</f>
        <v>175.390</v>
      </c>
    </row>
    <row r="3384" spans="1:37" x14ac:dyDescent="0.3">
      <c r="A3384" t="s">
        <v>10483</v>
      </c>
      <c r="B3384" t="s">
        <v>10484</v>
      </c>
      <c r="C3384" t="s">
        <v>10485</v>
      </c>
      <c r="D3384" t="s">
        <v>2253</v>
      </c>
      <c r="AF3384" t="str">
        <f>T("101.4")</f>
        <v>101.4</v>
      </c>
    </row>
    <row r="3385" spans="1:37" x14ac:dyDescent="0.3">
      <c r="A3385" t="s">
        <v>10486</v>
      </c>
      <c r="B3385" t="s">
        <v>10487</v>
      </c>
      <c r="C3385" t="s">
        <v>10488</v>
      </c>
      <c r="D3385" t="s">
        <v>420</v>
      </c>
      <c r="K3385" t="str">
        <f>T("182.1711")</f>
        <v>182.1711</v>
      </c>
    </row>
    <row r="3386" spans="1:37" x14ac:dyDescent="0.3">
      <c r="A3386" t="s">
        <v>10489</v>
      </c>
      <c r="B3386" t="s">
        <v>10490</v>
      </c>
      <c r="C3386" t="s">
        <v>10491</v>
      </c>
      <c r="D3386" t="s">
        <v>10492</v>
      </c>
      <c r="E3386" t="str">
        <f>T("73.1")</f>
        <v>73.1</v>
      </c>
      <c r="F3386" t="str">
        <f>T("73.575")</f>
        <v>73.575</v>
      </c>
      <c r="K3386" t="str">
        <f>T("172.230")</f>
        <v>172.230</v>
      </c>
      <c r="L3386" t="str">
        <f>T("172.480")</f>
        <v>172.480</v>
      </c>
      <c r="M3386" t="str">
        <f>T("173.340")</f>
        <v>173.340</v>
      </c>
      <c r="N3386" t="str">
        <f>T("175.105")</f>
        <v>175.105</v>
      </c>
      <c r="O3386" t="str">
        <f>T("175.300")</f>
        <v>175.300</v>
      </c>
      <c r="P3386" t="str">
        <f>T("175.320")</f>
        <v>175.320</v>
      </c>
      <c r="Q3386" t="str">
        <f>T("176.170")</f>
        <v>176.170</v>
      </c>
      <c r="R3386" t="str">
        <f>T("176.180")</f>
        <v>176.180</v>
      </c>
      <c r="S3386" t="str">
        <f>T("176.200")</f>
        <v>176.200</v>
      </c>
      <c r="T3386" t="str">
        <f>T("176.210")</f>
        <v>176.210</v>
      </c>
      <c r="U3386" t="str">
        <f>T("177.1200")</f>
        <v>177.1200</v>
      </c>
      <c r="V3386" t="str">
        <f>T("177.2250")</f>
        <v>177.2250</v>
      </c>
      <c r="W3386" t="str">
        <f>T("177.2420")</f>
        <v>177.2420</v>
      </c>
      <c r="X3386" t="str">
        <f>T("177.2600")</f>
        <v>177.2600</v>
      </c>
      <c r="Y3386" t="str">
        <f>T("182.90")</f>
        <v>182.90</v>
      </c>
      <c r="AF3386" t="s">
        <v>10493</v>
      </c>
    </row>
    <row r="3387" spans="1:37" x14ac:dyDescent="0.3">
      <c r="A3387" t="s">
        <v>10494</v>
      </c>
      <c r="B3387" t="s">
        <v>10495</v>
      </c>
      <c r="C3387" t="s">
        <v>10496</v>
      </c>
      <c r="D3387" t="s">
        <v>7</v>
      </c>
      <c r="K3387" t="str">
        <f>T("172.510")</f>
        <v>172.510</v>
      </c>
    </row>
    <row r="3388" spans="1:37" x14ac:dyDescent="0.3">
      <c r="A3388" t="s">
        <v>10497</v>
      </c>
      <c r="B3388" t="s">
        <v>10498</v>
      </c>
      <c r="C3388" t="s">
        <v>10499</v>
      </c>
      <c r="K3388" t="str">
        <f>T("172.167")</f>
        <v>172.167</v>
      </c>
    </row>
    <row r="3389" spans="1:37" x14ac:dyDescent="0.3">
      <c r="A3389" t="s">
        <v>10500</v>
      </c>
      <c r="B3389" t="s">
        <v>10501</v>
      </c>
    </row>
    <row r="3390" spans="1:37" x14ac:dyDescent="0.3">
      <c r="A3390" t="s">
        <v>10502</v>
      </c>
      <c r="B3390" t="s">
        <v>10503</v>
      </c>
      <c r="C3390" t="s">
        <v>10504</v>
      </c>
      <c r="K3390" t="str">
        <f>T("172.510")</f>
        <v>172.510</v>
      </c>
    </row>
    <row r="3391" spans="1:37" x14ac:dyDescent="0.3">
      <c r="A3391" t="s">
        <v>10505</v>
      </c>
      <c r="B3391" t="s">
        <v>10506</v>
      </c>
      <c r="C3391" t="s">
        <v>10507</v>
      </c>
      <c r="D3391" t="s">
        <v>15</v>
      </c>
      <c r="K3391" t="str">
        <f>T("172.515")</f>
        <v>172.515</v>
      </c>
      <c r="AG3391" t="str">
        <f>T("3019")</f>
        <v>3019</v>
      </c>
      <c r="AH3391" t="str">
        <f>T("3")</f>
        <v>3</v>
      </c>
      <c r="AK3391" t="str">
        <f>T("1304")</f>
        <v>1304</v>
      </c>
    </row>
    <row r="3392" spans="1:37" x14ac:dyDescent="0.3">
      <c r="A3392" t="s">
        <v>10508</v>
      </c>
      <c r="B3392" t="s">
        <v>10509</v>
      </c>
      <c r="C3392" t="s">
        <v>10510</v>
      </c>
      <c r="D3392" t="s">
        <v>7</v>
      </c>
      <c r="K3392" t="str">
        <f>T("182.20")</f>
        <v>182.20</v>
      </c>
      <c r="AG3392" t="str">
        <f>T("3021")</f>
        <v>3021</v>
      </c>
      <c r="AH3392" t="str">
        <f>T("3")</f>
        <v>3</v>
      </c>
    </row>
    <row r="3393" spans="1:34" x14ac:dyDescent="0.3">
      <c r="A3393" t="s">
        <v>10511</v>
      </c>
      <c r="B3393" t="s">
        <v>10512</v>
      </c>
      <c r="C3393" t="s">
        <v>10513</v>
      </c>
      <c r="D3393" t="s">
        <v>7</v>
      </c>
      <c r="K3393" t="str">
        <f>T("182.20")</f>
        <v>182.20</v>
      </c>
      <c r="AG3393" t="str">
        <f>T("3022")</f>
        <v>3022</v>
      </c>
      <c r="AH3393" t="str">
        <f>T("3")</f>
        <v>3</v>
      </c>
    </row>
    <row r="3394" spans="1:34" x14ac:dyDescent="0.3">
      <c r="A3394" t="s">
        <v>10514</v>
      </c>
      <c r="B3394" t="s">
        <v>10515</v>
      </c>
      <c r="C3394" t="s">
        <v>10516</v>
      </c>
      <c r="D3394" t="s">
        <v>7</v>
      </c>
      <c r="AG3394" t="str">
        <f>T("3020")</f>
        <v>3020</v>
      </c>
      <c r="AH3394" t="str">
        <f>T("3")</f>
        <v>3</v>
      </c>
    </row>
    <row r="3395" spans="1:34" x14ac:dyDescent="0.3">
      <c r="A3395" t="s">
        <v>10517</v>
      </c>
      <c r="B3395" t="s">
        <v>10518</v>
      </c>
      <c r="C3395" t="s">
        <v>10519</v>
      </c>
      <c r="D3395" t="s">
        <v>7</v>
      </c>
      <c r="K3395" t="str">
        <f>T("172.510")</f>
        <v>172.510</v>
      </c>
      <c r="AG3395" t="str">
        <f>T("3023")</f>
        <v>3023</v>
      </c>
      <c r="AH3395" t="str">
        <f>T("3")</f>
        <v>3</v>
      </c>
    </row>
    <row r="3396" spans="1:34" x14ac:dyDescent="0.3">
      <c r="A3396" t="s">
        <v>10520</v>
      </c>
      <c r="B3396" t="s">
        <v>10521</v>
      </c>
      <c r="C3396" t="s">
        <v>10522</v>
      </c>
      <c r="D3396" t="s">
        <v>10523</v>
      </c>
      <c r="K3396" t="str">
        <f>T("182.1087")</f>
        <v>182.1087</v>
      </c>
      <c r="AF3396" t="s">
        <v>10524</v>
      </c>
    </row>
    <row r="3397" spans="1:34" x14ac:dyDescent="0.3">
      <c r="A3397" t="s">
        <v>10525</v>
      </c>
      <c r="B3397" t="s">
        <v>10526</v>
      </c>
      <c r="C3397" t="s">
        <v>10527</v>
      </c>
      <c r="D3397" t="s">
        <v>3667</v>
      </c>
      <c r="K3397" t="str">
        <f>T("173.315")</f>
        <v>173.315</v>
      </c>
      <c r="L3397" t="str">
        <f>T("175.105")</f>
        <v>175.105</v>
      </c>
    </row>
    <row r="3398" spans="1:34" x14ac:dyDescent="0.3">
      <c r="A3398" t="s">
        <v>10528</v>
      </c>
      <c r="B3398" t="s">
        <v>10529</v>
      </c>
      <c r="C3398" t="s">
        <v>10530</v>
      </c>
      <c r="K3398" t="str">
        <f>T("173.310")</f>
        <v>173.310</v>
      </c>
      <c r="L3398" t="str">
        <f>T("182.90")</f>
        <v>182.90</v>
      </c>
    </row>
    <row r="3399" spans="1:34" x14ac:dyDescent="0.3">
      <c r="A3399" t="s">
        <v>10531</v>
      </c>
      <c r="B3399" t="s">
        <v>10532</v>
      </c>
      <c r="C3399" t="s">
        <v>10533</v>
      </c>
      <c r="D3399" t="s">
        <v>10534</v>
      </c>
      <c r="K3399" t="str">
        <f>T("182.1781")</f>
        <v>182.1781</v>
      </c>
      <c r="L3399" t="str">
        <f>T("182.90")</f>
        <v>182.90</v>
      </c>
      <c r="AF3399" t="s">
        <v>10535</v>
      </c>
    </row>
    <row r="3400" spans="1:34" x14ac:dyDescent="0.3">
      <c r="A3400" t="s">
        <v>10536</v>
      </c>
      <c r="B3400" t="s">
        <v>10537</v>
      </c>
      <c r="C3400" t="s">
        <v>10538</v>
      </c>
      <c r="D3400" t="s">
        <v>6496</v>
      </c>
      <c r="K3400" t="str">
        <f>T("182.2727")</f>
        <v>182.2727</v>
      </c>
      <c r="AF3400" t="s">
        <v>10493</v>
      </c>
    </row>
    <row r="3401" spans="1:34" x14ac:dyDescent="0.3">
      <c r="A3401" t="s">
        <v>10539</v>
      </c>
      <c r="B3401" t="s">
        <v>10540</v>
      </c>
      <c r="C3401" t="s">
        <v>10541</v>
      </c>
      <c r="D3401" t="s">
        <v>10542</v>
      </c>
      <c r="K3401" t="str">
        <f>T("182.3731")</f>
        <v>182.3731</v>
      </c>
      <c r="AF3401" t="str">
        <f>T("155.2")</f>
        <v>155.2</v>
      </c>
    </row>
    <row r="3402" spans="1:34" x14ac:dyDescent="0.3">
      <c r="A3402" t="s">
        <v>10543</v>
      </c>
      <c r="B3402" t="s">
        <v>10544</v>
      </c>
      <c r="C3402" t="s">
        <v>10545</v>
      </c>
      <c r="D3402" t="s">
        <v>10546</v>
      </c>
      <c r="E3402" t="str">
        <f>T("73.85")</f>
        <v>73.85</v>
      </c>
      <c r="K3402" t="str">
        <f>T("173.385")</f>
        <v>173.385</v>
      </c>
      <c r="L3402" t="str">
        <f>T("178.1010")</f>
        <v>178.1010</v>
      </c>
      <c r="M3402" t="str">
        <f>T("184.1736")</f>
        <v>184.1736</v>
      </c>
      <c r="AF3402" t="s">
        <v>10547</v>
      </c>
    </row>
    <row r="3403" spans="1:34" x14ac:dyDescent="0.3">
      <c r="A3403" t="s">
        <v>10548</v>
      </c>
      <c r="B3403" t="s">
        <v>10549</v>
      </c>
      <c r="C3403" t="s">
        <v>10550</v>
      </c>
      <c r="D3403" t="s">
        <v>10551</v>
      </c>
      <c r="K3403" t="str">
        <f>T("173.310")</f>
        <v>173.310</v>
      </c>
      <c r="L3403" t="str">
        <f>T("177.1200")</f>
        <v>177.1200</v>
      </c>
      <c r="M3403" t="str">
        <f>T("182.3739")</f>
        <v>182.3739</v>
      </c>
      <c r="AF3403" t="str">
        <f>T("161.173")</f>
        <v>161.173</v>
      </c>
    </row>
    <row r="3404" spans="1:34" x14ac:dyDescent="0.3">
      <c r="A3404" t="s">
        <v>10552</v>
      </c>
      <c r="B3404" t="s">
        <v>10553</v>
      </c>
      <c r="C3404" t="s">
        <v>10554</v>
      </c>
      <c r="D3404" t="s">
        <v>7</v>
      </c>
      <c r="K3404" t="str">
        <f>T("172.560")</f>
        <v>172.560</v>
      </c>
    </row>
    <row r="3405" spans="1:34" x14ac:dyDescent="0.3">
      <c r="A3405" t="s">
        <v>10555</v>
      </c>
      <c r="B3405" t="s">
        <v>10556</v>
      </c>
      <c r="C3405" t="s">
        <v>10557</v>
      </c>
      <c r="K3405" t="str">
        <f>T("182.2729")</f>
        <v>182.2729</v>
      </c>
    </row>
    <row r="3406" spans="1:34" x14ac:dyDescent="0.3">
      <c r="A3406" t="s">
        <v>10558</v>
      </c>
      <c r="B3406" t="s">
        <v>10559</v>
      </c>
      <c r="C3406" t="s">
        <v>10560</v>
      </c>
      <c r="D3406" t="s">
        <v>1417</v>
      </c>
      <c r="K3406" t="str">
        <f>T("172.863")</f>
        <v>172.863</v>
      </c>
    </row>
    <row r="3407" spans="1:34" x14ac:dyDescent="0.3">
      <c r="A3407" t="s">
        <v>10561</v>
      </c>
      <c r="B3407" t="s">
        <v>10562</v>
      </c>
      <c r="C3407" t="s">
        <v>10563</v>
      </c>
      <c r="D3407" t="s">
        <v>1417</v>
      </c>
      <c r="K3407" t="str">
        <f>T("172.863")</f>
        <v>172.863</v>
      </c>
    </row>
    <row r="3408" spans="1:34" x14ac:dyDescent="0.3">
      <c r="A3408" t="s">
        <v>10564</v>
      </c>
      <c r="B3408" t="s">
        <v>10565</v>
      </c>
      <c r="C3408" t="s">
        <v>10566</v>
      </c>
      <c r="D3408" t="s">
        <v>10567</v>
      </c>
      <c r="E3408" t="str">
        <f>T("73.85")</f>
        <v>73.85</v>
      </c>
      <c r="K3408" t="str">
        <f>T("172.824")</f>
        <v>172.824</v>
      </c>
      <c r="L3408" t="str">
        <f>T("173.310")</f>
        <v>173.310</v>
      </c>
      <c r="M3408" t="str">
        <f>T("184.1742")</f>
        <v>184.1742</v>
      </c>
      <c r="AF3408" t="s">
        <v>553</v>
      </c>
    </row>
    <row r="3409" spans="1:35" x14ac:dyDescent="0.3">
      <c r="A3409" t="s">
        <v>10568</v>
      </c>
      <c r="B3409" t="s">
        <v>10569</v>
      </c>
      <c r="C3409" t="s">
        <v>10570</v>
      </c>
      <c r="D3409" t="s">
        <v>10571</v>
      </c>
      <c r="K3409" t="str">
        <f>T("182.1748")</f>
        <v>182.1748</v>
      </c>
      <c r="AF3409" t="s">
        <v>561</v>
      </c>
    </row>
    <row r="3410" spans="1:35" x14ac:dyDescent="0.3">
      <c r="A3410" t="s">
        <v>10572</v>
      </c>
      <c r="B3410" t="s">
        <v>10573</v>
      </c>
      <c r="C3410" t="s">
        <v>10574</v>
      </c>
      <c r="D3410" t="s">
        <v>586</v>
      </c>
      <c r="K3410" t="str">
        <f>T("172.892")</f>
        <v>172.892</v>
      </c>
      <c r="L3410" t="str">
        <f>T("173.325")</f>
        <v>173.325</v>
      </c>
      <c r="M3410" t="str">
        <f>T("175.105")</f>
        <v>175.105</v>
      </c>
      <c r="N3410" t="str">
        <f>T("186.1750")</f>
        <v>186.1750</v>
      </c>
    </row>
    <row r="3411" spans="1:35" x14ac:dyDescent="0.3">
      <c r="A3411" t="s">
        <v>10575</v>
      </c>
      <c r="B3411" t="s">
        <v>10576</v>
      </c>
      <c r="C3411" t="s">
        <v>10577</v>
      </c>
      <c r="D3411" t="s">
        <v>606</v>
      </c>
      <c r="E3411" t="str">
        <f>T("73.125")</f>
        <v>73.125</v>
      </c>
    </row>
    <row r="3412" spans="1:35" x14ac:dyDescent="0.3">
      <c r="A3412" t="s">
        <v>10578</v>
      </c>
      <c r="B3412" t="s">
        <v>10579</v>
      </c>
      <c r="C3412" t="s">
        <v>10580</v>
      </c>
      <c r="D3412" t="s">
        <v>11</v>
      </c>
      <c r="AD3412" t="str">
        <f>T("189.135")</f>
        <v>189.135</v>
      </c>
    </row>
    <row r="3413" spans="1:35" x14ac:dyDescent="0.3">
      <c r="A3413" t="s">
        <v>10581</v>
      </c>
      <c r="B3413" t="s">
        <v>10582</v>
      </c>
      <c r="C3413" t="s">
        <v>10583</v>
      </c>
      <c r="D3413" t="s">
        <v>2253</v>
      </c>
      <c r="K3413" t="str">
        <f>T("172.210")</f>
        <v>172.210</v>
      </c>
      <c r="L3413" t="str">
        <f>T("175.300")</f>
        <v>175.300</v>
      </c>
      <c r="M3413" t="str">
        <f>T("176.170")</f>
        <v>176.170</v>
      </c>
      <c r="N3413" t="str">
        <f>T("177.1210")</f>
        <v>177.1210</v>
      </c>
      <c r="O3413" t="str">
        <f>T("177.2600")</f>
        <v>177.2600</v>
      </c>
    </row>
    <row r="3414" spans="1:35" x14ac:dyDescent="0.3">
      <c r="A3414" t="s">
        <v>10584</v>
      </c>
      <c r="B3414" t="s">
        <v>10585</v>
      </c>
      <c r="C3414" t="s">
        <v>10586</v>
      </c>
      <c r="D3414" t="s">
        <v>606</v>
      </c>
      <c r="K3414" t="str">
        <f>T("172.130")</f>
        <v>172.130</v>
      </c>
      <c r="L3414" t="str">
        <f>T("175.105")</f>
        <v>175.105</v>
      </c>
    </row>
    <row r="3415" spans="1:35" x14ac:dyDescent="0.3">
      <c r="A3415" t="s">
        <v>10587</v>
      </c>
      <c r="B3415" t="s">
        <v>10588</v>
      </c>
      <c r="C3415" t="s">
        <v>10589</v>
      </c>
      <c r="D3415" t="s">
        <v>7</v>
      </c>
      <c r="K3415" t="str">
        <f>T("184.1754")</f>
        <v>184.1754</v>
      </c>
      <c r="AG3415" t="str">
        <f>T("3900")</f>
        <v>3900</v>
      </c>
      <c r="AH3415" t="str">
        <f>T("18")</f>
        <v>18</v>
      </c>
      <c r="AI3415" t="str">
        <f>T("25")</f>
        <v>25</v>
      </c>
    </row>
    <row r="3416" spans="1:35" x14ac:dyDescent="0.3">
      <c r="A3416" t="s">
        <v>10590</v>
      </c>
      <c r="B3416" t="s">
        <v>10591</v>
      </c>
      <c r="C3416" t="s">
        <v>10592</v>
      </c>
      <c r="D3416" t="s">
        <v>184</v>
      </c>
      <c r="K3416" t="str">
        <f>T("173.320")</f>
        <v>173.320</v>
      </c>
      <c r="L3416" t="str">
        <f>T("175.105")</f>
        <v>175.105</v>
      </c>
      <c r="M3416" t="str">
        <f>T("176.300")</f>
        <v>176.300</v>
      </c>
      <c r="N3416" t="str">
        <f>T("177.2600")</f>
        <v>177.2600</v>
      </c>
    </row>
    <row r="3417" spans="1:35" x14ac:dyDescent="0.3">
      <c r="A3417" t="s">
        <v>10593</v>
      </c>
      <c r="B3417" t="s">
        <v>10594</v>
      </c>
      <c r="C3417" t="s">
        <v>10595</v>
      </c>
      <c r="D3417" t="s">
        <v>3667</v>
      </c>
      <c r="K3417" t="str">
        <f>T("173.315")</f>
        <v>173.315</v>
      </c>
      <c r="L3417" t="str">
        <f>T("175.300")</f>
        <v>175.300</v>
      </c>
      <c r="M3417" t="str">
        <f>T("175.320")</f>
        <v>175.320</v>
      </c>
      <c r="N3417" t="str">
        <f>T("175.365")</f>
        <v>175.365</v>
      </c>
      <c r="O3417" t="str">
        <f>T("177.1010")</f>
        <v>177.1010</v>
      </c>
      <c r="P3417" t="str">
        <f>T("177.1200")</f>
        <v>177.1200</v>
      </c>
      <c r="Q3417" t="str">
        <f>T("177.1630")</f>
        <v>177.1630</v>
      </c>
      <c r="R3417" t="str">
        <f>T("177.2600")</f>
        <v>177.2600</v>
      </c>
      <c r="S3417" t="str">
        <f>T("177.2800")</f>
        <v>177.2800</v>
      </c>
      <c r="T3417" t="str">
        <f>T("178.1010")</f>
        <v>178.1010</v>
      </c>
      <c r="U3417" t="str">
        <f>T("178.3120")</f>
        <v>178.3120</v>
      </c>
    </row>
    <row r="3418" spans="1:35" x14ac:dyDescent="0.3">
      <c r="A3418" t="s">
        <v>10596</v>
      </c>
      <c r="B3418" t="s">
        <v>10597</v>
      </c>
      <c r="C3418" t="s">
        <v>10598</v>
      </c>
      <c r="D3418" t="s">
        <v>10599</v>
      </c>
      <c r="AF3418" t="str">
        <f>T("155.2")</f>
        <v>155.2</v>
      </c>
    </row>
    <row r="3419" spans="1:35" x14ac:dyDescent="0.3">
      <c r="A3419" t="s">
        <v>10600</v>
      </c>
      <c r="B3419" t="s">
        <v>10601</v>
      </c>
      <c r="C3419" t="s">
        <v>10602</v>
      </c>
      <c r="D3419" t="s">
        <v>137</v>
      </c>
    </row>
    <row r="3420" spans="1:35" x14ac:dyDescent="0.3">
      <c r="A3420" t="s">
        <v>10603</v>
      </c>
      <c r="B3420" t="s">
        <v>10604</v>
      </c>
      <c r="C3420" t="s">
        <v>10605</v>
      </c>
      <c r="D3420" t="s">
        <v>137</v>
      </c>
    </row>
    <row r="3421" spans="1:35" x14ac:dyDescent="0.3">
      <c r="A3421" t="s">
        <v>10606</v>
      </c>
      <c r="B3421" t="s">
        <v>10607</v>
      </c>
      <c r="C3421" t="s">
        <v>10608</v>
      </c>
      <c r="D3421" t="s">
        <v>802</v>
      </c>
      <c r="K3421" t="str">
        <f>T("175.105")</f>
        <v>175.105</v>
      </c>
      <c r="L3421" t="str">
        <f>T("177.2800")</f>
        <v>177.2800</v>
      </c>
    </row>
    <row r="3422" spans="1:35" x14ac:dyDescent="0.3">
      <c r="A3422" t="s">
        <v>10609</v>
      </c>
      <c r="B3422" t="s">
        <v>10610</v>
      </c>
      <c r="C3422" t="s">
        <v>10611</v>
      </c>
      <c r="D3422" t="s">
        <v>199</v>
      </c>
      <c r="K3422" t="str">
        <f>T("175.105")</f>
        <v>175.105</v>
      </c>
      <c r="L3422" t="str">
        <f>T("186.1756")</f>
        <v>186.1756</v>
      </c>
    </row>
    <row r="3423" spans="1:35" x14ac:dyDescent="0.3">
      <c r="A3423" t="s">
        <v>10612</v>
      </c>
      <c r="B3423" t="s">
        <v>10613</v>
      </c>
      <c r="C3423" t="s">
        <v>10614</v>
      </c>
      <c r="D3423" t="s">
        <v>137</v>
      </c>
      <c r="K3423" t="str">
        <f>T("172.350")</f>
        <v>172.350</v>
      </c>
    </row>
    <row r="3424" spans="1:35" x14ac:dyDescent="0.3">
      <c r="A3424" t="s">
        <v>10615</v>
      </c>
      <c r="B3424" t="s">
        <v>10616</v>
      </c>
      <c r="C3424" t="s">
        <v>10617</v>
      </c>
      <c r="D3424" t="s">
        <v>192</v>
      </c>
      <c r="K3424" t="str">
        <f>T("173.310")</f>
        <v>173.310</v>
      </c>
      <c r="L3424" t="str">
        <f>T("176.150")</f>
        <v>176.150</v>
      </c>
    </row>
    <row r="3425" spans="1:37" x14ac:dyDescent="0.3">
      <c r="A3425" t="s">
        <v>10618</v>
      </c>
      <c r="B3425" t="s">
        <v>10619</v>
      </c>
      <c r="C3425" t="s">
        <v>10620</v>
      </c>
      <c r="D3425" t="s">
        <v>10621</v>
      </c>
      <c r="K3425" t="str">
        <f>T("178.1010")</f>
        <v>178.1010</v>
      </c>
      <c r="L3425" t="str">
        <f>T("182.6757")</f>
        <v>182.6757</v>
      </c>
    </row>
    <row r="3426" spans="1:37" x14ac:dyDescent="0.3">
      <c r="A3426" t="s">
        <v>10622</v>
      </c>
      <c r="B3426" t="s">
        <v>10623</v>
      </c>
      <c r="C3426" t="s">
        <v>10624</v>
      </c>
      <c r="D3426" t="s">
        <v>7</v>
      </c>
      <c r="K3426" t="str">
        <f>T("173.310")</f>
        <v>173.310</v>
      </c>
      <c r="L3426" t="str">
        <f>T("182.6760")</f>
        <v>182.6760</v>
      </c>
      <c r="M3426" t="str">
        <f>T("182.90")</f>
        <v>182.90</v>
      </c>
      <c r="AG3426" t="str">
        <f>T("3027")</f>
        <v>3027</v>
      </c>
      <c r="AH3426" t="str">
        <f>T("3")</f>
        <v>3</v>
      </c>
    </row>
    <row r="3427" spans="1:37" x14ac:dyDescent="0.3">
      <c r="A3427" t="s">
        <v>10625</v>
      </c>
      <c r="B3427" t="s">
        <v>10626</v>
      </c>
      <c r="C3427" t="s">
        <v>10627</v>
      </c>
      <c r="D3427" t="s">
        <v>192</v>
      </c>
      <c r="K3427" t="str">
        <f>T("173.310")</f>
        <v>173.310</v>
      </c>
    </row>
    <row r="3428" spans="1:37" x14ac:dyDescent="0.3">
      <c r="A3428" t="s">
        <v>10628</v>
      </c>
      <c r="B3428" t="s">
        <v>10629</v>
      </c>
      <c r="C3428" t="s">
        <v>10630</v>
      </c>
      <c r="K3428" t="str">
        <f>T("176.170")</f>
        <v>176.170</v>
      </c>
      <c r="L3428" t="str">
        <f>T("177.2800")</f>
        <v>177.2800</v>
      </c>
      <c r="M3428" t="str">
        <f>T("182.90")</f>
        <v>182.90</v>
      </c>
    </row>
    <row r="3429" spans="1:37" x14ac:dyDescent="0.3">
      <c r="A3429" t="s">
        <v>10631</v>
      </c>
      <c r="B3429" t="s">
        <v>10632</v>
      </c>
      <c r="C3429" t="s">
        <v>10633</v>
      </c>
      <c r="D3429" t="s">
        <v>10634</v>
      </c>
      <c r="E3429" t="str">
        <f>T("73.85")</f>
        <v>73.85</v>
      </c>
      <c r="K3429" t="str">
        <f>T("172.560")</f>
        <v>172.560</v>
      </c>
      <c r="L3429" t="str">
        <f>T("172.814")</f>
        <v>172.814</v>
      </c>
      <c r="M3429" t="str">
        <f>T("172.892")</f>
        <v>172.892</v>
      </c>
      <c r="N3429" t="str">
        <f>T("173.310")</f>
        <v>173.310</v>
      </c>
      <c r="O3429" t="str">
        <f>T("176.170")</f>
        <v>176.170</v>
      </c>
      <c r="P3429" t="str">
        <f>T("176.180")</f>
        <v>176.180</v>
      </c>
      <c r="Q3429" t="str">
        <f>T("176.210")</f>
        <v>176.210</v>
      </c>
      <c r="R3429" t="str">
        <f>T("177.1600")</f>
        <v>177.1600</v>
      </c>
      <c r="S3429" t="str">
        <f>T("177.2800")</f>
        <v>177.2800</v>
      </c>
      <c r="T3429" t="str">
        <f>T("184.1763")</f>
        <v>184.1763</v>
      </c>
      <c r="AF3429" t="s">
        <v>10635</v>
      </c>
    </row>
    <row r="3430" spans="1:37" x14ac:dyDescent="0.3">
      <c r="A3430" t="s">
        <v>10636</v>
      </c>
      <c r="B3430" t="s">
        <v>10637</v>
      </c>
      <c r="C3430" t="s">
        <v>10638</v>
      </c>
      <c r="D3430" t="s">
        <v>10639</v>
      </c>
      <c r="K3430" t="str">
        <f>T("172.892")</f>
        <v>172.892</v>
      </c>
      <c r="L3430" t="str">
        <f>T("173.315")</f>
        <v>173.315</v>
      </c>
      <c r="M3430" t="str">
        <f>T("175.105")</f>
        <v>175.105</v>
      </c>
      <c r="N3430" t="str">
        <f>T("176.170")</f>
        <v>176.170</v>
      </c>
      <c r="O3430" t="str">
        <f>T("177.2800")</f>
        <v>177.2800</v>
      </c>
      <c r="P3430" t="str">
        <f>T("178.1010")</f>
        <v>178.1010</v>
      </c>
    </row>
    <row r="3431" spans="1:37" x14ac:dyDescent="0.3">
      <c r="A3431" t="s">
        <v>10640</v>
      </c>
      <c r="B3431" t="s">
        <v>10641</v>
      </c>
      <c r="C3431" t="s">
        <v>10642</v>
      </c>
      <c r="D3431" t="s">
        <v>773</v>
      </c>
      <c r="K3431" t="str">
        <f>T("184.1764")</f>
        <v>184.1764</v>
      </c>
    </row>
    <row r="3432" spans="1:37" x14ac:dyDescent="0.3">
      <c r="A3432" t="s">
        <v>10643</v>
      </c>
      <c r="B3432" t="s">
        <v>10644</v>
      </c>
      <c r="C3432" t="s">
        <v>10645</v>
      </c>
      <c r="D3432" t="s">
        <v>10646</v>
      </c>
      <c r="K3432" t="str">
        <f>T("184.1768")</f>
        <v>184.1768</v>
      </c>
    </row>
    <row r="3433" spans="1:37" x14ac:dyDescent="0.3">
      <c r="A3433" t="s">
        <v>10647</v>
      </c>
      <c r="B3433" t="s">
        <v>10648</v>
      </c>
      <c r="C3433" t="s">
        <v>10649</v>
      </c>
      <c r="D3433" t="s">
        <v>1417</v>
      </c>
      <c r="K3433" t="str">
        <f>T("172.863")</f>
        <v>172.863</v>
      </c>
    </row>
    <row r="3434" spans="1:37" x14ac:dyDescent="0.3">
      <c r="A3434" t="s">
        <v>10650</v>
      </c>
      <c r="B3434" t="s">
        <v>10651</v>
      </c>
      <c r="C3434" t="s">
        <v>10652</v>
      </c>
      <c r="D3434" t="s">
        <v>10653</v>
      </c>
      <c r="K3434" t="str">
        <f>T("172.210")</f>
        <v>172.210</v>
      </c>
      <c r="L3434" t="str">
        <f>T("172.822")</f>
        <v>172.822</v>
      </c>
      <c r="M3434" t="str">
        <f>T("175.105")</f>
        <v>175.105</v>
      </c>
      <c r="N3434" t="str">
        <f>T("175.300")</f>
        <v>175.300</v>
      </c>
      <c r="O3434" t="str">
        <f>T("175.320")</f>
        <v>175.320</v>
      </c>
      <c r="P3434" t="str">
        <f>T("176.170")</f>
        <v>176.170</v>
      </c>
      <c r="Q3434" t="str">
        <f>T("176.180")</f>
        <v>176.180</v>
      </c>
      <c r="R3434" t="str">
        <f>T("176.210")</f>
        <v>176.210</v>
      </c>
      <c r="S3434" t="str">
        <f>T("177.1200")</f>
        <v>177.1200</v>
      </c>
      <c r="T3434" t="str">
        <f>T("177.1210")</f>
        <v>177.1210</v>
      </c>
      <c r="U3434" t="str">
        <f>T("177.1630")</f>
        <v>177.1630</v>
      </c>
      <c r="V3434" t="str">
        <f>T("177.2600")</f>
        <v>177.2600</v>
      </c>
      <c r="W3434" t="str">
        <f>T("177.2800")</f>
        <v>177.2800</v>
      </c>
      <c r="X3434" t="str">
        <f>T("178.1010")</f>
        <v>178.1010</v>
      </c>
      <c r="Y3434" t="str">
        <f>T("179.45")</f>
        <v>179.45</v>
      </c>
      <c r="AG3434" t="str">
        <f>T("4437")</f>
        <v>4437</v>
      </c>
      <c r="AH3434" t="str">
        <f>T("24")</f>
        <v>24</v>
      </c>
    </row>
    <row r="3435" spans="1:37" x14ac:dyDescent="0.3">
      <c r="A3435" t="s">
        <v>10654</v>
      </c>
      <c r="B3435" t="s">
        <v>10655</v>
      </c>
      <c r="C3435" t="s">
        <v>10656</v>
      </c>
      <c r="D3435" t="s">
        <v>7</v>
      </c>
      <c r="AG3435" t="str">
        <f>T("3901")</f>
        <v>3901</v>
      </c>
      <c r="AH3435" t="str">
        <f>T("18")</f>
        <v>18</v>
      </c>
      <c r="AK3435" t="str">
        <f>T("563")</f>
        <v>563</v>
      </c>
    </row>
    <row r="3436" spans="1:37" x14ac:dyDescent="0.3">
      <c r="A3436" t="s">
        <v>10657</v>
      </c>
      <c r="B3436" t="s">
        <v>10658</v>
      </c>
      <c r="C3436" t="s">
        <v>10659</v>
      </c>
      <c r="D3436" t="s">
        <v>10660</v>
      </c>
      <c r="K3436" t="str">
        <f>T("173.310")</f>
        <v>173.310</v>
      </c>
      <c r="L3436" t="str">
        <f>T("182.3766")</f>
        <v>182.3766</v>
      </c>
    </row>
    <row r="3437" spans="1:37" x14ac:dyDescent="0.3">
      <c r="A3437" t="s">
        <v>10661</v>
      </c>
      <c r="B3437" t="s">
        <v>10662</v>
      </c>
      <c r="C3437" t="s">
        <v>10663</v>
      </c>
      <c r="K3437" t="str">
        <f>T("173.310")</f>
        <v>173.310</v>
      </c>
    </row>
    <row r="3438" spans="1:37" x14ac:dyDescent="0.3">
      <c r="A3438" t="s">
        <v>10664</v>
      </c>
      <c r="B3438" t="s">
        <v>10665</v>
      </c>
      <c r="C3438" t="s">
        <v>10666</v>
      </c>
      <c r="D3438" t="s">
        <v>7</v>
      </c>
      <c r="AG3438" t="str">
        <f>T("4016")</f>
        <v>4016</v>
      </c>
      <c r="AH3438" t="str">
        <f>T("20")</f>
        <v>20</v>
      </c>
      <c r="AK3438" t="str">
        <f>T("1880")</f>
        <v>1880</v>
      </c>
    </row>
    <row r="3439" spans="1:37" x14ac:dyDescent="0.3">
      <c r="A3439" t="s">
        <v>10667</v>
      </c>
      <c r="B3439" t="s">
        <v>10668</v>
      </c>
      <c r="C3439" t="s">
        <v>10669</v>
      </c>
      <c r="D3439" t="s">
        <v>7</v>
      </c>
      <c r="AG3439" t="str">
        <f>T("3812")</f>
        <v>3812</v>
      </c>
      <c r="AH3439" t="str">
        <f>T("17")</f>
        <v>17</v>
      </c>
      <c r="AK3439" t="str">
        <f>T("2014")</f>
        <v>2014</v>
      </c>
    </row>
    <row r="3440" spans="1:37" x14ac:dyDescent="0.3">
      <c r="A3440" t="s">
        <v>10670</v>
      </c>
      <c r="B3440" t="s">
        <v>10671</v>
      </c>
      <c r="C3440" t="s">
        <v>10672</v>
      </c>
      <c r="D3440" t="s">
        <v>7</v>
      </c>
      <c r="AG3440" t="str">
        <f>T("3773")</f>
        <v>3773</v>
      </c>
      <c r="AH3440" t="s">
        <v>10673</v>
      </c>
      <c r="AI3440" t="str">
        <f>T("23")</f>
        <v>23</v>
      </c>
      <c r="AK3440" t="str">
        <f>T("1029")</f>
        <v>1029</v>
      </c>
    </row>
    <row r="3441" spans="1:32" x14ac:dyDescent="0.3">
      <c r="A3441" t="s">
        <v>10674</v>
      </c>
      <c r="B3441" t="s">
        <v>10675</v>
      </c>
      <c r="C3441" t="s">
        <v>10676</v>
      </c>
      <c r="D3441" t="s">
        <v>442</v>
      </c>
      <c r="K3441" t="str">
        <f>T("173.385")</f>
        <v>173.385</v>
      </c>
    </row>
    <row r="3442" spans="1:32" x14ac:dyDescent="0.3">
      <c r="A3442" t="s">
        <v>10677</v>
      </c>
      <c r="B3442" t="s">
        <v>10678</v>
      </c>
      <c r="C3442" t="s">
        <v>10679</v>
      </c>
      <c r="D3442" t="s">
        <v>5630</v>
      </c>
      <c r="K3442" t="str">
        <f>T("172.824")</f>
        <v>172.824</v>
      </c>
      <c r="L3442" t="str">
        <f>T("173.315")</f>
        <v>173.315</v>
      </c>
    </row>
    <row r="3443" spans="1:32" x14ac:dyDescent="0.3">
      <c r="A3443" t="s">
        <v>10680</v>
      </c>
      <c r="B3443" t="s">
        <v>10681</v>
      </c>
      <c r="C3443" t="s">
        <v>10682</v>
      </c>
      <c r="D3443" t="s">
        <v>1417</v>
      </c>
      <c r="K3443" t="str">
        <f>T("172.863")</f>
        <v>172.863</v>
      </c>
    </row>
    <row r="3444" spans="1:32" x14ac:dyDescent="0.3">
      <c r="A3444" t="s">
        <v>10683</v>
      </c>
      <c r="B3444" t="s">
        <v>10684</v>
      </c>
      <c r="C3444" t="s">
        <v>10685</v>
      </c>
      <c r="D3444" t="s">
        <v>8281</v>
      </c>
      <c r="K3444" t="str">
        <f>T("172.170")</f>
        <v>172.170</v>
      </c>
      <c r="L3444" t="str">
        <f>T("172.175")</f>
        <v>172.175</v>
      </c>
      <c r="M3444" t="str">
        <f>T("173.310")</f>
        <v>173.310</v>
      </c>
      <c r="N3444" t="str">
        <f>T("175.105")</f>
        <v>175.105</v>
      </c>
      <c r="O3444" t="str">
        <f>T("176.180")</f>
        <v>176.180</v>
      </c>
      <c r="P3444" t="str">
        <f>T("176.320")</f>
        <v>176.320</v>
      </c>
      <c r="Q3444" t="str">
        <f>T("181.33")</f>
        <v>181.33</v>
      </c>
      <c r="R3444" t="str">
        <f>T("181.34")</f>
        <v>181.34</v>
      </c>
    </row>
    <row r="3445" spans="1:32" x14ac:dyDescent="0.3">
      <c r="A3445" t="s">
        <v>10686</v>
      </c>
      <c r="B3445" t="s">
        <v>10687</v>
      </c>
      <c r="C3445" t="s">
        <v>10688</v>
      </c>
      <c r="D3445" t="s">
        <v>8285</v>
      </c>
      <c r="K3445" t="str">
        <f>T("172.170")</f>
        <v>172.170</v>
      </c>
      <c r="L3445" t="str">
        <f>T("172.175")</f>
        <v>172.175</v>
      </c>
      <c r="M3445" t="str">
        <f>T("172.177")</f>
        <v>172.177</v>
      </c>
      <c r="N3445" t="str">
        <f>T("172.820")</f>
        <v>172.820</v>
      </c>
      <c r="O3445" t="str">
        <f>T("172.824")</f>
        <v>172.824</v>
      </c>
      <c r="P3445" t="str">
        <f>T("175.105")</f>
        <v>175.105</v>
      </c>
      <c r="Q3445" t="str">
        <f>T("175.300")</f>
        <v>175.300</v>
      </c>
      <c r="R3445" t="str">
        <f>T("176.170")</f>
        <v>176.170</v>
      </c>
      <c r="S3445" t="str">
        <f>T("176.180")</f>
        <v>176.180</v>
      </c>
      <c r="T3445" t="str">
        <f>T("177.1210")</f>
        <v>177.1210</v>
      </c>
      <c r="U3445" t="str">
        <f>T("177.2600")</f>
        <v>177.2600</v>
      </c>
      <c r="V3445" t="str">
        <f>T("178.3570")</f>
        <v>178.3570</v>
      </c>
      <c r="W3445" t="str">
        <f>T("178.3910")</f>
        <v>178.3910</v>
      </c>
      <c r="X3445" t="str">
        <f>T("181.33")</f>
        <v>181.33</v>
      </c>
    </row>
    <row r="3446" spans="1:32" x14ac:dyDescent="0.3">
      <c r="A3446" t="s">
        <v>10689</v>
      </c>
      <c r="B3446" t="s">
        <v>10690</v>
      </c>
      <c r="C3446" t="s">
        <v>10691</v>
      </c>
      <c r="D3446" t="s">
        <v>10692</v>
      </c>
      <c r="K3446" t="str">
        <f>T("172.863")</f>
        <v>172.863</v>
      </c>
      <c r="L3446" t="str">
        <f>T("175.300")</f>
        <v>175.300</v>
      </c>
      <c r="M3446" t="str">
        <f>T("186.1770")</f>
        <v>186.1770</v>
      </c>
    </row>
    <row r="3447" spans="1:32" x14ac:dyDescent="0.3">
      <c r="A3447" t="s">
        <v>10693</v>
      </c>
      <c r="B3447" t="s">
        <v>10694</v>
      </c>
      <c r="C3447" t="s">
        <v>10695</v>
      </c>
      <c r="D3447" t="s">
        <v>10696</v>
      </c>
      <c r="K3447" t="str">
        <f>T("172.863")</f>
        <v>172.863</v>
      </c>
      <c r="L3447" t="str">
        <f>T("186.1771")</f>
        <v>186.1771</v>
      </c>
    </row>
    <row r="3448" spans="1:32" x14ac:dyDescent="0.3">
      <c r="A3448" t="s">
        <v>10697</v>
      </c>
      <c r="B3448" t="s">
        <v>10698</v>
      </c>
      <c r="C3448" t="s">
        <v>10699</v>
      </c>
      <c r="D3448" t="s">
        <v>137</v>
      </c>
    </row>
    <row r="3449" spans="1:32" x14ac:dyDescent="0.3">
      <c r="A3449" t="s">
        <v>10700</v>
      </c>
      <c r="B3449" t="s">
        <v>10701</v>
      </c>
      <c r="C3449" t="s">
        <v>10702</v>
      </c>
      <c r="K3449" t="str">
        <f>T("184.1588")</f>
        <v>184.1588</v>
      </c>
    </row>
    <row r="3450" spans="1:32" x14ac:dyDescent="0.3">
      <c r="A3450" t="s">
        <v>10703</v>
      </c>
      <c r="B3450" t="s">
        <v>10704</v>
      </c>
      <c r="C3450" t="s">
        <v>10705</v>
      </c>
      <c r="D3450" t="s">
        <v>192</v>
      </c>
      <c r="K3450" t="str">
        <f>T("173.310")</f>
        <v>173.310</v>
      </c>
      <c r="L3450" t="str">
        <f>T("175.105")</f>
        <v>175.105</v>
      </c>
      <c r="M3450" t="str">
        <f>T("176.170")</f>
        <v>176.170</v>
      </c>
    </row>
    <row r="3451" spans="1:32" x14ac:dyDescent="0.3">
      <c r="A3451" t="s">
        <v>10706</v>
      </c>
      <c r="B3451" t="s">
        <v>10707</v>
      </c>
      <c r="C3451" t="s">
        <v>10708</v>
      </c>
      <c r="D3451" t="s">
        <v>10709</v>
      </c>
      <c r="K3451" t="str">
        <f>T("173.310")</f>
        <v>173.310</v>
      </c>
      <c r="L3451" t="str">
        <f>T("175.210")</f>
        <v>175.210</v>
      </c>
      <c r="M3451" t="str">
        <f>T("175.300")</f>
        <v>175.300</v>
      </c>
      <c r="N3451" t="str">
        <f>T("181.29")</f>
        <v>181.29</v>
      </c>
      <c r="O3451" t="str">
        <f>T("182.6787")</f>
        <v>182.6787</v>
      </c>
      <c r="P3451" t="str">
        <f>T("182.6789")</f>
        <v>182.6789</v>
      </c>
      <c r="Q3451" t="str">
        <f>T("182.70")</f>
        <v>182.70</v>
      </c>
      <c r="AF3451" t="s">
        <v>3255</v>
      </c>
    </row>
    <row r="3452" spans="1:32" x14ac:dyDescent="0.3">
      <c r="A3452" t="s">
        <v>10710</v>
      </c>
      <c r="B3452" t="s">
        <v>10711</v>
      </c>
      <c r="C3452" t="s">
        <v>10712</v>
      </c>
      <c r="D3452" t="s">
        <v>453</v>
      </c>
      <c r="K3452" t="str">
        <f>T("172.863")</f>
        <v>172.863</v>
      </c>
      <c r="L3452" t="str">
        <f>T("175.105")</f>
        <v>175.105</v>
      </c>
      <c r="M3452" t="str">
        <f>T("177.2600")</f>
        <v>177.2600</v>
      </c>
      <c r="N3452" t="str">
        <f>T("178.3910")</f>
        <v>178.3910</v>
      </c>
    </row>
    <row r="3453" spans="1:32" x14ac:dyDescent="0.3">
      <c r="A3453" t="s">
        <v>10713</v>
      </c>
      <c r="B3453" t="s">
        <v>10714</v>
      </c>
      <c r="C3453" t="s">
        <v>10715</v>
      </c>
      <c r="D3453" t="s">
        <v>1949</v>
      </c>
      <c r="K3453" t="str">
        <f>T("184.1792")</f>
        <v>184.1792</v>
      </c>
    </row>
    <row r="3454" spans="1:32" x14ac:dyDescent="0.3">
      <c r="A3454" t="s">
        <v>10716</v>
      </c>
      <c r="B3454" t="s">
        <v>10717</v>
      </c>
      <c r="C3454" t="s">
        <v>10718</v>
      </c>
      <c r="D3454" t="s">
        <v>10719</v>
      </c>
      <c r="K3454" t="str">
        <f>T("173.310")</f>
        <v>173.310</v>
      </c>
      <c r="L3454" t="str">
        <f>T("175.390")</f>
        <v>175.390</v>
      </c>
      <c r="M3454" t="str">
        <f>T("176.170")</f>
        <v>176.170</v>
      </c>
      <c r="N3454" t="str">
        <f>T("177.1200")</f>
        <v>177.1200</v>
      </c>
      <c r="O3454" t="str">
        <f>T("182.70")</f>
        <v>182.70</v>
      </c>
      <c r="P3454" t="str">
        <f>T("182.90")</f>
        <v>182.90</v>
      </c>
    </row>
    <row r="3455" spans="1:32" x14ac:dyDescent="0.3">
      <c r="A3455" t="s">
        <v>10720</v>
      </c>
      <c r="B3455" t="s">
        <v>10721</v>
      </c>
      <c r="C3455" t="s">
        <v>10722</v>
      </c>
      <c r="D3455" t="s">
        <v>10723</v>
      </c>
      <c r="K3455" t="str">
        <f>T("172.615")</f>
        <v>172.615</v>
      </c>
      <c r="L3455" t="str">
        <f>T("172.863")</f>
        <v>172.863</v>
      </c>
      <c r="M3455" t="str">
        <f>T("175.300")</f>
        <v>175.300</v>
      </c>
      <c r="N3455" t="str">
        <f>T("177.2600")</f>
        <v>177.2600</v>
      </c>
      <c r="O3455" t="str">
        <f>T("179.45")</f>
        <v>179.45</v>
      </c>
      <c r="P3455" t="str">
        <f>T("181.29")</f>
        <v>181.29</v>
      </c>
    </row>
    <row r="3456" spans="1:32" x14ac:dyDescent="0.3">
      <c r="A3456" t="s">
        <v>10724</v>
      </c>
      <c r="B3456" t="s">
        <v>10725</v>
      </c>
      <c r="C3456" t="s">
        <v>10726</v>
      </c>
      <c r="D3456" t="s">
        <v>10727</v>
      </c>
      <c r="K3456" t="str">
        <f>T("172.846")</f>
        <v>172.846</v>
      </c>
      <c r="L3456" t="str">
        <f>T("177.1200")</f>
        <v>177.1200</v>
      </c>
    </row>
    <row r="3457" spans="1:34" x14ac:dyDescent="0.3">
      <c r="A3457" t="s">
        <v>10728</v>
      </c>
      <c r="B3457" t="s">
        <v>10729</v>
      </c>
      <c r="C3457" t="s">
        <v>10730</v>
      </c>
      <c r="D3457" t="s">
        <v>10731</v>
      </c>
      <c r="K3457" t="str">
        <f>T("172.826")</f>
        <v>172.826</v>
      </c>
    </row>
    <row r="3458" spans="1:34" x14ac:dyDescent="0.3">
      <c r="A3458" t="s">
        <v>10732</v>
      </c>
      <c r="B3458" t="s">
        <v>10733</v>
      </c>
      <c r="C3458" t="s">
        <v>10734</v>
      </c>
      <c r="D3458" t="s">
        <v>10735</v>
      </c>
      <c r="E3458" t="str">
        <f>T("73.85")</f>
        <v>73.85</v>
      </c>
      <c r="K3458" t="str">
        <f>T("172.615")</f>
        <v>172.615</v>
      </c>
      <c r="L3458" t="str">
        <f>T("173.310")</f>
        <v>173.310</v>
      </c>
      <c r="M3458" t="str">
        <f>T("177.1200")</f>
        <v>177.1200</v>
      </c>
      <c r="N3458" t="str">
        <f>T("186.1797")</f>
        <v>186.1797</v>
      </c>
    </row>
    <row r="3459" spans="1:34" x14ac:dyDescent="0.3">
      <c r="A3459" t="s">
        <v>10736</v>
      </c>
      <c r="B3459" t="s">
        <v>10737</v>
      </c>
      <c r="C3459" t="s">
        <v>10738</v>
      </c>
      <c r="K3459" t="str">
        <f>T("172.615")</f>
        <v>172.615</v>
      </c>
      <c r="L3459" t="str">
        <f>T("177.2490")</f>
        <v>177.2490</v>
      </c>
      <c r="M3459" t="str">
        <f>T("177.2600")</f>
        <v>177.2600</v>
      </c>
    </row>
    <row r="3460" spans="1:34" x14ac:dyDescent="0.3">
      <c r="A3460" t="s">
        <v>10739</v>
      </c>
      <c r="B3460" t="s">
        <v>10740</v>
      </c>
      <c r="C3460" t="s">
        <v>10741</v>
      </c>
      <c r="D3460" t="s">
        <v>10742</v>
      </c>
      <c r="E3460" t="str">
        <f>T("73.85")</f>
        <v>73.85</v>
      </c>
      <c r="K3460" t="str">
        <f>T("173.310")</f>
        <v>173.310</v>
      </c>
      <c r="L3460" t="str">
        <f>T("177.1200")</f>
        <v>177.1200</v>
      </c>
      <c r="M3460" t="str">
        <f>T("182.3798")</f>
        <v>182.3798</v>
      </c>
    </row>
    <row r="3461" spans="1:34" x14ac:dyDescent="0.3">
      <c r="A3461" t="s">
        <v>10743</v>
      </c>
      <c r="B3461" t="s">
        <v>10744</v>
      </c>
      <c r="C3461" t="s">
        <v>10745</v>
      </c>
    </row>
    <row r="3462" spans="1:34" x14ac:dyDescent="0.3">
      <c r="A3462" t="s">
        <v>10746</v>
      </c>
      <c r="B3462" t="s">
        <v>10747</v>
      </c>
      <c r="C3462" t="s">
        <v>10748</v>
      </c>
      <c r="D3462" t="s">
        <v>10749</v>
      </c>
      <c r="K3462" t="str">
        <f>T("184.1807")</f>
        <v>184.1807</v>
      </c>
    </row>
    <row r="3463" spans="1:34" x14ac:dyDescent="0.3">
      <c r="A3463" t="s">
        <v>10750</v>
      </c>
      <c r="B3463" t="s">
        <v>10751</v>
      </c>
      <c r="C3463" t="s">
        <v>10752</v>
      </c>
      <c r="D3463" t="s">
        <v>10753</v>
      </c>
      <c r="E3463" t="str">
        <f>T("74.302")</f>
        <v>74.302</v>
      </c>
      <c r="K3463" t="str">
        <f>T("172.892")</f>
        <v>172.892</v>
      </c>
      <c r="L3463" t="str">
        <f>T("173.310")</f>
        <v>173.310</v>
      </c>
      <c r="M3463" t="str">
        <f>T("182.1810")</f>
        <v>182.1810</v>
      </c>
      <c r="N3463" t="str">
        <f>T("182.6810")</f>
        <v>182.6810</v>
      </c>
      <c r="O3463" t="str">
        <f>T("182.90")</f>
        <v>182.90</v>
      </c>
    </row>
    <row r="3464" spans="1:34" x14ac:dyDescent="0.3">
      <c r="A3464" t="s">
        <v>10754</v>
      </c>
      <c r="B3464" t="s">
        <v>10755</v>
      </c>
      <c r="C3464" t="s">
        <v>10756</v>
      </c>
    </row>
    <row r="3465" spans="1:34" x14ac:dyDescent="0.3">
      <c r="A3465" t="s">
        <v>10757</v>
      </c>
      <c r="B3465" t="s">
        <v>10758</v>
      </c>
      <c r="C3465" t="s">
        <v>10759</v>
      </c>
      <c r="D3465" t="s">
        <v>2687</v>
      </c>
      <c r="E3465" t="str">
        <f>T("73.1001")</f>
        <v>73.1001</v>
      </c>
      <c r="K3465" t="str">
        <f>T("173.75")</f>
        <v>173.75</v>
      </c>
      <c r="L3465" t="str">
        <f>T("175.105")</f>
        <v>175.105</v>
      </c>
      <c r="M3465" t="str">
        <f>T("178.3400")</f>
        <v>178.3400</v>
      </c>
    </row>
    <row r="3466" spans="1:34" x14ac:dyDescent="0.3">
      <c r="A3466" t="s">
        <v>10760</v>
      </c>
      <c r="B3466" t="s">
        <v>10761</v>
      </c>
      <c r="C3466" t="s">
        <v>10762</v>
      </c>
      <c r="D3466" t="s">
        <v>10763</v>
      </c>
      <c r="E3466" t="str">
        <f>T("73.1001")</f>
        <v>73.1001</v>
      </c>
      <c r="K3466" t="str">
        <f>T("172.515")</f>
        <v>172.515</v>
      </c>
      <c r="L3466" t="str">
        <f>T("172.836")</f>
        <v>172.836</v>
      </c>
      <c r="M3466" t="str">
        <f>T("172.838")</f>
        <v>172.838</v>
      </c>
      <c r="N3466" t="str">
        <f>T("172.840")</f>
        <v>172.840</v>
      </c>
      <c r="O3466" t="str">
        <f>T("172.842")</f>
        <v>172.842</v>
      </c>
      <c r="P3466" t="str">
        <f>T("173.310")</f>
        <v>173.310</v>
      </c>
      <c r="Q3466" t="str">
        <f>T("173.340")</f>
        <v>173.340</v>
      </c>
      <c r="R3466" t="str">
        <f>T("175.105")</f>
        <v>175.105</v>
      </c>
      <c r="S3466" t="str">
        <f>T("178.3400")</f>
        <v>178.3400</v>
      </c>
      <c r="AG3466" t="str">
        <f>T("3028")</f>
        <v>3028</v>
      </c>
      <c r="AH3466" t="str">
        <f>T("3")</f>
        <v>3</v>
      </c>
    </row>
    <row r="3467" spans="1:34" x14ac:dyDescent="0.3">
      <c r="A3467" t="s">
        <v>10764</v>
      </c>
      <c r="B3467" t="s">
        <v>10765</v>
      </c>
      <c r="C3467" t="s">
        <v>10766</v>
      </c>
      <c r="D3467" t="s">
        <v>10767</v>
      </c>
      <c r="K3467" t="str">
        <f>T("175.300")</f>
        <v>175.300</v>
      </c>
      <c r="L3467" t="str">
        <f>T("175.320")</f>
        <v>175.320</v>
      </c>
      <c r="M3467" t="str">
        <f>T("176.180")</f>
        <v>176.180</v>
      </c>
      <c r="N3467" t="str">
        <f>T("176.210")</f>
        <v>176.210</v>
      </c>
      <c r="O3467" t="str">
        <f>T("177.1390")</f>
        <v>177.1390</v>
      </c>
      <c r="P3467" t="str">
        <f>T("177.2420")</f>
        <v>177.2420</v>
      </c>
      <c r="Q3467" t="str">
        <f>T("182.90")</f>
        <v>182.90</v>
      </c>
      <c r="R3467" t="str">
        <f>T("184.1835")</f>
        <v>184.1835</v>
      </c>
      <c r="AF3467" t="s">
        <v>6566</v>
      </c>
      <c r="AG3467" t="str">
        <f>T("3029")</f>
        <v>3029</v>
      </c>
      <c r="AH3467" t="str">
        <f>T("3")</f>
        <v>3</v>
      </c>
    </row>
    <row r="3468" spans="1:34" x14ac:dyDescent="0.3">
      <c r="A3468" t="s">
        <v>10768</v>
      </c>
      <c r="B3468" t="s">
        <v>10769</v>
      </c>
      <c r="C3468" t="s">
        <v>10770</v>
      </c>
      <c r="K3468" t="str">
        <f>T("186.1839")</f>
        <v>186.1839</v>
      </c>
    </row>
    <row r="3469" spans="1:34" x14ac:dyDescent="0.3">
      <c r="A3469" t="s">
        <v>10771</v>
      </c>
      <c r="B3469" t="s">
        <v>10772</v>
      </c>
      <c r="C3469" t="s">
        <v>10773</v>
      </c>
      <c r="D3469" t="s">
        <v>10774</v>
      </c>
      <c r="K3469" t="str">
        <f>T("173.340")</f>
        <v>173.340</v>
      </c>
    </row>
    <row r="3470" spans="1:34" x14ac:dyDescent="0.3">
      <c r="A3470" t="s">
        <v>10775</v>
      </c>
      <c r="B3470" t="s">
        <v>10776</v>
      </c>
      <c r="C3470" t="s">
        <v>10777</v>
      </c>
    </row>
    <row r="3471" spans="1:34" x14ac:dyDescent="0.3">
      <c r="A3471" t="s">
        <v>10778</v>
      </c>
      <c r="B3471" t="s">
        <v>10779</v>
      </c>
      <c r="C3471" t="s">
        <v>10780</v>
      </c>
      <c r="D3471" t="s">
        <v>10781</v>
      </c>
      <c r="K3471" t="str">
        <f>T("172.723")</f>
        <v>172.723</v>
      </c>
      <c r="L3471" t="str">
        <f>T("175.105")</f>
        <v>175.105</v>
      </c>
      <c r="M3471" t="str">
        <f>T("175.300")</f>
        <v>175.300</v>
      </c>
      <c r="N3471" t="str">
        <f>T("177.1650")</f>
        <v>177.1650</v>
      </c>
      <c r="O3471" t="str">
        <f>T("178.3910")</f>
        <v>178.3910</v>
      </c>
      <c r="P3471" t="str">
        <f>T("181.27")</f>
        <v>181.27</v>
      </c>
    </row>
    <row r="3472" spans="1:34" x14ac:dyDescent="0.3">
      <c r="A3472" t="s">
        <v>10782</v>
      </c>
      <c r="B3472" t="s">
        <v>10783</v>
      </c>
      <c r="C3472" t="s">
        <v>10784</v>
      </c>
      <c r="D3472" t="s">
        <v>10785</v>
      </c>
      <c r="K3472" t="str">
        <f>T("176.180")</f>
        <v>176.180</v>
      </c>
      <c r="L3472" t="str">
        <f>T("176.210")</f>
        <v>176.210</v>
      </c>
      <c r="M3472" t="str">
        <f>T("177.2800")</f>
        <v>177.2800</v>
      </c>
      <c r="N3472" t="str">
        <f>T("182.70")</f>
        <v>182.70</v>
      </c>
    </row>
    <row r="3473" spans="1:37" x14ac:dyDescent="0.3">
      <c r="A3473" t="s">
        <v>10786</v>
      </c>
      <c r="B3473" t="s">
        <v>10787</v>
      </c>
      <c r="D3473" t="s">
        <v>10788</v>
      </c>
    </row>
    <row r="3474" spans="1:37" x14ac:dyDescent="0.3">
      <c r="A3474" t="s">
        <v>10789</v>
      </c>
      <c r="B3474" t="s">
        <v>10790</v>
      </c>
      <c r="C3474" t="s">
        <v>10791</v>
      </c>
      <c r="D3474" t="s">
        <v>10792</v>
      </c>
      <c r="K3474" t="str">
        <f>T("176.180")</f>
        <v>176.180</v>
      </c>
      <c r="L3474" t="str">
        <f>T("182.90")</f>
        <v>182.90</v>
      </c>
      <c r="AF3474" t="str">
        <f>T("166.11")</f>
        <v>166.11</v>
      </c>
    </row>
    <row r="3475" spans="1:37" x14ac:dyDescent="0.3">
      <c r="A3475" t="s">
        <v>10793</v>
      </c>
      <c r="B3475" t="s">
        <v>10794</v>
      </c>
      <c r="C3475" t="s">
        <v>10795</v>
      </c>
      <c r="D3475" t="s">
        <v>7</v>
      </c>
      <c r="K3475" t="str">
        <f>T("182.20")</f>
        <v>182.20</v>
      </c>
      <c r="AG3475" t="str">
        <f>T("3031")</f>
        <v>3031</v>
      </c>
      <c r="AH3475" t="str">
        <f>T("3")</f>
        <v>3</v>
      </c>
    </row>
    <row r="3476" spans="1:37" x14ac:dyDescent="0.3">
      <c r="A3476" t="s">
        <v>10796</v>
      </c>
      <c r="B3476" t="s">
        <v>10797</v>
      </c>
      <c r="C3476" t="s">
        <v>10798</v>
      </c>
      <c r="D3476" t="s">
        <v>7</v>
      </c>
      <c r="K3476" t="str">
        <f>T("182.10")</f>
        <v>182.10</v>
      </c>
      <c r="AG3476" t="str">
        <f>T("3030")</f>
        <v>3030</v>
      </c>
      <c r="AH3476" t="str">
        <f>T("3")</f>
        <v>3</v>
      </c>
    </row>
    <row r="3477" spans="1:37" x14ac:dyDescent="0.3">
      <c r="A3477" t="s">
        <v>10799</v>
      </c>
      <c r="B3477" t="s">
        <v>10800</v>
      </c>
      <c r="C3477" t="s">
        <v>10801</v>
      </c>
      <c r="D3477" t="s">
        <v>7</v>
      </c>
      <c r="K3477" t="str">
        <f>T("172.230")</f>
        <v>172.230</v>
      </c>
      <c r="L3477" t="str">
        <f>T("182.20")</f>
        <v>182.20</v>
      </c>
      <c r="AG3477" t="str">
        <f>T("3032")</f>
        <v>3032</v>
      </c>
      <c r="AH3477" t="str">
        <f>T("3")</f>
        <v>3</v>
      </c>
      <c r="AI3477" t="str">
        <f>T("26")</f>
        <v>26</v>
      </c>
    </row>
    <row r="3478" spans="1:37" x14ac:dyDescent="0.3">
      <c r="A3478" t="s">
        <v>10802</v>
      </c>
      <c r="B3478" t="s">
        <v>10803</v>
      </c>
      <c r="C3478" t="s">
        <v>10804</v>
      </c>
      <c r="D3478" t="s">
        <v>2253</v>
      </c>
      <c r="K3478" t="str">
        <f>T("172.210")</f>
        <v>172.210</v>
      </c>
      <c r="L3478" t="str">
        <f>T("175.105")</f>
        <v>175.105</v>
      </c>
      <c r="M3478" t="str">
        <f>T("175.300")</f>
        <v>175.300</v>
      </c>
      <c r="N3478" t="str">
        <f>T("176.180")</f>
        <v>176.180</v>
      </c>
      <c r="O3478" t="str">
        <f>T("176.210")</f>
        <v>176.210</v>
      </c>
      <c r="P3478" t="str">
        <f>T("177.2800")</f>
        <v>177.2800</v>
      </c>
    </row>
    <row r="3479" spans="1:37" x14ac:dyDescent="0.3">
      <c r="A3479" t="s">
        <v>10805</v>
      </c>
      <c r="B3479" t="s">
        <v>10806</v>
      </c>
      <c r="C3479" t="s">
        <v>10807</v>
      </c>
      <c r="K3479" t="str">
        <f>T("173.275")</f>
        <v>173.275</v>
      </c>
      <c r="L3479" t="str">
        <f>T("176.180")</f>
        <v>176.180</v>
      </c>
      <c r="M3479" t="str">
        <f>T("176.210")</f>
        <v>176.210</v>
      </c>
      <c r="N3479" t="str">
        <f>T("177.2800")</f>
        <v>177.2800</v>
      </c>
    </row>
    <row r="3480" spans="1:37" x14ac:dyDescent="0.3">
      <c r="A3480" t="s">
        <v>10808</v>
      </c>
      <c r="B3480" t="s">
        <v>10809</v>
      </c>
      <c r="C3480" t="s">
        <v>10810</v>
      </c>
      <c r="D3480" t="s">
        <v>7</v>
      </c>
    </row>
    <row r="3481" spans="1:37" x14ac:dyDescent="0.3">
      <c r="A3481" t="s">
        <v>10811</v>
      </c>
      <c r="B3481" t="s">
        <v>10812</v>
      </c>
      <c r="C3481" t="s">
        <v>10813</v>
      </c>
      <c r="D3481" t="s">
        <v>15</v>
      </c>
      <c r="AG3481" t="str">
        <f>T("3270")</f>
        <v>3270</v>
      </c>
      <c r="AH3481" t="str">
        <f>T("5")</f>
        <v>5</v>
      </c>
      <c r="AK3481" t="str">
        <f>T("1296")</f>
        <v>1296</v>
      </c>
    </row>
    <row r="3482" spans="1:37" x14ac:dyDescent="0.3">
      <c r="A3482" t="s">
        <v>10814</v>
      </c>
      <c r="B3482" t="s">
        <v>10815</v>
      </c>
      <c r="C3482" t="s">
        <v>10816</v>
      </c>
      <c r="D3482" t="s">
        <v>606</v>
      </c>
      <c r="E3482" t="str">
        <f>T("73.530")</f>
        <v>73.530</v>
      </c>
    </row>
    <row r="3483" spans="1:37" x14ac:dyDescent="0.3">
      <c r="A3483" t="s">
        <v>10817</v>
      </c>
      <c r="B3483" t="s">
        <v>10818</v>
      </c>
      <c r="C3483" t="s">
        <v>10819</v>
      </c>
      <c r="D3483" t="s">
        <v>7</v>
      </c>
      <c r="K3483" t="str">
        <f>T("172.510")</f>
        <v>172.510</v>
      </c>
    </row>
    <row r="3484" spans="1:37" x14ac:dyDescent="0.3">
      <c r="A3484" t="s">
        <v>10820</v>
      </c>
      <c r="B3484" t="s">
        <v>10821</v>
      </c>
      <c r="C3484" t="s">
        <v>10822</v>
      </c>
      <c r="D3484" t="s">
        <v>7</v>
      </c>
      <c r="K3484" t="str">
        <f>T("172.510")</f>
        <v>172.510</v>
      </c>
      <c r="AG3484" t="str">
        <f>T("3034")</f>
        <v>3034</v>
      </c>
      <c r="AH3484" t="str">
        <f>T("3")</f>
        <v>3</v>
      </c>
    </row>
    <row r="3485" spans="1:37" x14ac:dyDescent="0.3">
      <c r="A3485" t="s">
        <v>10823</v>
      </c>
      <c r="B3485" t="s">
        <v>10824</v>
      </c>
      <c r="C3485" t="s">
        <v>10825</v>
      </c>
      <c r="D3485" t="s">
        <v>7</v>
      </c>
      <c r="AG3485" t="str">
        <f>T("4684")</f>
        <v>4684</v>
      </c>
      <c r="AH3485" t="str">
        <f>T("25")</f>
        <v>25</v>
      </c>
      <c r="AK3485" t="str">
        <f>T("2078")</f>
        <v>2078</v>
      </c>
    </row>
    <row r="3486" spans="1:37" x14ac:dyDescent="0.3">
      <c r="A3486" t="s">
        <v>10826</v>
      </c>
      <c r="B3486" t="s">
        <v>10827</v>
      </c>
      <c r="C3486" t="s">
        <v>10828</v>
      </c>
    </row>
    <row r="3487" spans="1:37" x14ac:dyDescent="0.3">
      <c r="A3487" t="s">
        <v>10829</v>
      </c>
      <c r="B3487" t="s">
        <v>10830</v>
      </c>
      <c r="C3487" t="s">
        <v>10831</v>
      </c>
      <c r="D3487" t="s">
        <v>773</v>
      </c>
      <c r="K3487" t="str">
        <f>T("172.180")</f>
        <v>172.180</v>
      </c>
      <c r="L3487" t="str">
        <f>T("175.300")</f>
        <v>175.300</v>
      </c>
      <c r="M3487" t="str">
        <f>T("177.2600")</f>
        <v>177.2600</v>
      </c>
      <c r="N3487" t="str">
        <f>T("184.1845")</f>
        <v>184.1845</v>
      </c>
      <c r="AF3487" t="str">
        <f>T("155.2")</f>
        <v>155.2</v>
      </c>
    </row>
    <row r="3488" spans="1:37" x14ac:dyDescent="0.3">
      <c r="A3488" t="s">
        <v>10832</v>
      </c>
      <c r="B3488" t="s">
        <v>10833</v>
      </c>
      <c r="C3488" t="s">
        <v>10834</v>
      </c>
      <c r="K3488" t="str">
        <f>T("172.892")</f>
        <v>172.892</v>
      </c>
      <c r="L3488" t="str">
        <f>T("182.90")</f>
        <v>182.90</v>
      </c>
    </row>
    <row r="3489" spans="1:32" x14ac:dyDescent="0.3">
      <c r="A3489" t="s">
        <v>10835</v>
      </c>
      <c r="B3489" t="s">
        <v>10836</v>
      </c>
      <c r="C3489" t="s">
        <v>10837</v>
      </c>
      <c r="K3489" t="str">
        <f>T("172.892")</f>
        <v>172.892</v>
      </c>
    </row>
    <row r="3490" spans="1:32" x14ac:dyDescent="0.3">
      <c r="A3490" t="s">
        <v>10838</v>
      </c>
      <c r="B3490" t="s">
        <v>10839</v>
      </c>
      <c r="C3490" t="s">
        <v>10840</v>
      </c>
      <c r="K3490" t="str">
        <f>T("172.892")</f>
        <v>172.892</v>
      </c>
    </row>
    <row r="3491" spans="1:32" x14ac:dyDescent="0.3">
      <c r="A3491" t="s">
        <v>10841</v>
      </c>
      <c r="B3491" t="s">
        <v>10842</v>
      </c>
      <c r="C3491" t="s">
        <v>10843</v>
      </c>
      <c r="D3491" t="s">
        <v>10844</v>
      </c>
      <c r="K3491" t="str">
        <f>T("172.892")</f>
        <v>172.892</v>
      </c>
      <c r="L3491" t="str">
        <f>T("175.105")</f>
        <v>175.105</v>
      </c>
      <c r="AF3491" t="s">
        <v>10845</v>
      </c>
    </row>
    <row r="3492" spans="1:32" x14ac:dyDescent="0.3">
      <c r="A3492" t="s">
        <v>10846</v>
      </c>
      <c r="B3492" t="s">
        <v>10847</v>
      </c>
      <c r="C3492" t="s">
        <v>10848</v>
      </c>
      <c r="D3492" t="s">
        <v>2782</v>
      </c>
      <c r="K3492" t="str">
        <f>T("172.892")</f>
        <v>172.892</v>
      </c>
      <c r="L3492" t="str">
        <f>T("175.105")</f>
        <v>175.105</v>
      </c>
    </row>
    <row r="3493" spans="1:32" x14ac:dyDescent="0.3">
      <c r="A3493" t="s">
        <v>10849</v>
      </c>
      <c r="B3493" t="s">
        <v>10850</v>
      </c>
      <c r="C3493" t="s">
        <v>10851</v>
      </c>
      <c r="D3493" t="s">
        <v>802</v>
      </c>
      <c r="K3493" t="str">
        <f>T("175.105")</f>
        <v>175.105</v>
      </c>
    </row>
    <row r="3494" spans="1:32" x14ac:dyDescent="0.3">
      <c r="A3494" t="s">
        <v>10852</v>
      </c>
      <c r="B3494" t="s">
        <v>10853</v>
      </c>
      <c r="C3494" t="s">
        <v>10854</v>
      </c>
      <c r="K3494" t="str">
        <f>T("172.892")</f>
        <v>172.892</v>
      </c>
      <c r="L3494" t="str">
        <f>T("175.105")</f>
        <v>175.105</v>
      </c>
    </row>
    <row r="3495" spans="1:32" x14ac:dyDescent="0.3">
      <c r="A3495" t="s">
        <v>10855</v>
      </c>
      <c r="B3495" t="s">
        <v>10856</v>
      </c>
      <c r="C3495" t="s">
        <v>10857</v>
      </c>
      <c r="D3495" t="s">
        <v>802</v>
      </c>
      <c r="K3495" t="str">
        <f>T("172.892")</f>
        <v>172.892</v>
      </c>
      <c r="L3495" t="str">
        <f>T("175.105")</f>
        <v>175.105</v>
      </c>
    </row>
    <row r="3496" spans="1:32" x14ac:dyDescent="0.3">
      <c r="A3496" t="s">
        <v>10858</v>
      </c>
      <c r="B3496" t="s">
        <v>10859</v>
      </c>
      <c r="C3496" t="s">
        <v>10860</v>
      </c>
      <c r="K3496" t="str">
        <f>T("172.892")</f>
        <v>172.892</v>
      </c>
      <c r="L3496" t="str">
        <f>T("175.105")</f>
        <v>175.105</v>
      </c>
    </row>
    <row r="3497" spans="1:32" x14ac:dyDescent="0.3">
      <c r="A3497" t="s">
        <v>10861</v>
      </c>
      <c r="B3497" t="s">
        <v>10862</v>
      </c>
      <c r="C3497" t="s">
        <v>10863</v>
      </c>
      <c r="K3497" t="str">
        <f>T("172.892")</f>
        <v>172.892</v>
      </c>
      <c r="L3497" t="str">
        <f>T("175.105")</f>
        <v>175.105</v>
      </c>
    </row>
    <row r="3498" spans="1:32" x14ac:dyDescent="0.3">
      <c r="A3498" t="s">
        <v>10864</v>
      </c>
      <c r="B3498" t="s">
        <v>10865</v>
      </c>
      <c r="C3498" t="s">
        <v>10866</v>
      </c>
      <c r="D3498" t="s">
        <v>802</v>
      </c>
      <c r="K3498" t="str">
        <f>T("175.105")</f>
        <v>175.105</v>
      </c>
    </row>
    <row r="3499" spans="1:32" x14ac:dyDescent="0.3">
      <c r="A3499" t="s">
        <v>10867</v>
      </c>
      <c r="B3499" t="s">
        <v>10868</v>
      </c>
      <c r="C3499" t="s">
        <v>10869</v>
      </c>
      <c r="D3499" t="s">
        <v>802</v>
      </c>
      <c r="K3499" t="str">
        <f>T("175.105")</f>
        <v>175.105</v>
      </c>
    </row>
    <row r="3500" spans="1:32" x14ac:dyDescent="0.3">
      <c r="A3500" t="s">
        <v>10870</v>
      </c>
      <c r="B3500" t="s">
        <v>10871</v>
      </c>
      <c r="C3500" t="s">
        <v>10872</v>
      </c>
      <c r="D3500" t="s">
        <v>802</v>
      </c>
      <c r="K3500" t="str">
        <f>T("172.892")</f>
        <v>172.892</v>
      </c>
      <c r="L3500" t="str">
        <f>T("175.105")</f>
        <v>175.105</v>
      </c>
    </row>
    <row r="3501" spans="1:32" x14ac:dyDescent="0.3">
      <c r="A3501" t="s">
        <v>10873</v>
      </c>
      <c r="B3501" t="s">
        <v>10874</v>
      </c>
      <c r="C3501" t="s">
        <v>10875</v>
      </c>
      <c r="D3501" t="s">
        <v>802</v>
      </c>
      <c r="K3501" t="str">
        <f>T("172.892")</f>
        <v>172.892</v>
      </c>
      <c r="L3501" t="str">
        <f>T("175.105")</f>
        <v>175.105</v>
      </c>
    </row>
    <row r="3502" spans="1:32" x14ac:dyDescent="0.3">
      <c r="A3502" t="s">
        <v>10876</v>
      </c>
      <c r="B3502" t="s">
        <v>10877</v>
      </c>
      <c r="C3502" t="s">
        <v>10878</v>
      </c>
      <c r="K3502" t="str">
        <f>T("172.892")</f>
        <v>172.892</v>
      </c>
      <c r="L3502" t="str">
        <f>T("175.105")</f>
        <v>175.105</v>
      </c>
    </row>
    <row r="3503" spans="1:32" x14ac:dyDescent="0.3">
      <c r="A3503" t="s">
        <v>10879</v>
      </c>
      <c r="B3503" t="s">
        <v>10880</v>
      </c>
      <c r="C3503" t="s">
        <v>10881</v>
      </c>
      <c r="D3503" t="s">
        <v>802</v>
      </c>
      <c r="K3503" t="str">
        <f>T("175.105")</f>
        <v>175.105</v>
      </c>
    </row>
    <row r="3504" spans="1:32" x14ac:dyDescent="0.3">
      <c r="A3504" t="s">
        <v>10882</v>
      </c>
      <c r="B3504" t="s">
        <v>10883</v>
      </c>
      <c r="C3504" t="s">
        <v>10884</v>
      </c>
      <c r="D3504" t="s">
        <v>802</v>
      </c>
      <c r="K3504" t="str">
        <f t="shared" ref="K3504:K3515" si="40">T("172.892")</f>
        <v>172.892</v>
      </c>
      <c r="L3504" t="str">
        <f t="shared" ref="L3504:L3515" si="41">T("175.105")</f>
        <v>175.105</v>
      </c>
    </row>
    <row r="3505" spans="1:37" x14ac:dyDescent="0.3">
      <c r="A3505" t="s">
        <v>10885</v>
      </c>
      <c r="B3505" t="s">
        <v>10886</v>
      </c>
      <c r="C3505" t="s">
        <v>10887</v>
      </c>
      <c r="D3505" t="s">
        <v>802</v>
      </c>
      <c r="K3505" t="str">
        <f t="shared" si="40"/>
        <v>172.892</v>
      </c>
      <c r="L3505" t="str">
        <f t="shared" si="41"/>
        <v>175.105</v>
      </c>
    </row>
    <row r="3506" spans="1:37" x14ac:dyDescent="0.3">
      <c r="A3506" t="s">
        <v>10888</v>
      </c>
      <c r="B3506" t="s">
        <v>10889</v>
      </c>
      <c r="C3506" t="s">
        <v>10890</v>
      </c>
      <c r="K3506" t="str">
        <f t="shared" si="40"/>
        <v>172.892</v>
      </c>
      <c r="L3506" t="str">
        <f t="shared" si="41"/>
        <v>175.105</v>
      </c>
    </row>
    <row r="3507" spans="1:37" x14ac:dyDescent="0.3">
      <c r="A3507" t="s">
        <v>10891</v>
      </c>
      <c r="B3507" t="s">
        <v>10892</v>
      </c>
      <c r="C3507" t="s">
        <v>10893</v>
      </c>
      <c r="D3507" t="s">
        <v>802</v>
      </c>
      <c r="K3507" t="str">
        <f t="shared" si="40"/>
        <v>172.892</v>
      </c>
      <c r="L3507" t="str">
        <f t="shared" si="41"/>
        <v>175.105</v>
      </c>
    </row>
    <row r="3508" spans="1:37" x14ac:dyDescent="0.3">
      <c r="A3508" t="s">
        <v>10894</v>
      </c>
      <c r="B3508" t="s">
        <v>10895</v>
      </c>
      <c r="C3508" t="s">
        <v>10896</v>
      </c>
      <c r="D3508" t="s">
        <v>802</v>
      </c>
      <c r="K3508" t="str">
        <f t="shared" si="40"/>
        <v>172.892</v>
      </c>
      <c r="L3508" t="str">
        <f t="shared" si="41"/>
        <v>175.105</v>
      </c>
    </row>
    <row r="3509" spans="1:37" x14ac:dyDescent="0.3">
      <c r="A3509" t="s">
        <v>10897</v>
      </c>
      <c r="B3509" t="s">
        <v>10898</v>
      </c>
      <c r="C3509" t="s">
        <v>10899</v>
      </c>
      <c r="D3509" t="s">
        <v>802</v>
      </c>
      <c r="K3509" t="str">
        <f t="shared" si="40"/>
        <v>172.892</v>
      </c>
      <c r="L3509" t="str">
        <f t="shared" si="41"/>
        <v>175.105</v>
      </c>
    </row>
    <row r="3510" spans="1:37" x14ac:dyDescent="0.3">
      <c r="A3510" t="s">
        <v>10900</v>
      </c>
      <c r="B3510" t="s">
        <v>10901</v>
      </c>
      <c r="C3510" t="s">
        <v>10902</v>
      </c>
      <c r="D3510" t="s">
        <v>3431</v>
      </c>
      <c r="K3510" t="str">
        <f t="shared" si="40"/>
        <v>172.892</v>
      </c>
      <c r="L3510" t="str">
        <f t="shared" si="41"/>
        <v>175.105</v>
      </c>
    </row>
    <row r="3511" spans="1:37" x14ac:dyDescent="0.3">
      <c r="A3511" t="s">
        <v>10903</v>
      </c>
      <c r="B3511" t="s">
        <v>10904</v>
      </c>
      <c r="C3511" t="s">
        <v>10905</v>
      </c>
      <c r="D3511" t="s">
        <v>802</v>
      </c>
      <c r="K3511" t="str">
        <f t="shared" si="40"/>
        <v>172.892</v>
      </c>
      <c r="L3511" t="str">
        <f t="shared" si="41"/>
        <v>175.105</v>
      </c>
    </row>
    <row r="3512" spans="1:37" x14ac:dyDescent="0.3">
      <c r="A3512" t="s">
        <v>10906</v>
      </c>
      <c r="B3512" t="s">
        <v>10907</v>
      </c>
      <c r="C3512" t="s">
        <v>10908</v>
      </c>
      <c r="D3512" t="s">
        <v>802</v>
      </c>
      <c r="K3512" t="str">
        <f t="shared" si="40"/>
        <v>172.892</v>
      </c>
      <c r="L3512" t="str">
        <f t="shared" si="41"/>
        <v>175.105</v>
      </c>
    </row>
    <row r="3513" spans="1:37" x14ac:dyDescent="0.3">
      <c r="A3513" t="s">
        <v>10909</v>
      </c>
      <c r="B3513" t="s">
        <v>10910</v>
      </c>
      <c r="C3513" t="s">
        <v>10911</v>
      </c>
      <c r="D3513" t="s">
        <v>802</v>
      </c>
      <c r="K3513" t="str">
        <f t="shared" si="40"/>
        <v>172.892</v>
      </c>
      <c r="L3513" t="str">
        <f t="shared" si="41"/>
        <v>175.105</v>
      </c>
    </row>
    <row r="3514" spans="1:37" ht="129.6" x14ac:dyDescent="0.3">
      <c r="A3514" t="s">
        <v>10912</v>
      </c>
      <c r="B3514" t="s">
        <v>10913</v>
      </c>
      <c r="C3514" s="1" t="s">
        <v>10914</v>
      </c>
      <c r="D3514" t="s">
        <v>802</v>
      </c>
      <c r="K3514" t="str">
        <f t="shared" si="40"/>
        <v>172.892</v>
      </c>
      <c r="L3514" t="str">
        <f t="shared" si="41"/>
        <v>175.105</v>
      </c>
    </row>
    <row r="3515" spans="1:37" x14ac:dyDescent="0.3">
      <c r="A3515" t="s">
        <v>10915</v>
      </c>
      <c r="B3515" t="s">
        <v>10916</v>
      </c>
      <c r="C3515" t="s">
        <v>10917</v>
      </c>
      <c r="D3515" t="s">
        <v>802</v>
      </c>
      <c r="K3515" t="str">
        <f t="shared" si="40"/>
        <v>172.892</v>
      </c>
      <c r="L3515" t="str">
        <f t="shared" si="41"/>
        <v>175.105</v>
      </c>
    </row>
    <row r="3516" spans="1:37" x14ac:dyDescent="0.3">
      <c r="A3516" t="s">
        <v>10918</v>
      </c>
      <c r="B3516" t="s">
        <v>10919</v>
      </c>
      <c r="C3516" t="s">
        <v>10920</v>
      </c>
      <c r="D3516" t="s">
        <v>802</v>
      </c>
      <c r="K3516" t="str">
        <f>T("175.105")</f>
        <v>175.105</v>
      </c>
    </row>
    <row r="3517" spans="1:37" x14ac:dyDescent="0.3">
      <c r="A3517" t="s">
        <v>10921</v>
      </c>
      <c r="B3517" t="s">
        <v>10922</v>
      </c>
      <c r="C3517" t="s">
        <v>10923</v>
      </c>
      <c r="D3517" t="s">
        <v>802</v>
      </c>
      <c r="K3517" t="str">
        <f>T("175.105")</f>
        <v>175.105</v>
      </c>
      <c r="L3517" t="str">
        <f>T("182.90")</f>
        <v>182.90</v>
      </c>
    </row>
    <row r="3518" spans="1:37" x14ac:dyDescent="0.3">
      <c r="A3518" t="s">
        <v>10924</v>
      </c>
      <c r="B3518" t="s">
        <v>10925</v>
      </c>
      <c r="C3518" t="s">
        <v>10926</v>
      </c>
      <c r="D3518" t="s">
        <v>10927</v>
      </c>
      <c r="K3518" t="str">
        <f>T("175.105")</f>
        <v>175.105</v>
      </c>
      <c r="L3518" t="str">
        <f>T("178.1010")</f>
        <v>178.1010</v>
      </c>
      <c r="M3518" t="str">
        <f>T("182.90")</f>
        <v>182.90</v>
      </c>
      <c r="AF3518" t="s">
        <v>10928</v>
      </c>
    </row>
    <row r="3519" spans="1:37" x14ac:dyDescent="0.3">
      <c r="A3519" t="s">
        <v>10929</v>
      </c>
      <c r="B3519" t="s">
        <v>10930</v>
      </c>
      <c r="C3519" t="s">
        <v>10931</v>
      </c>
      <c r="D3519" t="s">
        <v>10932</v>
      </c>
      <c r="K3519" t="str">
        <f>T("172.210")</f>
        <v>172.210</v>
      </c>
      <c r="L3519" t="str">
        <f>T("172.615")</f>
        <v>172.615</v>
      </c>
      <c r="M3519" t="str">
        <f>T("172.860")</f>
        <v>172.860</v>
      </c>
      <c r="N3519" t="str">
        <f>T("173.340")</f>
        <v>173.340</v>
      </c>
      <c r="O3519" t="str">
        <f>T("175.105")</f>
        <v>175.105</v>
      </c>
      <c r="P3519" t="str">
        <f>T("175.300")</f>
        <v>175.300</v>
      </c>
      <c r="Q3519" t="str">
        <f>T("184.1090")</f>
        <v>184.1090</v>
      </c>
      <c r="AG3519" t="str">
        <f>T("3035")</f>
        <v>3035</v>
      </c>
      <c r="AH3519" t="str">
        <f>T("3")</f>
        <v>3</v>
      </c>
      <c r="AI3519" t="str">
        <f>T("25")</f>
        <v>25</v>
      </c>
      <c r="AK3519" t="str">
        <f>T("116")</f>
        <v>116</v>
      </c>
    </row>
    <row r="3520" spans="1:37" x14ac:dyDescent="0.3">
      <c r="A3520" t="s">
        <v>10933</v>
      </c>
      <c r="B3520" t="s">
        <v>10934</v>
      </c>
      <c r="C3520" t="s">
        <v>10935</v>
      </c>
      <c r="D3520" t="s">
        <v>10936</v>
      </c>
      <c r="K3520" t="str">
        <f>T("172.755")</f>
        <v>172.755</v>
      </c>
      <c r="L3520" t="str">
        <f>T("172.864")</f>
        <v>172.864</v>
      </c>
      <c r="M3520" t="str">
        <f>T("175.300")</f>
        <v>175.300</v>
      </c>
      <c r="N3520" t="str">
        <f>T("176.180")</f>
        <v>176.180</v>
      </c>
      <c r="O3520" t="str">
        <f>T("176.200")</f>
        <v>176.200</v>
      </c>
      <c r="P3520" t="str">
        <f>T("176.210")</f>
        <v>176.210</v>
      </c>
      <c r="Q3520" t="str">
        <f>T("177.1200")</f>
        <v>177.1200</v>
      </c>
      <c r="R3520" t="str">
        <f>T("177.1390")</f>
        <v>177.1390</v>
      </c>
      <c r="S3520" t="str">
        <f>T("178.3480")</f>
        <v>178.3480</v>
      </c>
    </row>
    <row r="3521" spans="1:37" x14ac:dyDescent="0.3">
      <c r="A3521" t="s">
        <v>10937</v>
      </c>
      <c r="B3521" t="s">
        <v>10938</v>
      </c>
    </row>
    <row r="3522" spans="1:37" x14ac:dyDescent="0.3">
      <c r="A3522" t="s">
        <v>10939</v>
      </c>
      <c r="B3522" t="s">
        <v>10940</v>
      </c>
      <c r="C3522" t="s">
        <v>10941</v>
      </c>
      <c r="D3522" t="s">
        <v>10942</v>
      </c>
      <c r="K3522" t="str">
        <f>T("184.1851")</f>
        <v>184.1851</v>
      </c>
      <c r="AF3522" t="str">
        <f>T("166.11")</f>
        <v>166.11</v>
      </c>
    </row>
    <row r="3523" spans="1:37" x14ac:dyDescent="0.3">
      <c r="A3523" t="s">
        <v>10943</v>
      </c>
      <c r="B3523" t="s">
        <v>10944</v>
      </c>
      <c r="C3523" t="s">
        <v>10945</v>
      </c>
      <c r="D3523" t="s">
        <v>802</v>
      </c>
      <c r="K3523" t="str">
        <f>T("172.755")</f>
        <v>172.755</v>
      </c>
    </row>
    <row r="3524" spans="1:37" x14ac:dyDescent="0.3">
      <c r="A3524" t="s">
        <v>10946</v>
      </c>
      <c r="B3524" t="s">
        <v>10947</v>
      </c>
      <c r="C3524" t="s">
        <v>10948</v>
      </c>
      <c r="D3524" t="s">
        <v>7</v>
      </c>
      <c r="AG3524" t="str">
        <f>T("3972")</f>
        <v>3972</v>
      </c>
      <c r="AH3524" t="str">
        <f>T("20")</f>
        <v>20</v>
      </c>
      <c r="AK3524" t="str">
        <f>T("1092")</f>
        <v>1092</v>
      </c>
    </row>
    <row r="3525" spans="1:37" x14ac:dyDescent="0.3">
      <c r="A3525" t="s">
        <v>10949</v>
      </c>
      <c r="B3525" t="s">
        <v>10950</v>
      </c>
      <c r="C3525" t="s">
        <v>10951</v>
      </c>
      <c r="K3525" t="str">
        <f>T("172.510")</f>
        <v>172.510</v>
      </c>
    </row>
    <row r="3526" spans="1:37" x14ac:dyDescent="0.3">
      <c r="A3526" t="s">
        <v>10952</v>
      </c>
      <c r="B3526" t="s">
        <v>10953</v>
      </c>
      <c r="C3526" t="s">
        <v>10954</v>
      </c>
      <c r="D3526" t="s">
        <v>7</v>
      </c>
      <c r="K3526" t="str">
        <f>T("172.510")</f>
        <v>172.510</v>
      </c>
      <c r="AG3526" t="str">
        <f>T("3037")</f>
        <v>3037</v>
      </c>
      <c r="AH3526" t="str">
        <f>T("3")</f>
        <v>3</v>
      </c>
    </row>
    <row r="3527" spans="1:37" x14ac:dyDescent="0.3">
      <c r="A3527" t="s">
        <v>10955</v>
      </c>
      <c r="B3527" t="s">
        <v>10956</v>
      </c>
      <c r="C3527" t="s">
        <v>10957</v>
      </c>
      <c r="D3527" t="s">
        <v>7</v>
      </c>
      <c r="K3527" t="str">
        <f>T("172.510")</f>
        <v>172.510</v>
      </c>
      <c r="AG3527" t="str">
        <f>T("3036")</f>
        <v>3036</v>
      </c>
      <c r="AH3527" t="str">
        <f>T("3")</f>
        <v>3</v>
      </c>
    </row>
    <row r="3528" spans="1:37" x14ac:dyDescent="0.3">
      <c r="A3528" t="s">
        <v>10958</v>
      </c>
      <c r="B3528" t="s">
        <v>10959</v>
      </c>
      <c r="C3528" t="s">
        <v>10960</v>
      </c>
      <c r="D3528" t="s">
        <v>7</v>
      </c>
      <c r="K3528" t="str">
        <f>T("172.510")</f>
        <v>172.510</v>
      </c>
    </row>
    <row r="3529" spans="1:37" x14ac:dyDescent="0.3">
      <c r="A3529" t="s">
        <v>10961</v>
      </c>
      <c r="B3529" t="s">
        <v>10962</v>
      </c>
      <c r="C3529" t="s">
        <v>10963</v>
      </c>
      <c r="D3529" t="s">
        <v>199</v>
      </c>
      <c r="K3529" t="str">
        <f>T("173.25")</f>
        <v>173.25</v>
      </c>
    </row>
    <row r="3530" spans="1:37" x14ac:dyDescent="0.3">
      <c r="A3530" t="s">
        <v>10964</v>
      </c>
      <c r="B3530" t="s">
        <v>10965</v>
      </c>
      <c r="C3530" t="s">
        <v>10966</v>
      </c>
      <c r="D3530" t="s">
        <v>199</v>
      </c>
      <c r="K3530" t="str">
        <f>T("173.25")</f>
        <v>173.25</v>
      </c>
    </row>
    <row r="3531" spans="1:37" x14ac:dyDescent="0.3">
      <c r="A3531" t="s">
        <v>10967</v>
      </c>
      <c r="B3531" t="s">
        <v>10968</v>
      </c>
      <c r="C3531" t="s">
        <v>10969</v>
      </c>
      <c r="D3531" t="s">
        <v>199</v>
      </c>
      <c r="K3531" t="str">
        <f>T("173.25")</f>
        <v>173.25</v>
      </c>
    </row>
    <row r="3532" spans="1:37" x14ac:dyDescent="0.3">
      <c r="A3532" t="s">
        <v>10970</v>
      </c>
      <c r="B3532" t="s">
        <v>10971</v>
      </c>
      <c r="C3532" t="s">
        <v>10972</v>
      </c>
      <c r="D3532" t="s">
        <v>199</v>
      </c>
      <c r="K3532" t="str">
        <f>T("173.25")</f>
        <v>173.25</v>
      </c>
    </row>
    <row r="3533" spans="1:37" x14ac:dyDescent="0.3">
      <c r="A3533" t="s">
        <v>10973</v>
      </c>
      <c r="B3533" t="s">
        <v>10974</v>
      </c>
      <c r="C3533" t="s">
        <v>10975</v>
      </c>
      <c r="K3533" t="str">
        <f>T("173.25")</f>
        <v>173.25</v>
      </c>
    </row>
    <row r="3534" spans="1:37" x14ac:dyDescent="0.3">
      <c r="A3534" t="s">
        <v>10976</v>
      </c>
      <c r="B3534" t="s">
        <v>10977</v>
      </c>
      <c r="C3534" t="s">
        <v>10978</v>
      </c>
      <c r="D3534" t="s">
        <v>10979</v>
      </c>
      <c r="K3534" t="str">
        <f>T("172.861")</f>
        <v>172.861</v>
      </c>
      <c r="L3534" t="str">
        <f>T("184.1091")</f>
        <v>184.1091</v>
      </c>
      <c r="AG3534" t="str">
        <f>T("4719")</f>
        <v>4719</v>
      </c>
      <c r="AH3534" t="str">
        <f>T("25")</f>
        <v>25</v>
      </c>
    </row>
    <row r="3535" spans="1:37" x14ac:dyDescent="0.3">
      <c r="A3535" t="s">
        <v>10980</v>
      </c>
      <c r="B3535" t="s">
        <v>10981</v>
      </c>
      <c r="C3535" t="s">
        <v>10982</v>
      </c>
      <c r="K3535" t="str">
        <f>T("172.892")</f>
        <v>172.892</v>
      </c>
      <c r="L3535" t="str">
        <f>T("175.300")</f>
        <v>175.300</v>
      </c>
      <c r="M3535" t="str">
        <f>T("175.380")</f>
        <v>175.380</v>
      </c>
      <c r="N3535" t="str">
        <f>T("175.390")</f>
        <v>175.390</v>
      </c>
      <c r="O3535" t="str">
        <f>T("176.170")</f>
        <v>176.170</v>
      </c>
      <c r="P3535" t="str">
        <f>T("177.1210")</f>
        <v>177.1210</v>
      </c>
    </row>
    <row r="3536" spans="1:37" x14ac:dyDescent="0.3">
      <c r="A3536" t="s">
        <v>10983</v>
      </c>
      <c r="B3536" t="s">
        <v>10984</v>
      </c>
      <c r="C3536" t="s">
        <v>10985</v>
      </c>
      <c r="K3536" t="str">
        <f>T("172.230")</f>
        <v>172.230</v>
      </c>
    </row>
    <row r="3537" spans="1:34" x14ac:dyDescent="0.3">
      <c r="A3537" t="s">
        <v>10986</v>
      </c>
      <c r="B3537" t="s">
        <v>10987</v>
      </c>
      <c r="C3537" t="s">
        <v>10988</v>
      </c>
      <c r="D3537" t="s">
        <v>8037</v>
      </c>
      <c r="K3537" t="str">
        <f>T("172.830")</f>
        <v>172.830</v>
      </c>
    </row>
    <row r="3538" spans="1:34" x14ac:dyDescent="0.3">
      <c r="A3538" t="s">
        <v>10989</v>
      </c>
      <c r="B3538" t="s">
        <v>10990</v>
      </c>
      <c r="C3538" t="s">
        <v>10991</v>
      </c>
      <c r="D3538" t="s">
        <v>2687</v>
      </c>
      <c r="K3538" t="str">
        <f>T("172.765")</f>
        <v>172.765</v>
      </c>
    </row>
    <row r="3539" spans="1:34" x14ac:dyDescent="0.3">
      <c r="A3539" t="s">
        <v>10992</v>
      </c>
      <c r="B3539" t="s">
        <v>10993</v>
      </c>
      <c r="C3539" t="s">
        <v>10994</v>
      </c>
      <c r="D3539" t="s">
        <v>5272</v>
      </c>
      <c r="K3539" t="str">
        <f>T("172.831")</f>
        <v>172.831</v>
      </c>
    </row>
    <row r="3540" spans="1:34" x14ac:dyDescent="0.3">
      <c r="A3540" t="s">
        <v>10995</v>
      </c>
      <c r="B3540" t="s">
        <v>10996</v>
      </c>
      <c r="C3540" t="s">
        <v>10997</v>
      </c>
      <c r="D3540" t="s">
        <v>5272</v>
      </c>
      <c r="E3540" t="str">
        <f>T("73.85")</f>
        <v>73.85</v>
      </c>
      <c r="K3540" t="str">
        <f>T("172.810")</f>
        <v>172.810</v>
      </c>
      <c r="L3540" t="str">
        <f>T("172.816")</f>
        <v>172.816</v>
      </c>
      <c r="M3540" t="str">
        <f>T("172.859")</f>
        <v>172.859</v>
      </c>
      <c r="N3540" t="str">
        <f>T("172.861")</f>
        <v>172.861</v>
      </c>
      <c r="O3540" t="str">
        <f>T("172.880")</f>
        <v>172.880</v>
      </c>
      <c r="P3540" t="str">
        <f>T("172.884")</f>
        <v>172.884</v>
      </c>
      <c r="Q3540" t="str">
        <f>T("173.145")</f>
        <v>173.145</v>
      </c>
      <c r="R3540" t="str">
        <f>T("184.1854")</f>
        <v>184.1854</v>
      </c>
      <c r="AF3540" t="s">
        <v>10998</v>
      </c>
    </row>
    <row r="3541" spans="1:34" x14ac:dyDescent="0.3">
      <c r="A3541" t="s">
        <v>10999</v>
      </c>
      <c r="B3541" t="s">
        <v>11000</v>
      </c>
      <c r="C3541" t="s">
        <v>11001</v>
      </c>
      <c r="D3541" t="s">
        <v>4031</v>
      </c>
      <c r="K3541" t="str">
        <f>T("172.833")</f>
        <v>172.833</v>
      </c>
      <c r="L3541" t="str">
        <f>T("175.105")</f>
        <v>175.105</v>
      </c>
    </row>
    <row r="3542" spans="1:34" x14ac:dyDescent="0.3">
      <c r="A3542" t="s">
        <v>11002</v>
      </c>
      <c r="B3542" t="s">
        <v>11003</v>
      </c>
      <c r="C3542" t="s">
        <v>11004</v>
      </c>
      <c r="D3542" t="s">
        <v>8027</v>
      </c>
      <c r="K3542" t="str">
        <f>T("172.859")</f>
        <v>172.859</v>
      </c>
    </row>
    <row r="3543" spans="1:34" x14ac:dyDescent="0.3">
      <c r="A3543" t="s">
        <v>11005</v>
      </c>
      <c r="B3543" t="s">
        <v>11006</v>
      </c>
      <c r="C3543" t="s">
        <v>11007</v>
      </c>
      <c r="D3543" t="s">
        <v>11008</v>
      </c>
    </row>
    <row r="3544" spans="1:34" x14ac:dyDescent="0.3">
      <c r="A3544" t="s">
        <v>11009</v>
      </c>
      <c r="B3544" t="s">
        <v>11010</v>
      </c>
      <c r="C3544" t="s">
        <v>11011</v>
      </c>
      <c r="D3544" t="s">
        <v>7</v>
      </c>
      <c r="AG3544" t="str">
        <f>T("4713")</f>
        <v>4713</v>
      </c>
      <c r="AH3544" t="str">
        <f>T("25")</f>
        <v>25</v>
      </c>
    </row>
    <row r="3545" spans="1:34" x14ac:dyDescent="0.3">
      <c r="A3545" t="s">
        <v>11012</v>
      </c>
      <c r="B3545" t="s">
        <v>11013</v>
      </c>
      <c r="C3545" t="s">
        <v>11014</v>
      </c>
      <c r="D3545" t="s">
        <v>15</v>
      </c>
      <c r="K3545" t="str">
        <f>T("172.515")</f>
        <v>172.515</v>
      </c>
      <c r="L3545" t="str">
        <f>T("175.105")</f>
        <v>175.105</v>
      </c>
      <c r="AG3545" t="str">
        <f>T("3038")</f>
        <v>3038</v>
      </c>
      <c r="AH3545" t="str">
        <f>T("3")</f>
        <v>3</v>
      </c>
    </row>
    <row r="3546" spans="1:34" x14ac:dyDescent="0.3">
      <c r="A3546" t="s">
        <v>11015</v>
      </c>
      <c r="B3546" t="s">
        <v>11016</v>
      </c>
      <c r="C3546" t="s">
        <v>11017</v>
      </c>
      <c r="D3546" t="s">
        <v>1623</v>
      </c>
      <c r="K3546" t="str">
        <f>T("172.869")</f>
        <v>172.869</v>
      </c>
    </row>
    <row r="3547" spans="1:34" x14ac:dyDescent="0.3">
      <c r="A3547" t="s">
        <v>11018</v>
      </c>
      <c r="B3547" t="s">
        <v>11019</v>
      </c>
      <c r="C3547" t="s">
        <v>11020</v>
      </c>
      <c r="D3547" t="s">
        <v>7</v>
      </c>
      <c r="K3547" t="str">
        <f>T("172.585")</f>
        <v>172.585</v>
      </c>
    </row>
    <row r="3548" spans="1:34" x14ac:dyDescent="0.3">
      <c r="A3548" t="s">
        <v>11021</v>
      </c>
      <c r="B3548" t="s">
        <v>11022</v>
      </c>
      <c r="C3548" t="s">
        <v>11023</v>
      </c>
      <c r="D3548" t="s">
        <v>7</v>
      </c>
      <c r="AG3548" t="str">
        <f>T("4229")</f>
        <v>4229</v>
      </c>
      <c r="AH3548" t="str">
        <f>T("22")</f>
        <v>22</v>
      </c>
    </row>
    <row r="3549" spans="1:34" x14ac:dyDescent="0.3">
      <c r="A3549" t="s">
        <v>11024</v>
      </c>
      <c r="B3549" t="s">
        <v>11025</v>
      </c>
      <c r="C3549" t="s">
        <v>11026</v>
      </c>
      <c r="K3549" t="str">
        <f>T("186.1093")</f>
        <v>186.1093</v>
      </c>
    </row>
    <row r="3550" spans="1:34" x14ac:dyDescent="0.3">
      <c r="A3550" t="s">
        <v>11027</v>
      </c>
      <c r="B3550" t="s">
        <v>11028</v>
      </c>
    </row>
    <row r="3551" spans="1:34" x14ac:dyDescent="0.3">
      <c r="A3551" t="s">
        <v>11029</v>
      </c>
      <c r="B3551" t="s">
        <v>11030</v>
      </c>
      <c r="C3551" t="s">
        <v>11031</v>
      </c>
      <c r="D3551" t="s">
        <v>773</v>
      </c>
      <c r="K3551" t="str">
        <f>T("182.3616")</f>
        <v>182.3616</v>
      </c>
      <c r="L3551" t="str">
        <f>T("182.3637")</f>
        <v>182.3637</v>
      </c>
      <c r="M3551" t="str">
        <f>T("182.3739")</f>
        <v>182.3739</v>
      </c>
      <c r="N3551" t="str">
        <f>T("182.3766")</f>
        <v>182.3766</v>
      </c>
      <c r="O3551" t="str">
        <f>T("182.3798")</f>
        <v>182.3798</v>
      </c>
      <c r="P3551" t="str">
        <f>T("182.3862")</f>
        <v>182.3862</v>
      </c>
      <c r="AF3551" t="str">
        <f>T("130.9")</f>
        <v>130.9</v>
      </c>
    </row>
    <row r="3552" spans="1:34" x14ac:dyDescent="0.3">
      <c r="A3552" t="s">
        <v>11032</v>
      </c>
      <c r="B3552" t="s">
        <v>11033</v>
      </c>
      <c r="C3552" t="s">
        <v>11034</v>
      </c>
      <c r="K3552" t="str">
        <f>T("173.25")</f>
        <v>173.25</v>
      </c>
    </row>
    <row r="3553" spans="1:34" x14ac:dyDescent="0.3">
      <c r="A3553" t="s">
        <v>11035</v>
      </c>
      <c r="B3553" t="s">
        <v>11036</v>
      </c>
      <c r="C3553" t="s">
        <v>11037</v>
      </c>
      <c r="D3553" t="s">
        <v>11038</v>
      </c>
      <c r="E3553" t="str">
        <f>T("73.170")</f>
        <v>73.170</v>
      </c>
      <c r="K3553" t="str">
        <f>T("172.892")</f>
        <v>172.892</v>
      </c>
      <c r="L3553" t="str">
        <f>T("182.3862")</f>
        <v>182.3862</v>
      </c>
      <c r="AG3553" t="str">
        <f>T("3039")</f>
        <v>3039</v>
      </c>
      <c r="AH3553" t="str">
        <f>T("3")</f>
        <v>3</v>
      </c>
    </row>
    <row r="3554" spans="1:34" x14ac:dyDescent="0.3">
      <c r="A3554" t="s">
        <v>11039</v>
      </c>
      <c r="B3554" t="s">
        <v>11040</v>
      </c>
      <c r="C3554" t="s">
        <v>11041</v>
      </c>
      <c r="D3554" t="s">
        <v>11042</v>
      </c>
      <c r="E3554" t="str">
        <f>T("73.85")</f>
        <v>73.85</v>
      </c>
      <c r="K3554" t="str">
        <f>T("172.560")</f>
        <v>172.560</v>
      </c>
      <c r="L3554" t="str">
        <f>T("172.892")</f>
        <v>172.892</v>
      </c>
      <c r="M3554" t="str">
        <f>T("173.385")</f>
        <v>173.385</v>
      </c>
      <c r="N3554" t="str">
        <f>T("176.170")</f>
        <v>176.170</v>
      </c>
      <c r="O3554" t="str">
        <f>T("176.180")</f>
        <v>176.180</v>
      </c>
      <c r="P3554" t="str">
        <f>T("176.210")</f>
        <v>176.210</v>
      </c>
      <c r="Q3554" t="str">
        <f>T("177.2800")</f>
        <v>177.2800</v>
      </c>
      <c r="R3554" t="str">
        <f>T("178.1010")</f>
        <v>178.1010</v>
      </c>
      <c r="S3554" t="str">
        <f>T("179.45")</f>
        <v>179.45</v>
      </c>
      <c r="T3554" t="str">
        <f>T("184.1095")</f>
        <v>184.1095</v>
      </c>
    </row>
    <row r="3555" spans="1:34" x14ac:dyDescent="0.3">
      <c r="A3555" t="s">
        <v>11043</v>
      </c>
      <c r="B3555" t="s">
        <v>11044</v>
      </c>
      <c r="C3555" t="s">
        <v>11045</v>
      </c>
      <c r="E3555" t="str">
        <f>T("73.85")</f>
        <v>73.85</v>
      </c>
    </row>
    <row r="3556" spans="1:34" x14ac:dyDescent="0.3">
      <c r="A3556" t="s">
        <v>11046</v>
      </c>
      <c r="B3556" t="s">
        <v>11047</v>
      </c>
      <c r="C3556" t="s">
        <v>11048</v>
      </c>
      <c r="D3556" t="s">
        <v>3104</v>
      </c>
      <c r="AG3556" t="str">
        <f>T("4717")</f>
        <v>4717</v>
      </c>
      <c r="AH3556" t="str">
        <f>T("25")</f>
        <v>25</v>
      </c>
    </row>
    <row r="3557" spans="1:34" x14ac:dyDescent="0.3">
      <c r="A3557" t="s">
        <v>11049</v>
      </c>
      <c r="B3557" t="s">
        <v>11050</v>
      </c>
      <c r="C3557" t="s">
        <v>11051</v>
      </c>
      <c r="D3557" t="s">
        <v>606</v>
      </c>
      <c r="E3557" t="str">
        <f>T("73.295")</f>
        <v>73.295</v>
      </c>
    </row>
    <row r="3558" spans="1:34" x14ac:dyDescent="0.3">
      <c r="A3558" t="s">
        <v>11052</v>
      </c>
      <c r="B3558" t="s">
        <v>11053</v>
      </c>
      <c r="C3558" t="s">
        <v>11054</v>
      </c>
      <c r="D3558" t="s">
        <v>7</v>
      </c>
      <c r="K3558" t="str">
        <f>T("172.510")</f>
        <v>172.510</v>
      </c>
      <c r="AG3558" t="str">
        <f>T("3040")</f>
        <v>3040</v>
      </c>
      <c r="AH3558" t="str">
        <f>T("3")</f>
        <v>3</v>
      </c>
    </row>
    <row r="3559" spans="1:34" x14ac:dyDescent="0.3">
      <c r="A3559" t="s">
        <v>11055</v>
      </c>
      <c r="B3559" t="s">
        <v>11056</v>
      </c>
      <c r="C3559" t="s">
        <v>11057</v>
      </c>
      <c r="D3559" t="s">
        <v>11058</v>
      </c>
      <c r="E3559" t="str">
        <f>T("73.1550")</f>
        <v>73.1550</v>
      </c>
      <c r="K3559" t="str">
        <f>T("175.300")</f>
        <v>175.300</v>
      </c>
      <c r="L3559" t="str">
        <f>T("175.380")</f>
        <v>175.380</v>
      </c>
      <c r="M3559" t="str">
        <f>T("175.390")</f>
        <v>175.390</v>
      </c>
      <c r="N3559" t="str">
        <f>T("176.170")</f>
        <v>176.170</v>
      </c>
      <c r="O3559" t="str">
        <f>T("177.1210")</f>
        <v>177.1210</v>
      </c>
      <c r="P3559" t="str">
        <f>T("177.1350")</f>
        <v>177.1350</v>
      </c>
      <c r="Q3559" t="str">
        <f>T("177.1460")</f>
        <v>177.1460</v>
      </c>
      <c r="R3559" t="str">
        <f>T("178.3297")</f>
        <v>178.3297</v>
      </c>
      <c r="S3559" t="str">
        <f>T("182.70")</f>
        <v>182.70</v>
      </c>
      <c r="T3559" t="str">
        <f>T("182.90")</f>
        <v>182.90</v>
      </c>
    </row>
    <row r="3560" spans="1:34" x14ac:dyDescent="0.3">
      <c r="A3560" t="s">
        <v>11059</v>
      </c>
      <c r="B3560" t="s">
        <v>11060</v>
      </c>
      <c r="C3560" t="s">
        <v>11061</v>
      </c>
      <c r="D3560" t="s">
        <v>2253</v>
      </c>
      <c r="K3560" t="str">
        <f>T("173.340")</f>
        <v>173.340</v>
      </c>
      <c r="L3560" t="str">
        <f>T("175.105")</f>
        <v>175.105</v>
      </c>
      <c r="M3560" t="str">
        <f>T("176.170")</f>
        <v>176.170</v>
      </c>
      <c r="N3560" t="str">
        <f>T("176.180")</f>
        <v>176.180</v>
      </c>
      <c r="O3560" t="str">
        <f>T("176.210")</f>
        <v>176.210</v>
      </c>
      <c r="P3560" t="str">
        <f>T("177.2800")</f>
        <v>177.2800</v>
      </c>
    </row>
    <row r="3561" spans="1:34" x14ac:dyDescent="0.3">
      <c r="A3561" t="s">
        <v>11062</v>
      </c>
      <c r="B3561" t="s">
        <v>11063</v>
      </c>
      <c r="C3561" t="s">
        <v>11064</v>
      </c>
      <c r="D3561" t="s">
        <v>420</v>
      </c>
      <c r="K3561" t="str">
        <f>T("176.170")</f>
        <v>176.170</v>
      </c>
      <c r="L3561" t="str">
        <f>T("176.210")</f>
        <v>176.210</v>
      </c>
      <c r="M3561" t="str">
        <f>T("177.2800")</f>
        <v>177.2800</v>
      </c>
      <c r="N3561" t="str">
        <f>T("182.70")</f>
        <v>182.70</v>
      </c>
    </row>
    <row r="3562" spans="1:34" x14ac:dyDescent="0.3">
      <c r="A3562" t="s">
        <v>11065</v>
      </c>
      <c r="B3562" t="s">
        <v>11066</v>
      </c>
      <c r="C3562" t="s">
        <v>11067</v>
      </c>
      <c r="K3562" t="str">
        <f>T("182.70")</f>
        <v>182.70</v>
      </c>
    </row>
    <row r="3563" spans="1:34" x14ac:dyDescent="0.3">
      <c r="A3563" t="s">
        <v>11068</v>
      </c>
      <c r="B3563" t="s">
        <v>11069</v>
      </c>
      <c r="C3563" t="s">
        <v>11070</v>
      </c>
      <c r="D3563" t="s">
        <v>11071</v>
      </c>
      <c r="K3563" t="str">
        <f>T("176.170")</f>
        <v>176.170</v>
      </c>
      <c r="L3563" t="str">
        <f>T("176.180")</f>
        <v>176.180</v>
      </c>
      <c r="M3563" t="str">
        <f>T("176.210")</f>
        <v>176.210</v>
      </c>
      <c r="N3563" t="str">
        <f>T("177.2800")</f>
        <v>177.2800</v>
      </c>
      <c r="O3563" t="str">
        <f>T("182.70")</f>
        <v>182.70</v>
      </c>
    </row>
    <row r="3564" spans="1:34" x14ac:dyDescent="0.3">
      <c r="A3564" t="s">
        <v>11072</v>
      </c>
      <c r="B3564" t="s">
        <v>11073</v>
      </c>
      <c r="C3564" t="s">
        <v>11074</v>
      </c>
      <c r="K3564" t="str">
        <f>T("173.340")</f>
        <v>173.340</v>
      </c>
      <c r="L3564" t="str">
        <f>T("177.2800")</f>
        <v>177.2800</v>
      </c>
    </row>
    <row r="3565" spans="1:34" x14ac:dyDescent="0.3">
      <c r="A3565" t="s">
        <v>11075</v>
      </c>
      <c r="B3565" t="s">
        <v>11076</v>
      </c>
      <c r="C3565" t="s">
        <v>11077</v>
      </c>
      <c r="D3565" t="s">
        <v>7</v>
      </c>
      <c r="K3565" t="str">
        <f>T("182.20")</f>
        <v>182.20</v>
      </c>
    </row>
    <row r="3566" spans="1:34" x14ac:dyDescent="0.3">
      <c r="A3566" t="s">
        <v>11078</v>
      </c>
      <c r="B3566" t="s">
        <v>11079</v>
      </c>
      <c r="C3566" t="s">
        <v>11080</v>
      </c>
      <c r="D3566" t="s">
        <v>7</v>
      </c>
    </row>
    <row r="3567" spans="1:34" x14ac:dyDescent="0.3">
      <c r="A3567" t="s">
        <v>11081</v>
      </c>
      <c r="B3567" t="s">
        <v>11082</v>
      </c>
      <c r="C3567" t="s">
        <v>11083</v>
      </c>
      <c r="D3567" t="s">
        <v>7</v>
      </c>
      <c r="K3567" t="str">
        <f>T("182.20")</f>
        <v>182.20</v>
      </c>
    </row>
    <row r="3568" spans="1:34" x14ac:dyDescent="0.3">
      <c r="A3568" t="s">
        <v>11084</v>
      </c>
      <c r="B3568" t="s">
        <v>11085</v>
      </c>
      <c r="C3568" t="s">
        <v>11086</v>
      </c>
      <c r="K3568" t="str">
        <f>T("182.20")</f>
        <v>182.20</v>
      </c>
    </row>
    <row r="3569" spans="1:37" x14ac:dyDescent="0.3">
      <c r="A3569" t="s">
        <v>11087</v>
      </c>
      <c r="B3569" t="s">
        <v>11088</v>
      </c>
      <c r="C3569" t="s">
        <v>11089</v>
      </c>
      <c r="D3569" t="s">
        <v>7</v>
      </c>
      <c r="K3569" t="str">
        <f>T("182.20")</f>
        <v>182.20</v>
      </c>
      <c r="AG3569" t="str">
        <f>T("3041")</f>
        <v>3041</v>
      </c>
      <c r="AH3569" t="str">
        <f>T("3")</f>
        <v>3</v>
      </c>
    </row>
    <row r="3570" spans="1:37" x14ac:dyDescent="0.3">
      <c r="A3570" t="s">
        <v>11090</v>
      </c>
      <c r="B3570" t="s">
        <v>11091</v>
      </c>
      <c r="C3570" t="s">
        <v>11092</v>
      </c>
      <c r="D3570" t="s">
        <v>11093</v>
      </c>
      <c r="K3570" t="str">
        <f>T("173.310")</f>
        <v>173.310</v>
      </c>
      <c r="L3570" t="str">
        <f>T("184.1097")</f>
        <v>184.1097</v>
      </c>
      <c r="AG3570" t="str">
        <f>T("3042")</f>
        <v>3042</v>
      </c>
      <c r="AH3570" t="str">
        <f>T("3")</f>
        <v>3</v>
      </c>
    </row>
    <row r="3571" spans="1:37" x14ac:dyDescent="0.3">
      <c r="A3571" t="s">
        <v>11094</v>
      </c>
      <c r="B3571" t="s">
        <v>11095</v>
      </c>
      <c r="C3571" t="s">
        <v>11096</v>
      </c>
      <c r="D3571" t="s">
        <v>7</v>
      </c>
      <c r="K3571" t="str">
        <f>T("172.510")</f>
        <v>172.510</v>
      </c>
    </row>
    <row r="3572" spans="1:37" x14ac:dyDescent="0.3">
      <c r="A3572" t="s">
        <v>11097</v>
      </c>
      <c r="B3572" t="s">
        <v>11098</v>
      </c>
      <c r="C3572" t="s">
        <v>11099</v>
      </c>
      <c r="K3572" t="str">
        <f>T("172.510")</f>
        <v>172.510</v>
      </c>
    </row>
    <row r="3573" spans="1:37" x14ac:dyDescent="0.3">
      <c r="A3573" t="s">
        <v>11100</v>
      </c>
      <c r="B3573" t="s">
        <v>11101</v>
      </c>
      <c r="C3573" t="s">
        <v>11102</v>
      </c>
      <c r="D3573" t="s">
        <v>11103</v>
      </c>
      <c r="K3573" t="str">
        <f>T("182.70")</f>
        <v>182.70</v>
      </c>
    </row>
    <row r="3574" spans="1:37" x14ac:dyDescent="0.3">
      <c r="A3574" t="s">
        <v>11104</v>
      </c>
      <c r="B3574" t="s">
        <v>11105</v>
      </c>
      <c r="C3574" t="s">
        <v>11106</v>
      </c>
      <c r="D3574" t="s">
        <v>7</v>
      </c>
      <c r="K3574" t="str">
        <f>T("182.10")</f>
        <v>182.10</v>
      </c>
      <c r="AF3574" t="str">
        <f>T("101.22")</f>
        <v>101.22</v>
      </c>
      <c r="AG3574" t="str">
        <f>T("3043")</f>
        <v>3043</v>
      </c>
      <c r="AH3574" t="str">
        <f>T("3")</f>
        <v>3</v>
      </c>
    </row>
    <row r="3575" spans="1:37" x14ac:dyDescent="0.3">
      <c r="A3575" t="s">
        <v>11107</v>
      </c>
      <c r="B3575" t="s">
        <v>11108</v>
      </c>
      <c r="C3575" t="s">
        <v>11109</v>
      </c>
      <c r="D3575" t="s">
        <v>7</v>
      </c>
      <c r="K3575" t="str">
        <f>T("182.20")</f>
        <v>182.20</v>
      </c>
    </row>
    <row r="3576" spans="1:37" x14ac:dyDescent="0.3">
      <c r="A3576" t="s">
        <v>11110</v>
      </c>
      <c r="B3576" t="s">
        <v>11111</v>
      </c>
      <c r="C3576" t="s">
        <v>11112</v>
      </c>
      <c r="D3576" t="s">
        <v>7</v>
      </c>
      <c r="K3576" t="str">
        <f>T("182.20")</f>
        <v>182.20</v>
      </c>
      <c r="AG3576" t="str">
        <f>T("2412")</f>
        <v>2412</v>
      </c>
      <c r="AH3576" t="str">
        <f>T("3")</f>
        <v>3</v>
      </c>
    </row>
    <row r="3577" spans="1:37" x14ac:dyDescent="0.3">
      <c r="A3577" t="s">
        <v>11113</v>
      </c>
      <c r="B3577" t="s">
        <v>11114</v>
      </c>
      <c r="C3577" t="s">
        <v>11115</v>
      </c>
      <c r="D3577" t="s">
        <v>7</v>
      </c>
      <c r="AG3577" t="str">
        <f>T("3813")</f>
        <v>3813</v>
      </c>
      <c r="AH3577" t="str">
        <f>T("17")</f>
        <v>17</v>
      </c>
      <c r="AK3577" t="str">
        <f>T("1435")</f>
        <v>1435</v>
      </c>
    </row>
    <row r="3578" spans="1:37" x14ac:dyDescent="0.3">
      <c r="A3578" t="s">
        <v>11116</v>
      </c>
      <c r="B3578" t="s">
        <v>11117</v>
      </c>
      <c r="C3578" t="s">
        <v>11118</v>
      </c>
    </row>
    <row r="3579" spans="1:37" x14ac:dyDescent="0.3">
      <c r="A3579" t="s">
        <v>11119</v>
      </c>
      <c r="B3579" t="s">
        <v>11120</v>
      </c>
      <c r="C3579" t="s">
        <v>11121</v>
      </c>
      <c r="D3579" t="s">
        <v>7</v>
      </c>
      <c r="K3579" t="str">
        <f>T("182.20")</f>
        <v>182.20</v>
      </c>
    </row>
    <row r="3580" spans="1:37" x14ac:dyDescent="0.3">
      <c r="A3580" t="s">
        <v>11122</v>
      </c>
      <c r="B3580" t="s">
        <v>11123</v>
      </c>
      <c r="C3580" t="s">
        <v>11124</v>
      </c>
      <c r="D3580" t="s">
        <v>7</v>
      </c>
      <c r="AG3580" t="str">
        <f>T("3902")</f>
        <v>3902</v>
      </c>
      <c r="AH3580" t="str">
        <f>T("18")</f>
        <v>18</v>
      </c>
    </row>
    <row r="3581" spans="1:37" x14ac:dyDescent="0.3">
      <c r="A3581" t="s">
        <v>11125</v>
      </c>
      <c r="B3581" t="s">
        <v>11126</v>
      </c>
      <c r="C3581" t="s">
        <v>11127</v>
      </c>
      <c r="D3581" t="s">
        <v>1175</v>
      </c>
      <c r="K3581" t="str">
        <f>T("172.280")</f>
        <v>172.280</v>
      </c>
      <c r="L3581" t="str">
        <f>T("175.105")</f>
        <v>175.105</v>
      </c>
      <c r="M3581" t="str">
        <f>T("175.125")</f>
        <v>175.125</v>
      </c>
      <c r="N3581" t="str">
        <f>T("175.320")</f>
        <v>175.320</v>
      </c>
      <c r="O3581" t="str">
        <f>T("177.1200")</f>
        <v>177.1200</v>
      </c>
      <c r="P3581" t="str">
        <f>T("177.2600")</f>
        <v>177.2600</v>
      </c>
      <c r="Q3581" t="str">
        <f>T("178.3930")</f>
        <v>178.3930</v>
      </c>
    </row>
    <row r="3582" spans="1:37" x14ac:dyDescent="0.3">
      <c r="A3582" t="s">
        <v>11128</v>
      </c>
      <c r="B3582" t="s">
        <v>11129</v>
      </c>
      <c r="C3582" t="s">
        <v>11130</v>
      </c>
      <c r="D3582" t="s">
        <v>11131</v>
      </c>
      <c r="E3582" t="str">
        <f>T("73.1")</f>
        <v>73.1</v>
      </c>
      <c r="K3582" t="str">
        <f>T("172.280")</f>
        <v>172.280</v>
      </c>
      <c r="L3582" t="str">
        <f>T("172.615")</f>
        <v>172.615</v>
      </c>
      <c r="M3582" t="str">
        <f>T("175.105")</f>
        <v>175.105</v>
      </c>
      <c r="N3582" t="str">
        <f>T("177.1200")</f>
        <v>177.1200</v>
      </c>
    </row>
    <row r="3583" spans="1:37" x14ac:dyDescent="0.3">
      <c r="A3583" t="s">
        <v>11132</v>
      </c>
      <c r="B3583" t="s">
        <v>11133</v>
      </c>
      <c r="C3583" t="s">
        <v>11134</v>
      </c>
      <c r="D3583" t="s">
        <v>11131</v>
      </c>
      <c r="E3583" t="str">
        <f>T("73.1")</f>
        <v>73.1</v>
      </c>
      <c r="K3583" t="str">
        <f>T("172.615")</f>
        <v>172.615</v>
      </c>
      <c r="L3583" t="str">
        <f>T("175.105")</f>
        <v>175.105</v>
      </c>
      <c r="M3583" t="str">
        <f>T("177.1200")</f>
        <v>177.1200</v>
      </c>
    </row>
    <row r="3584" spans="1:37" x14ac:dyDescent="0.3">
      <c r="A3584" t="s">
        <v>11135</v>
      </c>
      <c r="B3584" t="s">
        <v>11136</v>
      </c>
      <c r="C3584" t="s">
        <v>11137</v>
      </c>
      <c r="D3584" t="s">
        <v>7</v>
      </c>
      <c r="K3584" t="str">
        <f t="shared" ref="K3584:K3596" si="42">T("172.515")</f>
        <v>172.515</v>
      </c>
      <c r="AG3584" t="str">
        <f>T("3558")</f>
        <v>3558</v>
      </c>
      <c r="AH3584" t="str">
        <f>T("11")</f>
        <v>11</v>
      </c>
      <c r="AI3584" t="str">
        <f>T("25")</f>
        <v>25</v>
      </c>
      <c r="AK3584" t="str">
        <f>T("1339")</f>
        <v>1339</v>
      </c>
    </row>
    <row r="3585" spans="1:37" x14ac:dyDescent="0.3">
      <c r="A3585" t="s">
        <v>11138</v>
      </c>
      <c r="B3585" t="s">
        <v>11139</v>
      </c>
      <c r="C3585" t="s">
        <v>11140</v>
      </c>
      <c r="D3585" t="s">
        <v>7</v>
      </c>
      <c r="K3585" t="str">
        <f t="shared" si="42"/>
        <v>172.515</v>
      </c>
      <c r="AG3585" t="str">
        <f>T("3559")</f>
        <v>3559</v>
      </c>
      <c r="AH3585" t="str">
        <f>T("11")</f>
        <v>11</v>
      </c>
      <c r="AK3585" t="str">
        <f>T("1340")</f>
        <v>1340</v>
      </c>
    </row>
    <row r="3586" spans="1:37" x14ac:dyDescent="0.3">
      <c r="A3586" t="s">
        <v>11141</v>
      </c>
      <c r="B3586" t="s">
        <v>11142</v>
      </c>
      <c r="C3586" t="s">
        <v>11143</v>
      </c>
      <c r="D3586" t="s">
        <v>286</v>
      </c>
      <c r="K3586" t="str">
        <f t="shared" si="42"/>
        <v>172.515</v>
      </c>
      <c r="L3586" t="str">
        <f>T("178.1010")</f>
        <v>178.1010</v>
      </c>
      <c r="AG3586" t="str">
        <f>T("3045")</f>
        <v>3045</v>
      </c>
      <c r="AH3586" t="str">
        <f>T("3")</f>
        <v>3</v>
      </c>
      <c r="AK3586" t="str">
        <f>T("366")</f>
        <v>366</v>
      </c>
    </row>
    <row r="3587" spans="1:37" x14ac:dyDescent="0.3">
      <c r="A3587" t="s">
        <v>11144</v>
      </c>
      <c r="B3587" t="s">
        <v>11145</v>
      </c>
      <c r="C3587" t="s">
        <v>11146</v>
      </c>
      <c r="D3587" t="s">
        <v>7</v>
      </c>
      <c r="K3587" t="str">
        <f t="shared" si="42"/>
        <v>172.515</v>
      </c>
      <c r="AG3587" t="str">
        <f>T("3564")</f>
        <v>3564</v>
      </c>
      <c r="AH3587" t="str">
        <f>T("11")</f>
        <v>11</v>
      </c>
      <c r="AK3587" t="str">
        <f>T("374")</f>
        <v>374</v>
      </c>
    </row>
    <row r="3588" spans="1:37" x14ac:dyDescent="0.3">
      <c r="A3588" t="s">
        <v>11147</v>
      </c>
      <c r="B3588" t="s">
        <v>11148</v>
      </c>
      <c r="C3588" t="s">
        <v>11149</v>
      </c>
      <c r="D3588" t="s">
        <v>7</v>
      </c>
      <c r="K3588" t="str">
        <f t="shared" si="42"/>
        <v>172.515</v>
      </c>
      <c r="AG3588" t="str">
        <f>T("3046")</f>
        <v>3046</v>
      </c>
      <c r="AH3588" t="str">
        <f t="shared" ref="AH3588:AH3596" si="43">T("3")</f>
        <v>3</v>
      </c>
      <c r="AK3588" t="str">
        <f>T("1331")</f>
        <v>1331</v>
      </c>
    </row>
    <row r="3589" spans="1:37" x14ac:dyDescent="0.3">
      <c r="A3589" t="s">
        <v>11150</v>
      </c>
      <c r="B3589" t="s">
        <v>11151</v>
      </c>
      <c r="C3589" t="s">
        <v>11152</v>
      </c>
      <c r="D3589" t="s">
        <v>7</v>
      </c>
      <c r="K3589" t="str">
        <f t="shared" si="42"/>
        <v>172.515</v>
      </c>
      <c r="AG3589" t="str">
        <f>T("3047")</f>
        <v>3047</v>
      </c>
      <c r="AH3589" t="str">
        <f t="shared" si="43"/>
        <v>3</v>
      </c>
      <c r="AK3589" t="str">
        <f>T("368")</f>
        <v>368</v>
      </c>
    </row>
    <row r="3590" spans="1:37" x14ac:dyDescent="0.3">
      <c r="A3590" t="s">
        <v>11153</v>
      </c>
      <c r="B3590" t="s">
        <v>11154</v>
      </c>
      <c r="C3590" t="s">
        <v>11155</v>
      </c>
      <c r="D3590" t="s">
        <v>7</v>
      </c>
      <c r="K3590" t="str">
        <f t="shared" si="42"/>
        <v>172.515</v>
      </c>
      <c r="AG3590" t="str">
        <f>T("3048")</f>
        <v>3048</v>
      </c>
      <c r="AH3590" t="str">
        <f t="shared" si="43"/>
        <v>3</v>
      </c>
      <c r="AK3590" t="str">
        <f>T("1542")</f>
        <v>1542</v>
      </c>
    </row>
    <row r="3591" spans="1:37" x14ac:dyDescent="0.3">
      <c r="A3591" t="s">
        <v>11156</v>
      </c>
      <c r="B3591" t="s">
        <v>11157</v>
      </c>
      <c r="C3591" t="s">
        <v>11158</v>
      </c>
      <c r="D3591" t="s">
        <v>7</v>
      </c>
      <c r="K3591" t="str">
        <f t="shared" si="42"/>
        <v>172.515</v>
      </c>
      <c r="AG3591" t="str">
        <f>T("3049")</f>
        <v>3049</v>
      </c>
      <c r="AH3591" t="str">
        <f t="shared" si="43"/>
        <v>3</v>
      </c>
      <c r="AK3591" t="str">
        <f>T("370")</f>
        <v>370</v>
      </c>
    </row>
    <row r="3592" spans="1:37" x14ac:dyDescent="0.3">
      <c r="A3592" t="s">
        <v>11159</v>
      </c>
      <c r="B3592" t="s">
        <v>11160</v>
      </c>
      <c r="C3592" t="s">
        <v>11161</v>
      </c>
      <c r="D3592" t="s">
        <v>7</v>
      </c>
      <c r="K3592" t="str">
        <f t="shared" si="42"/>
        <v>172.515</v>
      </c>
      <c r="AG3592" t="str">
        <f>T("3051")</f>
        <v>3051</v>
      </c>
      <c r="AH3592" t="str">
        <f t="shared" si="43"/>
        <v>3</v>
      </c>
      <c r="AK3592" t="str">
        <f>T("669")</f>
        <v>669</v>
      </c>
    </row>
    <row r="3593" spans="1:37" x14ac:dyDescent="0.3">
      <c r="A3593" t="s">
        <v>11162</v>
      </c>
      <c r="B3593" t="s">
        <v>11163</v>
      </c>
      <c r="C3593" t="s">
        <v>11164</v>
      </c>
      <c r="D3593" t="s">
        <v>7</v>
      </c>
      <c r="K3593" t="str">
        <f t="shared" si="42"/>
        <v>172.515</v>
      </c>
      <c r="AG3593" t="str">
        <f>T("3052")</f>
        <v>3052</v>
      </c>
      <c r="AH3593" t="str">
        <f t="shared" si="43"/>
        <v>3</v>
      </c>
      <c r="AK3593" t="str">
        <f>T("367")</f>
        <v>367</v>
      </c>
    </row>
    <row r="3594" spans="1:37" x14ac:dyDescent="0.3">
      <c r="A3594" t="s">
        <v>11165</v>
      </c>
      <c r="B3594" t="s">
        <v>11166</v>
      </c>
      <c r="C3594" t="s">
        <v>11167</v>
      </c>
      <c r="D3594" t="s">
        <v>7</v>
      </c>
      <c r="K3594" t="str">
        <f t="shared" si="42"/>
        <v>172.515</v>
      </c>
      <c r="AG3594" t="str">
        <f>T("3050")</f>
        <v>3050</v>
      </c>
      <c r="AH3594" t="str">
        <f t="shared" si="43"/>
        <v>3</v>
      </c>
      <c r="AK3594" t="str">
        <f>T("371")</f>
        <v>371</v>
      </c>
    </row>
    <row r="3595" spans="1:37" x14ac:dyDescent="0.3">
      <c r="A3595" t="s">
        <v>11168</v>
      </c>
      <c r="B3595" t="s">
        <v>11169</v>
      </c>
      <c r="C3595" t="s">
        <v>11170</v>
      </c>
      <c r="D3595" t="s">
        <v>7</v>
      </c>
      <c r="K3595" t="str">
        <f t="shared" si="42"/>
        <v>172.515</v>
      </c>
      <c r="AG3595" t="str">
        <f>T("3054")</f>
        <v>3054</v>
      </c>
      <c r="AH3595" t="str">
        <f t="shared" si="43"/>
        <v>3</v>
      </c>
      <c r="AK3595" t="str">
        <f>T("372")</f>
        <v>372</v>
      </c>
    </row>
    <row r="3596" spans="1:37" x14ac:dyDescent="0.3">
      <c r="A3596" t="s">
        <v>11171</v>
      </c>
      <c r="B3596" t="s">
        <v>11172</v>
      </c>
      <c r="C3596" t="s">
        <v>11173</v>
      </c>
      <c r="D3596" t="s">
        <v>7</v>
      </c>
      <c r="K3596" t="str">
        <f t="shared" si="42"/>
        <v>172.515</v>
      </c>
      <c r="AG3596" t="str">
        <f>T("3053")</f>
        <v>3053</v>
      </c>
      <c r="AH3596" t="str">
        <f t="shared" si="43"/>
        <v>3</v>
      </c>
      <c r="AK3596" t="str">
        <f>T("369")</f>
        <v>369</v>
      </c>
    </row>
    <row r="3597" spans="1:37" x14ac:dyDescent="0.3">
      <c r="A3597" t="s">
        <v>11174</v>
      </c>
      <c r="B3597" t="s">
        <v>11175</v>
      </c>
      <c r="C3597" t="s">
        <v>11176</v>
      </c>
      <c r="D3597" t="s">
        <v>773</v>
      </c>
      <c r="K3597" t="str">
        <f>T("172.185")</f>
        <v>172.185</v>
      </c>
      <c r="L3597" t="str">
        <f>T("177.2420")</f>
        <v>177.2420</v>
      </c>
    </row>
    <row r="3598" spans="1:37" x14ac:dyDescent="0.3">
      <c r="A3598" t="s">
        <v>11177</v>
      </c>
      <c r="B3598" t="s">
        <v>11178</v>
      </c>
      <c r="C3598" t="s">
        <v>11179</v>
      </c>
    </row>
    <row r="3599" spans="1:37" x14ac:dyDescent="0.3">
      <c r="A3599" t="s">
        <v>11180</v>
      </c>
      <c r="B3599" t="s">
        <v>11181</v>
      </c>
      <c r="C3599" t="s">
        <v>11182</v>
      </c>
      <c r="D3599" t="s">
        <v>7</v>
      </c>
      <c r="AG3599" t="str">
        <f>T("3590")</f>
        <v>3590</v>
      </c>
      <c r="AH3599" t="str">
        <f>T("11")</f>
        <v>11</v>
      </c>
      <c r="AI3599" t="str">
        <f>T("25")</f>
        <v>25</v>
      </c>
      <c r="AK3599" t="str">
        <f>T("238")</f>
        <v>238</v>
      </c>
    </row>
    <row r="3600" spans="1:37" x14ac:dyDescent="0.3">
      <c r="A3600" t="s">
        <v>11183</v>
      </c>
      <c r="B3600" t="s">
        <v>11184</v>
      </c>
      <c r="C3600" t="s">
        <v>11185</v>
      </c>
      <c r="D3600" t="s">
        <v>7</v>
      </c>
      <c r="AG3600" t="str">
        <f>T("4209")</f>
        <v>4209</v>
      </c>
      <c r="AH3600" t="str">
        <f>T("22")</f>
        <v>22</v>
      </c>
      <c r="AK3600" t="str">
        <f>T("1803")</f>
        <v>1803</v>
      </c>
    </row>
    <row r="3601" spans="1:37" x14ac:dyDescent="0.3">
      <c r="A3601" t="s">
        <v>11186</v>
      </c>
      <c r="B3601" t="s">
        <v>11187</v>
      </c>
      <c r="C3601" t="s">
        <v>11188</v>
      </c>
      <c r="D3601" t="s">
        <v>7</v>
      </c>
      <c r="AG3601" t="str">
        <f>T("4066")</f>
        <v>4066</v>
      </c>
      <c r="AH3601" t="str">
        <f>T("21")</f>
        <v>21</v>
      </c>
      <c r="AK3601" t="str">
        <f>T("1640")</f>
        <v>1640</v>
      </c>
    </row>
    <row r="3602" spans="1:37" x14ac:dyDescent="0.3">
      <c r="A3602" t="s">
        <v>11189</v>
      </c>
      <c r="B3602" t="s">
        <v>11190</v>
      </c>
      <c r="C3602" t="s">
        <v>11191</v>
      </c>
      <c r="D3602" t="s">
        <v>7</v>
      </c>
      <c r="AG3602" t="str">
        <f>T("4448")</f>
        <v>4448</v>
      </c>
      <c r="AH3602" t="str">
        <f>T("24")</f>
        <v>24</v>
      </c>
      <c r="AK3602" t="str">
        <f>T("1997")</f>
        <v>1997</v>
      </c>
    </row>
    <row r="3603" spans="1:37" x14ac:dyDescent="0.3">
      <c r="A3603" t="s">
        <v>11192</v>
      </c>
      <c r="B3603" t="s">
        <v>11193</v>
      </c>
      <c r="C3603" t="s">
        <v>11194</v>
      </c>
      <c r="D3603" t="s">
        <v>199</v>
      </c>
      <c r="K3603" t="str">
        <f>T("173.25")</f>
        <v>173.25</v>
      </c>
    </row>
    <row r="3604" spans="1:37" x14ac:dyDescent="0.3">
      <c r="A3604" t="s">
        <v>11195</v>
      </c>
      <c r="B3604" t="s">
        <v>11196</v>
      </c>
      <c r="C3604" t="s">
        <v>11197</v>
      </c>
      <c r="D3604" t="s">
        <v>7</v>
      </c>
      <c r="AG3604" t="str">
        <f>T("4303")</f>
        <v>4303</v>
      </c>
      <c r="AH3604" t="str">
        <f>T("23")</f>
        <v>23</v>
      </c>
      <c r="AK3604" t="str">
        <f>T("2039")</f>
        <v>2039</v>
      </c>
    </row>
    <row r="3605" spans="1:37" x14ac:dyDescent="0.3">
      <c r="A3605" t="s">
        <v>11198</v>
      </c>
      <c r="B3605" t="s">
        <v>11199</v>
      </c>
      <c r="C3605" t="s">
        <v>11200</v>
      </c>
      <c r="D3605" t="s">
        <v>7</v>
      </c>
      <c r="AG3605" t="str">
        <f>T("3731")</f>
        <v>3731</v>
      </c>
      <c r="AH3605" t="str">
        <f>T("13")</f>
        <v>13</v>
      </c>
      <c r="AK3605" t="str">
        <f>T("976")</f>
        <v>976</v>
      </c>
    </row>
    <row r="3606" spans="1:37" x14ac:dyDescent="0.3">
      <c r="A3606" t="s">
        <v>11201</v>
      </c>
      <c r="B3606" t="s">
        <v>11202</v>
      </c>
      <c r="C3606" t="s">
        <v>11203</v>
      </c>
      <c r="D3606" t="s">
        <v>7</v>
      </c>
      <c r="AG3606" t="str">
        <f>T("3235")</f>
        <v>3235</v>
      </c>
      <c r="AH3606" t="str">
        <f>T("4")</f>
        <v>4</v>
      </c>
      <c r="AI3606" t="str">
        <f>T("25")</f>
        <v>25</v>
      </c>
      <c r="AK3606" t="str">
        <f>T("758")</f>
        <v>758</v>
      </c>
    </row>
    <row r="3607" spans="1:37" x14ac:dyDescent="0.3">
      <c r="A3607" t="s">
        <v>11204</v>
      </c>
      <c r="B3607" t="s">
        <v>11205</v>
      </c>
      <c r="C3607" t="s">
        <v>11206</v>
      </c>
      <c r="D3607" t="s">
        <v>7</v>
      </c>
      <c r="K3607" t="str">
        <f>T("172.515")</f>
        <v>172.515</v>
      </c>
      <c r="AG3607" t="str">
        <f>T("3055")</f>
        <v>3055</v>
      </c>
      <c r="AH3607" t="str">
        <f>T("3")</f>
        <v>3</v>
      </c>
      <c r="AI3607" t="str">
        <f>T("25")</f>
        <v>25</v>
      </c>
      <c r="AK3607" t="str">
        <f>T("1442")</f>
        <v>1442</v>
      </c>
    </row>
    <row r="3608" spans="1:37" x14ac:dyDescent="0.3">
      <c r="A3608" t="s">
        <v>11207</v>
      </c>
      <c r="B3608" t="s">
        <v>11208</v>
      </c>
      <c r="C3608" t="s">
        <v>11209</v>
      </c>
      <c r="D3608" t="s">
        <v>7</v>
      </c>
      <c r="K3608" t="str">
        <f>T("172.515")</f>
        <v>172.515</v>
      </c>
      <c r="L3608" t="str">
        <f>T("175.105")</f>
        <v>175.105</v>
      </c>
      <c r="M3608" t="str">
        <f>T("176.180")</f>
        <v>176.180</v>
      </c>
      <c r="N3608" t="str">
        <f>T("176.210")</f>
        <v>176.210</v>
      </c>
      <c r="AG3608" t="str">
        <f>T("3056")</f>
        <v>3056</v>
      </c>
      <c r="AH3608" t="str">
        <f>T("3")</f>
        <v>3</v>
      </c>
      <c r="AI3608" t="str">
        <f>T("25")</f>
        <v>25</v>
      </c>
      <c r="AK3608" t="str">
        <f>T("1443")</f>
        <v>1443</v>
      </c>
    </row>
    <row r="3609" spans="1:37" x14ac:dyDescent="0.3">
      <c r="A3609" t="s">
        <v>11210</v>
      </c>
      <c r="B3609" t="s">
        <v>11211</v>
      </c>
      <c r="C3609" t="s">
        <v>11212</v>
      </c>
      <c r="D3609" t="s">
        <v>7</v>
      </c>
      <c r="K3609" t="str">
        <f>T("172.515")</f>
        <v>172.515</v>
      </c>
      <c r="AG3609" t="str">
        <f>T("3057")</f>
        <v>3057</v>
      </c>
      <c r="AH3609" t="str">
        <f>T("3")</f>
        <v>3</v>
      </c>
      <c r="AK3609" t="str">
        <f>T("1444")</f>
        <v>1444</v>
      </c>
    </row>
    <row r="3610" spans="1:37" x14ac:dyDescent="0.3">
      <c r="A3610" t="s">
        <v>11213</v>
      </c>
      <c r="B3610" t="s">
        <v>11214</v>
      </c>
      <c r="C3610" t="s">
        <v>11215</v>
      </c>
      <c r="D3610" t="s">
        <v>7</v>
      </c>
      <c r="AG3610" t="str">
        <f>T("3320")</f>
        <v>3320</v>
      </c>
      <c r="AH3610" t="str">
        <f>T("5")</f>
        <v>5</v>
      </c>
      <c r="AK3610" t="str">
        <f>T("1447")</f>
        <v>1447</v>
      </c>
    </row>
    <row r="3611" spans="1:37" x14ac:dyDescent="0.3">
      <c r="A3611" t="s">
        <v>11216</v>
      </c>
      <c r="B3611" t="s">
        <v>11217</v>
      </c>
      <c r="C3611" t="s">
        <v>11218</v>
      </c>
      <c r="D3611" t="s">
        <v>7</v>
      </c>
      <c r="AG3611" t="str">
        <f>T("4535")</f>
        <v>4535</v>
      </c>
      <c r="AH3611" t="str">
        <f>T("24")</f>
        <v>24</v>
      </c>
      <c r="AK3611" t="str">
        <f>T("2093")</f>
        <v>2093</v>
      </c>
    </row>
    <row r="3612" spans="1:37" x14ac:dyDescent="0.3">
      <c r="A3612" t="s">
        <v>11219</v>
      </c>
      <c r="B3612" t="s">
        <v>11220</v>
      </c>
      <c r="C3612" t="s">
        <v>11221</v>
      </c>
      <c r="D3612" t="s">
        <v>7</v>
      </c>
      <c r="K3612" t="str">
        <f>T("172.515")</f>
        <v>172.515</v>
      </c>
      <c r="AG3612" t="str">
        <f>T("3058")</f>
        <v>3058</v>
      </c>
      <c r="AH3612" t="str">
        <f>T("3")</f>
        <v>3</v>
      </c>
      <c r="AI3612" t="str">
        <f>T("25")</f>
        <v>25</v>
      </c>
      <c r="AK3612" t="str">
        <f>T("1445")</f>
        <v>1445</v>
      </c>
    </row>
    <row r="3613" spans="1:37" x14ac:dyDescent="0.3">
      <c r="A3613" t="s">
        <v>11222</v>
      </c>
      <c r="B3613" t="s">
        <v>11223</v>
      </c>
      <c r="C3613" t="s">
        <v>11224</v>
      </c>
      <c r="D3613" t="s">
        <v>7</v>
      </c>
      <c r="K3613" t="str">
        <f>T("172.515")</f>
        <v>172.515</v>
      </c>
      <c r="AG3613" t="str">
        <f>T("3060")</f>
        <v>3060</v>
      </c>
      <c r="AH3613" t="str">
        <f>T("3")</f>
        <v>3</v>
      </c>
      <c r="AK3613" t="str">
        <f>T("357")</f>
        <v>357</v>
      </c>
    </row>
    <row r="3614" spans="1:37" x14ac:dyDescent="0.3">
      <c r="A3614" t="s">
        <v>11225</v>
      </c>
      <c r="B3614" t="s">
        <v>11226</v>
      </c>
      <c r="C3614" t="s">
        <v>11227</v>
      </c>
      <c r="D3614" t="s">
        <v>7</v>
      </c>
      <c r="AG3614" t="str">
        <f>T("3236")</f>
        <v>3236</v>
      </c>
      <c r="AH3614" t="str">
        <f>T("4")</f>
        <v>4</v>
      </c>
      <c r="AI3614" t="str">
        <f>T("25")</f>
        <v>25</v>
      </c>
      <c r="AK3614" t="str">
        <f>T("1237")</f>
        <v>1237</v>
      </c>
    </row>
    <row r="3615" spans="1:37" x14ac:dyDescent="0.3">
      <c r="A3615" t="s">
        <v>11228</v>
      </c>
      <c r="B3615" t="s">
        <v>11229</v>
      </c>
      <c r="C3615" t="s">
        <v>11230</v>
      </c>
      <c r="D3615" t="s">
        <v>7</v>
      </c>
      <c r="K3615" t="str">
        <f>T("172.515")</f>
        <v>172.515</v>
      </c>
      <c r="AG3615" t="str">
        <f>T("3059")</f>
        <v>3059</v>
      </c>
      <c r="AH3615" t="str">
        <f>T("3")</f>
        <v>3</v>
      </c>
      <c r="AI3615" t="str">
        <f>T("25")</f>
        <v>25</v>
      </c>
      <c r="AK3615" t="str">
        <f>T("1121")</f>
        <v>1121</v>
      </c>
    </row>
    <row r="3616" spans="1:37" x14ac:dyDescent="0.3">
      <c r="A3616" t="s">
        <v>11231</v>
      </c>
      <c r="B3616" t="s">
        <v>11232</v>
      </c>
      <c r="C3616" t="s">
        <v>11233</v>
      </c>
      <c r="D3616" t="s">
        <v>7</v>
      </c>
      <c r="AG3616" t="str">
        <f>T("3321")</f>
        <v>3321</v>
      </c>
      <c r="AH3616" t="str">
        <f>T("5")</f>
        <v>5</v>
      </c>
      <c r="AK3616" t="str">
        <f>T("952")</f>
        <v>952</v>
      </c>
    </row>
    <row r="3617" spans="1:37" x14ac:dyDescent="0.3">
      <c r="A3617" t="s">
        <v>11234</v>
      </c>
      <c r="B3617" t="s">
        <v>11235</v>
      </c>
      <c r="C3617" t="s">
        <v>11236</v>
      </c>
      <c r="D3617" t="s">
        <v>7</v>
      </c>
      <c r="AG3617" t="str">
        <f>T("4521")</f>
        <v>4521</v>
      </c>
      <c r="AH3617" t="str">
        <f>T("24")</f>
        <v>24</v>
      </c>
      <c r="AK3617" t="str">
        <f>T("2198")</f>
        <v>2198</v>
      </c>
    </row>
    <row r="3618" spans="1:37" x14ac:dyDescent="0.3">
      <c r="A3618" t="s">
        <v>11237</v>
      </c>
      <c r="B3618" t="s">
        <v>11238</v>
      </c>
      <c r="C3618" t="s">
        <v>11239</v>
      </c>
      <c r="D3618" t="s">
        <v>7</v>
      </c>
      <c r="AG3618" t="str">
        <f>T("4522")</f>
        <v>4522</v>
      </c>
      <c r="AH3618" t="str">
        <f>T("24")</f>
        <v>24</v>
      </c>
      <c r="AK3618" t="str">
        <f>T("2201")</f>
        <v>2201</v>
      </c>
    </row>
    <row r="3619" spans="1:37" x14ac:dyDescent="0.3">
      <c r="A3619" t="s">
        <v>11240</v>
      </c>
      <c r="B3619" t="s">
        <v>11241</v>
      </c>
      <c r="C3619" t="s">
        <v>11242</v>
      </c>
      <c r="K3619" t="str">
        <f>T("172.710")</f>
        <v>172.710</v>
      </c>
    </row>
    <row r="3620" spans="1:37" x14ac:dyDescent="0.3">
      <c r="A3620" t="s">
        <v>11243</v>
      </c>
      <c r="B3620" t="s">
        <v>11244</v>
      </c>
      <c r="C3620" t="s">
        <v>11245</v>
      </c>
      <c r="K3620" t="str">
        <f>T("172.710")</f>
        <v>172.710</v>
      </c>
      <c r="L3620" t="str">
        <f>T("175.105")</f>
        <v>175.105</v>
      </c>
    </row>
    <row r="3621" spans="1:37" x14ac:dyDescent="0.3">
      <c r="A3621" t="s">
        <v>11246</v>
      </c>
      <c r="B3621" t="s">
        <v>11247</v>
      </c>
      <c r="C3621" t="s">
        <v>11248</v>
      </c>
      <c r="K3621" t="str">
        <f>T("172.710")</f>
        <v>172.710</v>
      </c>
      <c r="L3621" t="str">
        <f>T("176.180")</f>
        <v>176.180</v>
      </c>
      <c r="M3621" t="str">
        <f>T("176.210")</f>
        <v>176.210</v>
      </c>
      <c r="N3621" t="str">
        <f>T("177.1680")</f>
        <v>177.1680</v>
      </c>
    </row>
    <row r="3622" spans="1:37" x14ac:dyDescent="0.3">
      <c r="A3622" t="s">
        <v>11249</v>
      </c>
      <c r="B3622" t="s">
        <v>11250</v>
      </c>
      <c r="C3622" t="s">
        <v>11251</v>
      </c>
      <c r="D3622" t="s">
        <v>7</v>
      </c>
      <c r="K3622" t="str">
        <f>T("172.515")</f>
        <v>172.515</v>
      </c>
      <c r="AG3622" t="str">
        <f>T("3061")</f>
        <v>3061</v>
      </c>
      <c r="AH3622" t="str">
        <f>T("3")</f>
        <v>3</v>
      </c>
      <c r="AK3622" t="str">
        <f>T("1111")</f>
        <v>1111</v>
      </c>
    </row>
    <row r="3623" spans="1:37" x14ac:dyDescent="0.3">
      <c r="A3623" t="s">
        <v>11252</v>
      </c>
      <c r="B3623" t="s">
        <v>11253</v>
      </c>
      <c r="C3623" t="s">
        <v>11254</v>
      </c>
      <c r="D3623" t="s">
        <v>7</v>
      </c>
      <c r="AG3623" t="str">
        <f>T("4662")</f>
        <v>4662</v>
      </c>
      <c r="AH3623" t="str">
        <f>T("24")</f>
        <v>24</v>
      </c>
      <c r="AK3623" t="str">
        <f>T("2060")</f>
        <v>2060</v>
      </c>
    </row>
    <row r="3624" spans="1:37" x14ac:dyDescent="0.3">
      <c r="A3624" t="s">
        <v>11255</v>
      </c>
      <c r="B3624" t="s">
        <v>11256</v>
      </c>
      <c r="C3624" t="s">
        <v>11257</v>
      </c>
      <c r="D3624" t="s">
        <v>15</v>
      </c>
      <c r="AG3624" t="str">
        <f>T("3471")</f>
        <v>3471</v>
      </c>
      <c r="AH3624" t="str">
        <f>T("9")</f>
        <v>9</v>
      </c>
      <c r="AI3624" t="str">
        <f>T("25")</f>
        <v>25</v>
      </c>
      <c r="AK3624" t="str">
        <f>T("1240")</f>
        <v>1240</v>
      </c>
    </row>
    <row r="3625" spans="1:37" x14ac:dyDescent="0.3">
      <c r="A3625" t="s">
        <v>11258</v>
      </c>
      <c r="B3625" t="s">
        <v>11259</v>
      </c>
      <c r="C3625" t="s">
        <v>11260</v>
      </c>
      <c r="D3625" t="s">
        <v>7</v>
      </c>
      <c r="AG3625" t="str">
        <f>T("3237")</f>
        <v>3237</v>
      </c>
      <c r="AH3625" t="str">
        <f>T("4")</f>
        <v>4</v>
      </c>
      <c r="AI3625" t="str">
        <f>T("25")</f>
        <v>25</v>
      </c>
      <c r="AK3625" t="str">
        <f>T("780")</f>
        <v>780</v>
      </c>
    </row>
    <row r="3626" spans="1:37" x14ac:dyDescent="0.3">
      <c r="A3626" t="s">
        <v>11261</v>
      </c>
      <c r="B3626" t="s">
        <v>11262</v>
      </c>
      <c r="C3626" t="s">
        <v>11263</v>
      </c>
      <c r="D3626" t="s">
        <v>7</v>
      </c>
      <c r="AG3626" t="str">
        <f>T("3732")</f>
        <v>3732</v>
      </c>
      <c r="AH3626" t="str">
        <f>T("13")</f>
        <v>13</v>
      </c>
      <c r="AI3626" t="str">
        <f>T("22")</f>
        <v>22</v>
      </c>
    </row>
    <row r="3627" spans="1:37" x14ac:dyDescent="0.3">
      <c r="A3627" t="s">
        <v>11264</v>
      </c>
      <c r="B3627" t="s">
        <v>11265</v>
      </c>
      <c r="C3627" t="s">
        <v>11266</v>
      </c>
      <c r="D3627" t="s">
        <v>7</v>
      </c>
      <c r="AG3627" t="str">
        <f>T("3814")</f>
        <v>3814</v>
      </c>
      <c r="AH3627" t="str">
        <f>T("17")</f>
        <v>17</v>
      </c>
    </row>
    <row r="3628" spans="1:37" x14ac:dyDescent="0.3">
      <c r="A3628" t="s">
        <v>11267</v>
      </c>
      <c r="B3628" t="s">
        <v>11268</v>
      </c>
      <c r="C3628" t="s">
        <v>11269</v>
      </c>
      <c r="D3628" t="s">
        <v>7</v>
      </c>
      <c r="AG3628" t="str">
        <f>T("3774")</f>
        <v>3774</v>
      </c>
      <c r="AH3628" t="str">
        <f>T("15")</f>
        <v>15</v>
      </c>
      <c r="AK3628" t="str">
        <f>T("1238")</f>
        <v>1238</v>
      </c>
    </row>
    <row r="3629" spans="1:37" x14ac:dyDescent="0.3">
      <c r="A3629" t="s">
        <v>11270</v>
      </c>
      <c r="B3629" t="s">
        <v>11271</v>
      </c>
      <c r="C3629" t="s">
        <v>11272</v>
      </c>
      <c r="D3629" t="s">
        <v>7</v>
      </c>
      <c r="AG3629" t="str">
        <f>T("3591")</f>
        <v>3591</v>
      </c>
      <c r="AH3629" t="str">
        <f>T("11")</f>
        <v>11</v>
      </c>
    </row>
    <row r="3630" spans="1:37" x14ac:dyDescent="0.3">
      <c r="A3630" t="s">
        <v>11273</v>
      </c>
      <c r="B3630" t="s">
        <v>11274</v>
      </c>
      <c r="C3630" t="s">
        <v>11275</v>
      </c>
      <c r="D3630" t="s">
        <v>213</v>
      </c>
      <c r="AF3630" t="s">
        <v>10208</v>
      </c>
    </row>
    <row r="3631" spans="1:37" x14ac:dyDescent="0.3">
      <c r="A3631" t="s">
        <v>11276</v>
      </c>
      <c r="B3631" t="s">
        <v>11277</v>
      </c>
      <c r="C3631" t="s">
        <v>11278</v>
      </c>
      <c r="D3631" t="s">
        <v>137</v>
      </c>
      <c r="K3631" t="str">
        <f>T("184.1878")</f>
        <v>184.1878</v>
      </c>
    </row>
    <row r="3632" spans="1:37" x14ac:dyDescent="0.3">
      <c r="A3632" t="s">
        <v>11279</v>
      </c>
      <c r="B3632" t="s">
        <v>11280</v>
      </c>
      <c r="C3632" t="s">
        <v>11281</v>
      </c>
      <c r="D3632" t="s">
        <v>7</v>
      </c>
      <c r="AG3632" t="str">
        <f>T("3615")</f>
        <v>3615</v>
      </c>
      <c r="AH3632" t="str">
        <f>T("12")</f>
        <v>12</v>
      </c>
      <c r="AK3632" t="str">
        <f>T("1032")</f>
        <v>1032</v>
      </c>
    </row>
    <row r="3633" spans="1:37" x14ac:dyDescent="0.3">
      <c r="A3633" t="s">
        <v>11282</v>
      </c>
      <c r="B3633" t="s">
        <v>11283</v>
      </c>
      <c r="C3633" t="s">
        <v>11284</v>
      </c>
      <c r="D3633" t="s">
        <v>7</v>
      </c>
      <c r="AG3633" t="str">
        <f>T("3323")</f>
        <v>3323</v>
      </c>
      <c r="AH3633" t="str">
        <f>T("5")</f>
        <v>5</v>
      </c>
      <c r="AK3633" t="str">
        <f>T("1053")</f>
        <v>1053</v>
      </c>
    </row>
    <row r="3634" spans="1:37" x14ac:dyDescent="0.3">
      <c r="A3634" t="s">
        <v>11285</v>
      </c>
      <c r="B3634" t="s">
        <v>11286</v>
      </c>
      <c r="C3634" t="s">
        <v>11287</v>
      </c>
      <c r="D3634" t="s">
        <v>7</v>
      </c>
      <c r="AG3634" t="str">
        <f>T("4646")</f>
        <v>4646</v>
      </c>
      <c r="AH3634" t="str">
        <f>T("24")</f>
        <v>24</v>
      </c>
      <c r="AK3634" t="str">
        <f>T("2112")</f>
        <v>2112</v>
      </c>
    </row>
    <row r="3635" spans="1:37" x14ac:dyDescent="0.3">
      <c r="A3635" t="s">
        <v>11288</v>
      </c>
      <c r="B3635" t="s">
        <v>11289</v>
      </c>
      <c r="C3635" t="s">
        <v>11290</v>
      </c>
      <c r="D3635" t="s">
        <v>7</v>
      </c>
      <c r="K3635" t="str">
        <f>T("172.515")</f>
        <v>172.515</v>
      </c>
      <c r="AG3635" t="str">
        <f>T("3062")</f>
        <v>3062</v>
      </c>
      <c r="AH3635" t="str">
        <f>T("3")</f>
        <v>3</v>
      </c>
      <c r="AK3635" t="str">
        <f>T("1052")</f>
        <v>1052</v>
      </c>
    </row>
    <row r="3636" spans="1:37" x14ac:dyDescent="0.3">
      <c r="A3636" t="s">
        <v>11291</v>
      </c>
      <c r="B3636" t="s">
        <v>11292</v>
      </c>
      <c r="C3636" t="s">
        <v>11293</v>
      </c>
      <c r="D3636" t="s">
        <v>7</v>
      </c>
      <c r="AG3636" t="str">
        <f>T("4642")</f>
        <v>4642</v>
      </c>
      <c r="AH3636" t="str">
        <f>T("24")</f>
        <v>24</v>
      </c>
      <c r="AK3636" t="str">
        <f>T("2111")</f>
        <v>2111</v>
      </c>
    </row>
    <row r="3637" spans="1:37" x14ac:dyDescent="0.3">
      <c r="A3637" t="s">
        <v>11294</v>
      </c>
      <c r="B3637" t="s">
        <v>11295</v>
      </c>
      <c r="C3637" t="s">
        <v>11296</v>
      </c>
      <c r="D3637" t="s">
        <v>7</v>
      </c>
      <c r="AG3637" t="str">
        <f>T("4210")</f>
        <v>4210</v>
      </c>
      <c r="AH3637" t="str">
        <f>T("22")</f>
        <v>22</v>
      </c>
      <c r="AK3637" t="str">
        <f>T("1676")</f>
        <v>1676</v>
      </c>
    </row>
    <row r="3638" spans="1:37" x14ac:dyDescent="0.3">
      <c r="A3638" t="s">
        <v>11297</v>
      </c>
      <c r="B3638" t="s">
        <v>11298</v>
      </c>
      <c r="C3638" t="s">
        <v>11299</v>
      </c>
      <c r="D3638" t="s">
        <v>7</v>
      </c>
      <c r="AG3638" t="str">
        <f>T("3238")</f>
        <v>3238</v>
      </c>
      <c r="AH3638" t="str">
        <f>T("4")</f>
        <v>4</v>
      </c>
      <c r="AI3638" t="str">
        <f>T("25")</f>
        <v>25</v>
      </c>
      <c r="AK3638" t="str">
        <f>T("1080")</f>
        <v>1080</v>
      </c>
    </row>
    <row r="3639" spans="1:37" x14ac:dyDescent="0.3">
      <c r="A3639" t="s">
        <v>11300</v>
      </c>
      <c r="B3639" t="s">
        <v>11301</v>
      </c>
      <c r="C3639" t="s">
        <v>11302</v>
      </c>
      <c r="D3639" t="s">
        <v>773</v>
      </c>
      <c r="K3639" t="str">
        <f>T("175.300")</f>
        <v>175.300</v>
      </c>
      <c r="L3639" t="str">
        <f>T("177.1010")</f>
        <v>177.1010</v>
      </c>
      <c r="M3639" t="str">
        <f>T("178.2010")</f>
        <v>178.2010</v>
      </c>
      <c r="N3639" t="str">
        <f>T("181.24")</f>
        <v>181.24</v>
      </c>
      <c r="O3639" t="str">
        <f>T("182.3109")</f>
        <v>182.3109</v>
      </c>
    </row>
    <row r="3640" spans="1:37" x14ac:dyDescent="0.3">
      <c r="A3640" t="s">
        <v>11303</v>
      </c>
      <c r="B3640" t="s">
        <v>11304</v>
      </c>
      <c r="C3640" t="s">
        <v>11305</v>
      </c>
      <c r="D3640" t="s">
        <v>7</v>
      </c>
      <c r="AG3640" t="str">
        <f>T("3472")</f>
        <v>3472</v>
      </c>
      <c r="AH3640" t="str">
        <f>T("9")</f>
        <v>9</v>
      </c>
      <c r="AI3640" t="str">
        <f>T("25")</f>
        <v>25</v>
      </c>
      <c r="AK3640" t="str">
        <f>T("524")</f>
        <v>524</v>
      </c>
    </row>
    <row r="3641" spans="1:37" x14ac:dyDescent="0.3">
      <c r="A3641" t="s">
        <v>11306</v>
      </c>
      <c r="B3641" t="s">
        <v>11307</v>
      </c>
      <c r="C3641" t="s">
        <v>11308</v>
      </c>
      <c r="D3641" t="s">
        <v>184</v>
      </c>
      <c r="AD3641" t="str">
        <f>T("189.190")</f>
        <v>189.190</v>
      </c>
    </row>
    <row r="3642" spans="1:37" x14ac:dyDescent="0.3">
      <c r="A3642" t="s">
        <v>11309</v>
      </c>
      <c r="B3642" t="s">
        <v>11310</v>
      </c>
      <c r="C3642" t="s">
        <v>11311</v>
      </c>
      <c r="D3642" t="s">
        <v>7</v>
      </c>
      <c r="K3642" t="str">
        <f>T("172.510")</f>
        <v>172.510</v>
      </c>
    </row>
    <row r="3643" spans="1:37" x14ac:dyDescent="0.3">
      <c r="A3643" t="s">
        <v>11312</v>
      </c>
      <c r="B3643" t="s">
        <v>11313</v>
      </c>
      <c r="C3643" t="s">
        <v>11314</v>
      </c>
      <c r="D3643" t="s">
        <v>7</v>
      </c>
      <c r="K3643" t="str">
        <f>T("172.510")</f>
        <v>172.510</v>
      </c>
    </row>
    <row r="3644" spans="1:37" x14ac:dyDescent="0.3">
      <c r="A3644" t="s">
        <v>11315</v>
      </c>
      <c r="B3644" t="s">
        <v>11316</v>
      </c>
      <c r="C3644" t="s">
        <v>11317</v>
      </c>
      <c r="D3644" t="s">
        <v>7</v>
      </c>
      <c r="K3644" t="str">
        <f>T("172.510")</f>
        <v>172.510</v>
      </c>
    </row>
    <row r="3645" spans="1:37" x14ac:dyDescent="0.3">
      <c r="A3645" t="s">
        <v>11318</v>
      </c>
      <c r="B3645" t="s">
        <v>11319</v>
      </c>
      <c r="C3645" t="s">
        <v>11320</v>
      </c>
      <c r="D3645" t="s">
        <v>7</v>
      </c>
      <c r="K3645" t="str">
        <f>T("172.510")</f>
        <v>172.510</v>
      </c>
    </row>
    <row r="3646" spans="1:37" x14ac:dyDescent="0.3">
      <c r="A3646" t="s">
        <v>11321</v>
      </c>
      <c r="B3646" t="s">
        <v>11322</v>
      </c>
      <c r="C3646" t="s">
        <v>11323</v>
      </c>
      <c r="D3646" t="s">
        <v>213</v>
      </c>
      <c r="K3646" t="str">
        <f>T("172.320")</f>
        <v>172.320</v>
      </c>
      <c r="AG3646" t="str">
        <f>T("4710")</f>
        <v>4710</v>
      </c>
      <c r="AH3646" t="str">
        <f>T("25")</f>
        <v>25</v>
      </c>
      <c r="AK3646" t="str">
        <f>T("2119")</f>
        <v>2119</v>
      </c>
    </row>
    <row r="3647" spans="1:37" x14ac:dyDescent="0.3">
      <c r="A3647" t="s">
        <v>11324</v>
      </c>
      <c r="B3647" t="s">
        <v>11325</v>
      </c>
      <c r="C3647" t="s">
        <v>11326</v>
      </c>
      <c r="D3647" t="s">
        <v>7</v>
      </c>
      <c r="AG3647" t="str">
        <f>T("3239")</f>
        <v>3239</v>
      </c>
      <c r="AH3647" t="str">
        <f>T("4")</f>
        <v>4</v>
      </c>
      <c r="AI3647" t="str">
        <f>T("25")</f>
        <v>25</v>
      </c>
      <c r="AK3647" t="str">
        <f>T("441")</f>
        <v>441</v>
      </c>
    </row>
    <row r="3648" spans="1:37" x14ac:dyDescent="0.3">
      <c r="A3648" t="s">
        <v>11327</v>
      </c>
      <c r="B3648" t="s">
        <v>11328</v>
      </c>
      <c r="C3648" t="s">
        <v>11329</v>
      </c>
      <c r="D3648" t="s">
        <v>7</v>
      </c>
      <c r="AG3648" t="str">
        <f>T("4079")</f>
        <v>4079</v>
      </c>
      <c r="AH3648" t="str">
        <f>T("22")</f>
        <v>22</v>
      </c>
      <c r="AK3648" t="str">
        <f>T("1865")</f>
        <v>1865</v>
      </c>
    </row>
    <row r="3649" spans="1:37" x14ac:dyDescent="0.3">
      <c r="A3649" t="s">
        <v>11330</v>
      </c>
      <c r="B3649" t="s">
        <v>11331</v>
      </c>
      <c r="C3649" t="s">
        <v>11332</v>
      </c>
      <c r="K3649" t="str">
        <f>T("182.20")</f>
        <v>182.20</v>
      </c>
    </row>
    <row r="3650" spans="1:37" x14ac:dyDescent="0.3">
      <c r="A3650" t="s">
        <v>11333</v>
      </c>
      <c r="B3650" t="s">
        <v>11334</v>
      </c>
      <c r="C3650" t="s">
        <v>11335</v>
      </c>
      <c r="D3650" t="s">
        <v>7</v>
      </c>
      <c r="K3650" t="str">
        <f>T("182.20")</f>
        <v>182.20</v>
      </c>
      <c r="AG3650" t="str">
        <f>T("3064")</f>
        <v>3064</v>
      </c>
      <c r="AH3650" t="str">
        <f>T("3")</f>
        <v>3</v>
      </c>
    </row>
    <row r="3651" spans="1:37" x14ac:dyDescent="0.3">
      <c r="A3651" t="s">
        <v>11336</v>
      </c>
      <c r="B3651" t="s">
        <v>11337</v>
      </c>
      <c r="C3651" t="s">
        <v>11338</v>
      </c>
      <c r="D3651" t="s">
        <v>7</v>
      </c>
      <c r="K3651" t="str">
        <f>T("182.20")</f>
        <v>182.20</v>
      </c>
    </row>
    <row r="3652" spans="1:37" x14ac:dyDescent="0.3">
      <c r="A3652" t="s">
        <v>11339</v>
      </c>
      <c r="B3652" t="s">
        <v>11340</v>
      </c>
      <c r="C3652" t="s">
        <v>11341</v>
      </c>
      <c r="D3652" t="s">
        <v>7</v>
      </c>
      <c r="K3652" t="str">
        <f>T("182.10")</f>
        <v>182.10</v>
      </c>
      <c r="AF3652" t="str">
        <f>T("101.22")</f>
        <v>101.22</v>
      </c>
    </row>
    <row r="3653" spans="1:37" x14ac:dyDescent="0.3">
      <c r="A3653" t="s">
        <v>11342</v>
      </c>
      <c r="B3653" t="s">
        <v>11343</v>
      </c>
      <c r="C3653" t="s">
        <v>11344</v>
      </c>
      <c r="D3653" t="s">
        <v>7</v>
      </c>
      <c r="K3653" t="str">
        <f>T("182.10")</f>
        <v>182.10</v>
      </c>
      <c r="AG3653" t="str">
        <f>T("3063")</f>
        <v>3063</v>
      </c>
      <c r="AH3653" t="str">
        <f>T("3")</f>
        <v>3</v>
      </c>
    </row>
    <row r="3654" spans="1:37" x14ac:dyDescent="0.3">
      <c r="A3654" t="s">
        <v>11345</v>
      </c>
      <c r="B3654" t="s">
        <v>11346</v>
      </c>
      <c r="C3654" t="s">
        <v>11347</v>
      </c>
      <c r="D3654" t="s">
        <v>7</v>
      </c>
      <c r="K3654" t="str">
        <f>T("182.20")</f>
        <v>182.20</v>
      </c>
    </row>
    <row r="3655" spans="1:37" x14ac:dyDescent="0.3">
      <c r="A3655" t="s">
        <v>11348</v>
      </c>
      <c r="B3655" t="s">
        <v>11349</v>
      </c>
      <c r="C3655" t="s">
        <v>11350</v>
      </c>
      <c r="D3655" t="s">
        <v>7</v>
      </c>
      <c r="K3655" t="str">
        <f>T("172.515")</f>
        <v>172.515</v>
      </c>
      <c r="L3655" t="str">
        <f>T("175.105")</f>
        <v>175.105</v>
      </c>
      <c r="AG3655" t="str">
        <f>T("3066")</f>
        <v>3066</v>
      </c>
      <c r="AH3655" t="str">
        <f>T("3")</f>
        <v>3</v>
      </c>
      <c r="AI3655" t="str">
        <f>T("25")</f>
        <v>25</v>
      </c>
      <c r="AK3655" t="str">
        <f>T("709")</f>
        <v>709</v>
      </c>
    </row>
    <row r="3656" spans="1:37" x14ac:dyDescent="0.3">
      <c r="A3656" t="s">
        <v>11351</v>
      </c>
      <c r="B3656" t="s">
        <v>11352</v>
      </c>
      <c r="C3656" t="s">
        <v>11353</v>
      </c>
      <c r="D3656" t="s">
        <v>11354</v>
      </c>
      <c r="E3656" t="str">
        <f>T("73.1575")</f>
        <v>73.1575</v>
      </c>
      <c r="F3656" t="str">
        <f>T("73.2575")</f>
        <v>73.2575</v>
      </c>
      <c r="G3656" t="str">
        <f>T("73.3126")</f>
        <v>73.3126</v>
      </c>
      <c r="H3656" t="str">
        <f>T("73.350")</f>
        <v>73.350</v>
      </c>
      <c r="I3656" t="str">
        <f>T("73.575")</f>
        <v>73.575</v>
      </c>
      <c r="K3656" t="str">
        <f>T("175.105")</f>
        <v>175.105</v>
      </c>
      <c r="L3656" t="str">
        <f>T("175.210")</f>
        <v>175.210</v>
      </c>
      <c r="M3656" t="str">
        <f>T("175.300")</f>
        <v>175.300</v>
      </c>
      <c r="N3656" t="str">
        <f>T("175.380")</f>
        <v>175.380</v>
      </c>
      <c r="O3656" t="str">
        <f>T("175.390")</f>
        <v>175.390</v>
      </c>
      <c r="P3656" t="str">
        <f>T("176.170")</f>
        <v>176.170</v>
      </c>
      <c r="Q3656" t="str">
        <f>T("177.1200")</f>
        <v>177.1200</v>
      </c>
      <c r="R3656" t="str">
        <f>T("177.1210")</f>
        <v>177.1210</v>
      </c>
      <c r="S3656" t="str">
        <f>T("177.1350")</f>
        <v>177.1350</v>
      </c>
      <c r="T3656" t="str">
        <f>T("177.1400")</f>
        <v>177.1400</v>
      </c>
      <c r="U3656" t="str">
        <f>T("177.1460")</f>
        <v>177.1460</v>
      </c>
      <c r="V3656" t="str">
        <f>T("177.1650")</f>
        <v>177.1650</v>
      </c>
      <c r="W3656" t="str">
        <f>T("177.1680")</f>
        <v>177.1680</v>
      </c>
      <c r="X3656" t="str">
        <f>T("177.2260")</f>
        <v>177.2260</v>
      </c>
      <c r="Y3656" t="str">
        <f>T("177.2600")</f>
        <v>177.2600</v>
      </c>
      <c r="Z3656" t="str">
        <f>T("177.2800")</f>
        <v>177.2800</v>
      </c>
      <c r="AA3656" t="str">
        <f>T("178.3297")</f>
        <v>178.3297</v>
      </c>
      <c r="AB3656" t="str">
        <f>T("181.30")</f>
        <v>181.30</v>
      </c>
    </row>
    <row r="3657" spans="1:37" x14ac:dyDescent="0.3">
      <c r="A3657" t="s">
        <v>11355</v>
      </c>
      <c r="B3657" t="s">
        <v>11356</v>
      </c>
      <c r="C3657" t="s">
        <v>11357</v>
      </c>
      <c r="D3657" t="s">
        <v>137</v>
      </c>
      <c r="K3657" t="str">
        <f>T("172.480")</f>
        <v>172.480</v>
      </c>
      <c r="L3657" t="str">
        <f>T("182.8892")</f>
        <v>182.8892</v>
      </c>
    </row>
    <row r="3658" spans="1:37" x14ac:dyDescent="0.3">
      <c r="A3658" t="s">
        <v>11358</v>
      </c>
      <c r="B3658" t="s">
        <v>11359</v>
      </c>
      <c r="C3658" t="s">
        <v>11360</v>
      </c>
      <c r="D3658" t="s">
        <v>11361</v>
      </c>
      <c r="K3658" t="str">
        <f>T("182.3890")</f>
        <v>182.3890</v>
      </c>
      <c r="L3658" t="str">
        <f>T("182.8890")</f>
        <v>182.8890</v>
      </c>
      <c r="M3658" t="str">
        <f>T("182.8892")</f>
        <v>182.8892</v>
      </c>
      <c r="N3658" t="str">
        <f>T("184.1890")</f>
        <v>184.1890</v>
      </c>
      <c r="AF3658" t="s">
        <v>1068</v>
      </c>
    </row>
    <row r="3659" spans="1:37" x14ac:dyDescent="0.3">
      <c r="A3659" t="s">
        <v>11362</v>
      </c>
      <c r="B3659" t="s">
        <v>11363</v>
      </c>
      <c r="C3659" t="s">
        <v>11364</v>
      </c>
      <c r="D3659" t="s">
        <v>7</v>
      </c>
      <c r="K3659" t="str">
        <f>T("172.515")</f>
        <v>172.515</v>
      </c>
      <c r="AG3659" t="str">
        <f>T("3067")</f>
        <v>3067</v>
      </c>
      <c r="AH3659" t="str">
        <f>T("3")</f>
        <v>3</v>
      </c>
      <c r="AK3659" t="str">
        <f>T("867")</f>
        <v>867</v>
      </c>
    </row>
    <row r="3660" spans="1:37" x14ac:dyDescent="0.3">
      <c r="A3660" t="s">
        <v>11365</v>
      </c>
      <c r="B3660" t="s">
        <v>11366</v>
      </c>
      <c r="C3660" t="s">
        <v>11367</v>
      </c>
      <c r="D3660" t="s">
        <v>7</v>
      </c>
      <c r="K3660" t="str">
        <f>T("172.515")</f>
        <v>172.515</v>
      </c>
      <c r="AG3660" t="str">
        <f>T("3068")</f>
        <v>3068</v>
      </c>
      <c r="AH3660" t="str">
        <f>T("3")</f>
        <v>3</v>
      </c>
      <c r="AK3660" t="str">
        <f>T("866")</f>
        <v>866</v>
      </c>
    </row>
    <row r="3661" spans="1:37" x14ac:dyDescent="0.3">
      <c r="A3661" t="s">
        <v>11368</v>
      </c>
      <c r="B3661" t="s">
        <v>11369</v>
      </c>
      <c r="C3661" t="s">
        <v>11370</v>
      </c>
      <c r="D3661" t="s">
        <v>7</v>
      </c>
      <c r="K3661" t="str">
        <f>T("172.510")</f>
        <v>172.510</v>
      </c>
      <c r="AG3661" t="str">
        <f>T("3069")</f>
        <v>3069</v>
      </c>
      <c r="AH3661" t="str">
        <f>T("3")</f>
        <v>3</v>
      </c>
    </row>
    <row r="3662" spans="1:37" x14ac:dyDescent="0.3">
      <c r="A3662" t="s">
        <v>11371</v>
      </c>
      <c r="B3662" t="s">
        <v>11372</v>
      </c>
      <c r="C3662" t="s">
        <v>11373</v>
      </c>
      <c r="D3662" t="s">
        <v>7</v>
      </c>
      <c r="K3662" t="str">
        <f>T("172.510")</f>
        <v>172.510</v>
      </c>
      <c r="AG3662" t="str">
        <f>T("3070")</f>
        <v>3070</v>
      </c>
      <c r="AH3662" t="str">
        <f>T("3")</f>
        <v>3</v>
      </c>
    </row>
    <row r="3663" spans="1:37" x14ac:dyDescent="0.3">
      <c r="A3663" t="s">
        <v>11374</v>
      </c>
      <c r="B3663" t="s">
        <v>11375</v>
      </c>
      <c r="C3663" t="s">
        <v>11376</v>
      </c>
      <c r="D3663" t="s">
        <v>846</v>
      </c>
      <c r="K3663" t="str">
        <f>T("172.736")</f>
        <v>172.736</v>
      </c>
    </row>
    <row r="3664" spans="1:37" x14ac:dyDescent="0.3">
      <c r="A3664" t="s">
        <v>11377</v>
      </c>
      <c r="B3664" t="s">
        <v>11378</v>
      </c>
      <c r="C3664" t="s">
        <v>11379</v>
      </c>
      <c r="D3664" t="s">
        <v>7</v>
      </c>
      <c r="AG3664" t="str">
        <f>T("3240")</f>
        <v>3240</v>
      </c>
      <c r="AH3664" t="str">
        <f>T("4")</f>
        <v>4</v>
      </c>
      <c r="AK3664" t="str">
        <f>T("528")</f>
        <v>528</v>
      </c>
    </row>
    <row r="3665" spans="1:37" x14ac:dyDescent="0.3">
      <c r="A3665" t="s">
        <v>11380</v>
      </c>
      <c r="B3665" t="s">
        <v>11381</v>
      </c>
      <c r="C3665" t="s">
        <v>11382</v>
      </c>
      <c r="D3665" t="s">
        <v>7</v>
      </c>
      <c r="K3665" t="str">
        <f>T("172.515")</f>
        <v>172.515</v>
      </c>
      <c r="AG3665" t="str">
        <f>T("3071")</f>
        <v>3071</v>
      </c>
      <c r="AH3665" t="str">
        <f>T("3")</f>
        <v>3</v>
      </c>
      <c r="AK3665" t="str">
        <f>T("1023")</f>
        <v>1023</v>
      </c>
    </row>
    <row r="3666" spans="1:37" x14ac:dyDescent="0.3">
      <c r="A3666" t="s">
        <v>11383</v>
      </c>
      <c r="B3666" t="s">
        <v>11384</v>
      </c>
      <c r="C3666" t="s">
        <v>11385</v>
      </c>
      <c r="D3666" t="s">
        <v>7</v>
      </c>
      <c r="K3666" t="str">
        <f>T("172.515")</f>
        <v>172.515</v>
      </c>
      <c r="AG3666" t="str">
        <f>T("3072")</f>
        <v>3072</v>
      </c>
      <c r="AH3666" t="str">
        <f>T("3")</f>
        <v>3</v>
      </c>
      <c r="AK3666" t="str">
        <f>T("698")</f>
        <v>698</v>
      </c>
    </row>
    <row r="3667" spans="1:37" x14ac:dyDescent="0.3">
      <c r="A3667" t="s">
        <v>11386</v>
      </c>
      <c r="B3667" t="s">
        <v>11387</v>
      </c>
      <c r="C3667" t="s">
        <v>11388</v>
      </c>
      <c r="D3667" t="s">
        <v>7</v>
      </c>
      <c r="K3667" t="str">
        <f>T("172.515")</f>
        <v>172.515</v>
      </c>
      <c r="AG3667" t="str">
        <f>T("3073")</f>
        <v>3073</v>
      </c>
      <c r="AH3667" t="str">
        <f>T("3")</f>
        <v>3</v>
      </c>
      <c r="AK3667" t="str">
        <f>T("699")</f>
        <v>699</v>
      </c>
    </row>
    <row r="3668" spans="1:37" x14ac:dyDescent="0.3">
      <c r="A3668" t="s">
        <v>11389</v>
      </c>
      <c r="B3668" t="s">
        <v>11390</v>
      </c>
      <c r="C3668" t="s">
        <v>11391</v>
      </c>
      <c r="D3668" t="s">
        <v>7</v>
      </c>
      <c r="K3668" t="str">
        <f>T("172.515")</f>
        <v>172.515</v>
      </c>
      <c r="AG3668" t="str">
        <f>T("3074")</f>
        <v>3074</v>
      </c>
      <c r="AH3668" t="str">
        <f>T("3")</f>
        <v>3</v>
      </c>
      <c r="AK3668" t="str">
        <f>T("817")</f>
        <v>817</v>
      </c>
    </row>
    <row r="3669" spans="1:37" x14ac:dyDescent="0.3">
      <c r="A3669" t="s">
        <v>11392</v>
      </c>
      <c r="B3669" t="s">
        <v>11393</v>
      </c>
      <c r="C3669" t="s">
        <v>11394</v>
      </c>
      <c r="D3669" t="s">
        <v>7</v>
      </c>
      <c r="AG3669" t="str">
        <f>T("3753")</f>
        <v>3753</v>
      </c>
      <c r="AH3669" t="str">
        <f>T("14")</f>
        <v>14</v>
      </c>
      <c r="AK3669" t="str">
        <f>T("700")</f>
        <v>700</v>
      </c>
    </row>
    <row r="3670" spans="1:37" x14ac:dyDescent="0.3">
      <c r="A3670" t="s">
        <v>11395</v>
      </c>
      <c r="B3670" t="s">
        <v>11396</v>
      </c>
      <c r="C3670" t="s">
        <v>11397</v>
      </c>
      <c r="D3670" t="s">
        <v>7</v>
      </c>
      <c r="K3670" t="str">
        <f>T("172.515")</f>
        <v>172.515</v>
      </c>
      <c r="AG3670" t="str">
        <f>T("3075")</f>
        <v>3075</v>
      </c>
      <c r="AH3670" t="str">
        <f>T("3")</f>
        <v>3</v>
      </c>
      <c r="AK3670" t="str">
        <f>T("701")</f>
        <v>701</v>
      </c>
    </row>
    <row r="3671" spans="1:37" x14ac:dyDescent="0.3">
      <c r="A3671" t="s">
        <v>11398</v>
      </c>
      <c r="B3671" t="s">
        <v>11399</v>
      </c>
      <c r="C3671" t="s">
        <v>11400</v>
      </c>
      <c r="D3671" t="s">
        <v>7</v>
      </c>
      <c r="K3671" t="str">
        <f>T("172.515")</f>
        <v>172.515</v>
      </c>
      <c r="AG3671" t="str">
        <f>T("3076")</f>
        <v>3076</v>
      </c>
      <c r="AH3671" t="str">
        <f>T("3")</f>
        <v>3</v>
      </c>
      <c r="AK3671" t="str">
        <f>T("704")</f>
        <v>704</v>
      </c>
    </row>
    <row r="3672" spans="1:37" x14ac:dyDescent="0.3">
      <c r="A3672" t="s">
        <v>11401</v>
      </c>
      <c r="B3672" t="s">
        <v>11402</v>
      </c>
      <c r="C3672" t="s">
        <v>11403</v>
      </c>
      <c r="D3672" t="s">
        <v>7</v>
      </c>
      <c r="AG3672" t="str">
        <f>T("3387")</f>
        <v>3387</v>
      </c>
      <c r="AH3672" t="str">
        <f>T("6")</f>
        <v>6</v>
      </c>
      <c r="AK3672" t="str">
        <f>T("702")</f>
        <v>702</v>
      </c>
    </row>
    <row r="3673" spans="1:37" x14ac:dyDescent="0.3">
      <c r="A3673" t="s">
        <v>11404</v>
      </c>
      <c r="B3673" t="s">
        <v>11405</v>
      </c>
      <c r="C3673" t="s">
        <v>11406</v>
      </c>
      <c r="D3673" t="s">
        <v>7</v>
      </c>
      <c r="AG3673" t="str">
        <f>T("3733")</f>
        <v>3733</v>
      </c>
      <c r="AH3673" t="str">
        <f>T("13")</f>
        <v>13</v>
      </c>
      <c r="AK3673" t="str">
        <f>T("703")</f>
        <v>703</v>
      </c>
    </row>
    <row r="3674" spans="1:37" x14ac:dyDescent="0.3">
      <c r="A3674" t="s">
        <v>11407</v>
      </c>
      <c r="B3674" t="s">
        <v>11408</v>
      </c>
      <c r="C3674" t="s">
        <v>11409</v>
      </c>
      <c r="D3674" t="s">
        <v>7</v>
      </c>
      <c r="K3674" t="str">
        <f>T("172.515")</f>
        <v>172.515</v>
      </c>
      <c r="AG3674" t="str">
        <f>T("3077")</f>
        <v>3077</v>
      </c>
      <c r="AH3674" t="str">
        <f>T("3")</f>
        <v>3</v>
      </c>
      <c r="AK3674" t="str">
        <f>T("705")</f>
        <v>705</v>
      </c>
    </row>
    <row r="3675" spans="1:37" x14ac:dyDescent="0.3">
      <c r="A3675" t="s">
        <v>11410</v>
      </c>
      <c r="B3675" t="s">
        <v>11411</v>
      </c>
      <c r="C3675" t="s">
        <v>11412</v>
      </c>
      <c r="D3675" t="s">
        <v>7</v>
      </c>
      <c r="K3675" t="str">
        <f>T("172.515")</f>
        <v>172.515</v>
      </c>
      <c r="AG3675" t="str">
        <f>T("3078")</f>
        <v>3078</v>
      </c>
      <c r="AH3675" t="str">
        <f>T("3")</f>
        <v>3</v>
      </c>
      <c r="AK3675" t="str">
        <f>T("1471")</f>
        <v>1471</v>
      </c>
    </row>
    <row r="3676" spans="1:37" x14ac:dyDescent="0.3">
      <c r="A3676" t="s">
        <v>11413</v>
      </c>
      <c r="B3676" t="s">
        <v>11414</v>
      </c>
      <c r="C3676" t="s">
        <v>11415</v>
      </c>
      <c r="D3676" t="s">
        <v>7</v>
      </c>
      <c r="AG3676" t="str">
        <f>T("3734")</f>
        <v>3734</v>
      </c>
      <c r="AH3676" t="str">
        <f>T("13")</f>
        <v>13</v>
      </c>
      <c r="AK3676" t="str">
        <f>T("907")</f>
        <v>907</v>
      </c>
    </row>
    <row r="3677" spans="1:37" x14ac:dyDescent="0.3">
      <c r="A3677" t="s">
        <v>11416</v>
      </c>
      <c r="B3677" t="s">
        <v>11417</v>
      </c>
      <c r="C3677" t="s">
        <v>11418</v>
      </c>
      <c r="D3677" t="s">
        <v>7</v>
      </c>
      <c r="E3677" t="str">
        <f>T("73.585")</f>
        <v>73.585</v>
      </c>
      <c r="AG3677" t="str">
        <f>T("4110")</f>
        <v>4110</v>
      </c>
      <c r="AH3677" t="str">
        <f>T("22")</f>
        <v>22</v>
      </c>
    </row>
    <row r="3678" spans="1:37" x14ac:dyDescent="0.3">
      <c r="A3678" t="s">
        <v>11419</v>
      </c>
      <c r="B3678" t="s">
        <v>11420</v>
      </c>
      <c r="C3678" t="s">
        <v>11421</v>
      </c>
      <c r="D3678" t="s">
        <v>7</v>
      </c>
      <c r="AG3678" t="str">
        <f>T("4272")</f>
        <v>4272</v>
      </c>
      <c r="AH3678" t="str">
        <f>T("23")</f>
        <v>23</v>
      </c>
      <c r="AK3678" t="str">
        <f>T("1801")</f>
        <v>1801</v>
      </c>
    </row>
    <row r="3679" spans="1:37" x14ac:dyDescent="0.3">
      <c r="A3679" t="s">
        <v>11422</v>
      </c>
      <c r="B3679" t="s">
        <v>11423</v>
      </c>
      <c r="C3679" t="s">
        <v>11424</v>
      </c>
      <c r="D3679" t="s">
        <v>15</v>
      </c>
      <c r="AG3679" t="str">
        <f>T("3637")</f>
        <v>3637</v>
      </c>
      <c r="AH3679" t="str">
        <f>T("12")</f>
        <v>12</v>
      </c>
      <c r="AK3679" t="str">
        <f>T("1197")</f>
        <v>1197</v>
      </c>
    </row>
    <row r="3680" spans="1:37" x14ac:dyDescent="0.3">
      <c r="A3680" t="s">
        <v>11425</v>
      </c>
      <c r="B3680" t="s">
        <v>11426</v>
      </c>
      <c r="C3680" t="s">
        <v>11427</v>
      </c>
      <c r="D3680" t="s">
        <v>7</v>
      </c>
      <c r="AG3680" t="str">
        <f>T("3377")</f>
        <v>3377</v>
      </c>
      <c r="AH3680" t="s">
        <v>1308</v>
      </c>
      <c r="AI3680" t="str">
        <f>T("25")</f>
        <v>25</v>
      </c>
      <c r="AK3680" t="str">
        <f>T("1186")</f>
        <v>1186</v>
      </c>
    </row>
    <row r="3681" spans="1:37" x14ac:dyDescent="0.3">
      <c r="A3681" t="s">
        <v>11428</v>
      </c>
      <c r="B3681" t="s">
        <v>11429</v>
      </c>
      <c r="C3681" t="s">
        <v>11430</v>
      </c>
      <c r="D3681" t="s">
        <v>7</v>
      </c>
      <c r="AG3681" t="str">
        <f>T("4700")</f>
        <v>4700</v>
      </c>
      <c r="AH3681" t="str">
        <f>T("25")</f>
        <v>25</v>
      </c>
    </row>
    <row r="3682" spans="1:37" x14ac:dyDescent="0.3">
      <c r="A3682" t="s">
        <v>11431</v>
      </c>
      <c r="B3682" t="s">
        <v>11432</v>
      </c>
      <c r="D3682" t="s">
        <v>7</v>
      </c>
      <c r="AG3682" t="str">
        <f>T("4304")</f>
        <v>4304</v>
      </c>
      <c r="AH3682" t="str">
        <f>T("23")</f>
        <v>23</v>
      </c>
      <c r="AK3682" t="str">
        <f>T("1794")</f>
        <v>1794</v>
      </c>
    </row>
    <row r="3683" spans="1:37" x14ac:dyDescent="0.3">
      <c r="A3683" t="s">
        <v>11433</v>
      </c>
      <c r="B3683" t="s">
        <v>11434</v>
      </c>
      <c r="C3683" t="s">
        <v>11435</v>
      </c>
      <c r="D3683" t="s">
        <v>7</v>
      </c>
      <c r="AG3683" t="str">
        <f>T("3493")</f>
        <v>3493</v>
      </c>
      <c r="AH3683" t="str">
        <f>T("10")</f>
        <v>10</v>
      </c>
      <c r="AK3683" t="str">
        <f>T("135")</f>
        <v>135</v>
      </c>
    </row>
    <row r="3684" spans="1:37" x14ac:dyDescent="0.3">
      <c r="A3684" t="s">
        <v>11436</v>
      </c>
      <c r="B3684" t="s">
        <v>11437</v>
      </c>
      <c r="C3684" t="s">
        <v>11438</v>
      </c>
      <c r="D3684" t="s">
        <v>7</v>
      </c>
      <c r="AG3684" t="str">
        <f>T("4356")</f>
        <v>4356</v>
      </c>
      <c r="AH3684" t="str">
        <f>T("23")</f>
        <v>23</v>
      </c>
      <c r="AK3684" t="str">
        <f>T("1621")</f>
        <v>1621</v>
      </c>
    </row>
    <row r="3685" spans="1:37" x14ac:dyDescent="0.3">
      <c r="A3685" t="s">
        <v>11439</v>
      </c>
      <c r="B3685" t="s">
        <v>11440</v>
      </c>
      <c r="C3685" t="s">
        <v>11441</v>
      </c>
      <c r="D3685" t="s">
        <v>7</v>
      </c>
      <c r="K3685" t="str">
        <f>T("172.515")</f>
        <v>172.515</v>
      </c>
      <c r="AG3685" t="str">
        <f>T("2564")</f>
        <v>2564</v>
      </c>
      <c r="AH3685" t="str">
        <f>T("3")</f>
        <v>3</v>
      </c>
      <c r="AI3685" t="str">
        <f>T("25")</f>
        <v>25</v>
      </c>
      <c r="AK3685" t="str">
        <f>T("1355")</f>
        <v>1355</v>
      </c>
    </row>
    <row r="3686" spans="1:37" x14ac:dyDescent="0.3">
      <c r="A3686" t="s">
        <v>11442</v>
      </c>
      <c r="B3686" t="s">
        <v>11443</v>
      </c>
      <c r="C3686" t="s">
        <v>11444</v>
      </c>
      <c r="D3686" t="s">
        <v>7</v>
      </c>
      <c r="AG3686" t="str">
        <f>T("4413")</f>
        <v>4413</v>
      </c>
      <c r="AH3686" t="str">
        <f>T("23")</f>
        <v>23</v>
      </c>
      <c r="AK3686" t="str">
        <f>T("2180")</f>
        <v>2180</v>
      </c>
    </row>
    <row r="3687" spans="1:37" x14ac:dyDescent="0.3">
      <c r="A3687" t="s">
        <v>11445</v>
      </c>
      <c r="B3687" t="s">
        <v>11446</v>
      </c>
      <c r="C3687" t="s">
        <v>11447</v>
      </c>
      <c r="D3687" t="s">
        <v>7</v>
      </c>
      <c r="AG3687" t="str">
        <f>T("4274")</f>
        <v>4274</v>
      </c>
      <c r="AH3687" t="str">
        <f>T("23")</f>
        <v>23</v>
      </c>
      <c r="AK3687" t="str">
        <f>T("1797")</f>
        <v>1797</v>
      </c>
    </row>
    <row r="3688" spans="1:37" x14ac:dyDescent="0.3">
      <c r="A3688" t="s">
        <v>11448</v>
      </c>
      <c r="B3688" t="s">
        <v>11449</v>
      </c>
      <c r="C3688" t="s">
        <v>11450</v>
      </c>
      <c r="D3688" t="s">
        <v>7</v>
      </c>
      <c r="AG3688" t="str">
        <f>T("4302")</f>
        <v>4302</v>
      </c>
      <c r="AH3688" t="str">
        <f>T("23")</f>
        <v>23</v>
      </c>
      <c r="AK3688" t="str">
        <f>T("1642")</f>
        <v>1642</v>
      </c>
    </row>
    <row r="3689" spans="1:37" x14ac:dyDescent="0.3">
      <c r="A3689" t="s">
        <v>11451</v>
      </c>
      <c r="B3689" t="s">
        <v>11452</v>
      </c>
      <c r="C3689" t="s">
        <v>11453</v>
      </c>
      <c r="D3689" t="s">
        <v>7</v>
      </c>
      <c r="AG3689" t="str">
        <f>T("4605")</f>
        <v>4605</v>
      </c>
      <c r="AH3689" t="str">
        <f>T("24")</f>
        <v>24</v>
      </c>
      <c r="AK3689" t="str">
        <f>T("2178")</f>
        <v>2178</v>
      </c>
    </row>
    <row r="3690" spans="1:37" x14ac:dyDescent="0.3">
      <c r="A3690" t="s">
        <v>11454</v>
      </c>
      <c r="B3690" t="s">
        <v>11455</v>
      </c>
      <c r="C3690" t="s">
        <v>11456</v>
      </c>
      <c r="D3690" t="s">
        <v>7</v>
      </c>
      <c r="AG3690" t="str">
        <f>T("4301")</f>
        <v>4301</v>
      </c>
      <c r="AH3690" t="str">
        <f>T("23")</f>
        <v>23</v>
      </c>
      <c r="AK3690" t="str">
        <f>T("1844")</f>
        <v>1844</v>
      </c>
    </row>
    <row r="3691" spans="1:37" x14ac:dyDescent="0.3">
      <c r="A3691" t="s">
        <v>11457</v>
      </c>
      <c r="B3691" t="s">
        <v>11458</v>
      </c>
      <c r="C3691" t="s">
        <v>11459</v>
      </c>
      <c r="D3691" t="s">
        <v>7</v>
      </c>
      <c r="AG3691" t="str">
        <f>T("4552")</f>
        <v>4552</v>
      </c>
      <c r="AH3691" t="str">
        <f>T("24")</f>
        <v>24</v>
      </c>
      <c r="AK3691" t="str">
        <f>T("2163")</f>
        <v>2163</v>
      </c>
    </row>
    <row r="3692" spans="1:37" x14ac:dyDescent="0.3">
      <c r="A3692" t="s">
        <v>11460</v>
      </c>
      <c r="B3692" t="s">
        <v>11461</v>
      </c>
      <c r="C3692" t="s">
        <v>11462</v>
      </c>
      <c r="D3692" t="s">
        <v>7</v>
      </c>
      <c r="AG3692" t="str">
        <f>T("4357")</f>
        <v>4357</v>
      </c>
      <c r="AH3692" t="str">
        <f>T("23")</f>
        <v>23</v>
      </c>
      <c r="AK3692" t="str">
        <f>T("1629")</f>
        <v>1629</v>
      </c>
    </row>
    <row r="3693" spans="1:37" x14ac:dyDescent="0.3">
      <c r="A3693" t="s">
        <v>11463</v>
      </c>
      <c r="B3693" t="s">
        <v>11464</v>
      </c>
      <c r="C3693" t="s">
        <v>11465</v>
      </c>
      <c r="D3693" t="s">
        <v>7</v>
      </c>
      <c r="AG3693" t="str">
        <f>T("4284")</f>
        <v>4284</v>
      </c>
      <c r="AH3693" t="str">
        <f>T("23")</f>
        <v>23</v>
      </c>
      <c r="AK3693" t="str">
        <f>T("2049")</f>
        <v>2049</v>
      </c>
    </row>
    <row r="3694" spans="1:37" x14ac:dyDescent="0.3">
      <c r="A3694" t="s">
        <v>11466</v>
      </c>
      <c r="B3694" t="s">
        <v>11467</v>
      </c>
      <c r="C3694" t="s">
        <v>11468</v>
      </c>
      <c r="D3694" t="s">
        <v>7</v>
      </c>
      <c r="AG3694" t="str">
        <f>T("4724")</f>
        <v>4724</v>
      </c>
      <c r="AH3694" t="str">
        <f>T("25")</f>
        <v>25</v>
      </c>
    </row>
    <row r="3695" spans="1:37" x14ac:dyDescent="0.3">
      <c r="A3695" t="s">
        <v>11469</v>
      </c>
      <c r="B3695" t="s">
        <v>11470</v>
      </c>
      <c r="C3695" t="s">
        <v>11471</v>
      </c>
      <c r="D3695" t="s">
        <v>15</v>
      </c>
      <c r="AG3695" t="str">
        <f>T("3670")</f>
        <v>3670</v>
      </c>
      <c r="AH3695" t="str">
        <f>T("13")</f>
        <v>13</v>
      </c>
      <c r="AI3695" t="str">
        <f>T("25")</f>
        <v>25</v>
      </c>
      <c r="AK3695" t="str">
        <f>T("1196")</f>
        <v>1196</v>
      </c>
    </row>
    <row r="3696" spans="1:37" x14ac:dyDescent="0.3">
      <c r="A3696" t="s">
        <v>11472</v>
      </c>
      <c r="B3696" t="s">
        <v>11473</v>
      </c>
      <c r="C3696" t="s">
        <v>11474</v>
      </c>
      <c r="D3696" t="s">
        <v>7</v>
      </c>
      <c r="AG3696" t="str">
        <f>T("4292")</f>
        <v>4292</v>
      </c>
      <c r="AH3696" t="str">
        <f>T("23")</f>
        <v>23</v>
      </c>
      <c r="AK3696" t="str">
        <f>T("2192")</f>
        <v>2192</v>
      </c>
    </row>
    <row r="3697" spans="1:37" x14ac:dyDescent="0.3">
      <c r="A3697" t="s">
        <v>11475</v>
      </c>
      <c r="B3697" t="s">
        <v>11476</v>
      </c>
      <c r="C3697" t="s">
        <v>11477</v>
      </c>
      <c r="D3697" t="s">
        <v>7</v>
      </c>
      <c r="AG3697" t="str">
        <f>T("4617")</f>
        <v>4617</v>
      </c>
      <c r="AH3697" t="str">
        <f>T("24")</f>
        <v>24</v>
      </c>
      <c r="AK3697" t="str">
        <f>T("2166")</f>
        <v>2166</v>
      </c>
    </row>
    <row r="3698" spans="1:37" x14ac:dyDescent="0.3">
      <c r="A3698" t="s">
        <v>11478</v>
      </c>
      <c r="B3698" t="s">
        <v>11479</v>
      </c>
      <c r="C3698" t="s">
        <v>11480</v>
      </c>
      <c r="D3698" t="s">
        <v>7</v>
      </c>
      <c r="AF3698" t="str">
        <f>T("133.186")</f>
        <v>133.186</v>
      </c>
    </row>
    <row r="3699" spans="1:37" x14ac:dyDescent="0.3">
      <c r="A3699" t="s">
        <v>11481</v>
      </c>
      <c r="B3699" t="s">
        <v>11482</v>
      </c>
      <c r="C3699" t="s">
        <v>11483</v>
      </c>
      <c r="D3699" t="s">
        <v>7</v>
      </c>
      <c r="AG3699" t="str">
        <f>T("4600")</f>
        <v>4600</v>
      </c>
      <c r="AH3699" t="str">
        <f>T("24")</f>
        <v>24</v>
      </c>
    </row>
    <row r="3700" spans="1:37" x14ac:dyDescent="0.3">
      <c r="A3700" t="s">
        <v>11484</v>
      </c>
      <c r="B3700" t="s">
        <v>11485</v>
      </c>
      <c r="C3700" t="s">
        <v>11486</v>
      </c>
      <c r="D3700" t="s">
        <v>11487</v>
      </c>
      <c r="K3700" t="str">
        <f>T("175.300")</f>
        <v>175.300</v>
      </c>
      <c r="L3700" t="str">
        <f>T("175.320")</f>
        <v>175.320</v>
      </c>
      <c r="M3700" t="str">
        <f>T("181.27")</f>
        <v>181.27</v>
      </c>
      <c r="N3700" t="str">
        <f>T("184.1901")</f>
        <v>184.1901</v>
      </c>
      <c r="AG3700" t="str">
        <f>T("2007")</f>
        <v>2007</v>
      </c>
      <c r="AH3700" t="str">
        <f>T("3")</f>
        <v>3</v>
      </c>
      <c r="AK3700" t="str">
        <f>T("920")</f>
        <v>920</v>
      </c>
    </row>
    <row r="3701" spans="1:37" x14ac:dyDescent="0.3">
      <c r="A3701" t="s">
        <v>11488</v>
      </c>
      <c r="B3701" t="s">
        <v>11489</v>
      </c>
      <c r="C3701" t="s">
        <v>11490</v>
      </c>
      <c r="D3701" t="s">
        <v>7</v>
      </c>
      <c r="K3701" t="str">
        <f>T("172.515")</f>
        <v>172.515</v>
      </c>
      <c r="L3701" t="str">
        <f>T("175.105")</f>
        <v>175.105</v>
      </c>
      <c r="M3701" t="str">
        <f>T("175.300")</f>
        <v>175.300</v>
      </c>
      <c r="N3701" t="str">
        <f>T("175.320")</f>
        <v>175.320</v>
      </c>
      <c r="O3701" t="str">
        <f>T("178.3910")</f>
        <v>178.3910</v>
      </c>
      <c r="P3701" t="str">
        <f>T("181.27")</f>
        <v>181.27</v>
      </c>
      <c r="AG3701" t="str">
        <f>T("3080")</f>
        <v>3080</v>
      </c>
      <c r="AH3701" t="str">
        <f>T("3")</f>
        <v>3</v>
      </c>
      <c r="AK3701" t="str">
        <f>T("630")</f>
        <v>630</v>
      </c>
    </row>
    <row r="3702" spans="1:37" x14ac:dyDescent="0.3">
      <c r="A3702" t="s">
        <v>11491</v>
      </c>
      <c r="B3702" t="s">
        <v>11492</v>
      </c>
      <c r="C3702" t="s">
        <v>11493</v>
      </c>
      <c r="D3702" t="s">
        <v>846</v>
      </c>
      <c r="E3702" t="str">
        <f>T("73.345")</f>
        <v>73.345</v>
      </c>
      <c r="F3702" t="str">
        <f>T("73.615")</f>
        <v>73.615</v>
      </c>
      <c r="K3702" t="str">
        <f>T("172.560")</f>
        <v>172.560</v>
      </c>
      <c r="L3702" t="str">
        <f>T("173.290")</f>
        <v>173.290</v>
      </c>
      <c r="M3702" t="str">
        <f>T("175.105")</f>
        <v>175.105</v>
      </c>
      <c r="N3702" t="str">
        <f>T("177.1960")</f>
        <v>177.1960</v>
      </c>
    </row>
    <row r="3703" spans="1:37" x14ac:dyDescent="0.3">
      <c r="A3703" t="s">
        <v>11494</v>
      </c>
      <c r="B3703" t="s">
        <v>11495</v>
      </c>
      <c r="C3703" t="s">
        <v>11496</v>
      </c>
      <c r="D3703" t="s">
        <v>7</v>
      </c>
      <c r="AG3703" t="str">
        <f>T("4335")</f>
        <v>4335</v>
      </c>
      <c r="AH3703" t="str">
        <f>T("23")</f>
        <v>23</v>
      </c>
    </row>
    <row r="3704" spans="1:37" x14ac:dyDescent="0.3">
      <c r="A3704" t="s">
        <v>11497</v>
      </c>
      <c r="B3704" t="s">
        <v>11498</v>
      </c>
      <c r="C3704" t="s">
        <v>11499</v>
      </c>
      <c r="D3704" t="s">
        <v>7</v>
      </c>
      <c r="AG3704" t="str">
        <f>T("4336")</f>
        <v>4336</v>
      </c>
      <c r="AH3704" t="str">
        <f>T("23")</f>
        <v>23</v>
      </c>
    </row>
    <row r="3705" spans="1:37" x14ac:dyDescent="0.3">
      <c r="A3705" t="s">
        <v>11500</v>
      </c>
      <c r="B3705" t="s">
        <v>11501</v>
      </c>
      <c r="C3705" t="s">
        <v>11502</v>
      </c>
      <c r="D3705" t="s">
        <v>15</v>
      </c>
      <c r="AG3705" t="str">
        <f>T("3388")</f>
        <v>3388</v>
      </c>
      <c r="AH3705" t="str">
        <f>T("6")</f>
        <v>6</v>
      </c>
      <c r="AK3705" t="str">
        <f>T("298")</f>
        <v>298</v>
      </c>
    </row>
    <row r="3706" spans="1:37" x14ac:dyDescent="0.3">
      <c r="A3706" t="s">
        <v>11503</v>
      </c>
      <c r="B3706" t="s">
        <v>11504</v>
      </c>
      <c r="C3706" t="s">
        <v>11505</v>
      </c>
      <c r="D3706" t="s">
        <v>7</v>
      </c>
      <c r="AG3706" t="str">
        <f>T("3638")</f>
        <v>3638</v>
      </c>
      <c r="AH3706" t="str">
        <f>T("12")</f>
        <v>12</v>
      </c>
      <c r="AK3706" t="str">
        <f>T("1198")</f>
        <v>1198</v>
      </c>
    </row>
    <row r="3707" spans="1:37" x14ac:dyDescent="0.3">
      <c r="A3707" t="s">
        <v>11506</v>
      </c>
      <c r="B3707" t="s">
        <v>11507</v>
      </c>
      <c r="C3707" t="s">
        <v>11508</v>
      </c>
      <c r="D3707" t="s">
        <v>7</v>
      </c>
      <c r="K3707" t="str">
        <f>T("172.515")</f>
        <v>172.515</v>
      </c>
      <c r="AG3707" t="str">
        <f>T("3082")</f>
        <v>3082</v>
      </c>
      <c r="AH3707" t="str">
        <f>T("3")</f>
        <v>3</v>
      </c>
      <c r="AK3707" t="str">
        <f>T("1359")</f>
        <v>1359</v>
      </c>
    </row>
    <row r="3708" spans="1:37" x14ac:dyDescent="0.3">
      <c r="A3708" t="s">
        <v>11509</v>
      </c>
      <c r="B3708" t="s">
        <v>11510</v>
      </c>
      <c r="C3708" t="s">
        <v>11511</v>
      </c>
      <c r="D3708" t="s">
        <v>846</v>
      </c>
      <c r="K3708" t="str">
        <f>T("173.280")</f>
        <v>173.280</v>
      </c>
    </row>
    <row r="3709" spans="1:37" x14ac:dyDescent="0.3">
      <c r="A3709" t="s">
        <v>11512</v>
      </c>
      <c r="B3709" t="s">
        <v>11513</v>
      </c>
      <c r="C3709" t="s">
        <v>11514</v>
      </c>
      <c r="D3709" t="s">
        <v>4614</v>
      </c>
      <c r="K3709" t="str">
        <f>T("173.315")</f>
        <v>173.315</v>
      </c>
      <c r="L3709" t="str">
        <f>T("175.105")</f>
        <v>175.105</v>
      </c>
      <c r="M3709" t="str">
        <f>T("175.300")</f>
        <v>175.300</v>
      </c>
      <c r="N3709" t="str">
        <f>T("175.380")</f>
        <v>175.380</v>
      </c>
      <c r="O3709" t="str">
        <f>T("175.390")</f>
        <v>175.390</v>
      </c>
      <c r="P3709" t="str">
        <f>T("176.170")</f>
        <v>176.170</v>
      </c>
      <c r="Q3709" t="str">
        <f>T("176.180")</f>
        <v>176.180</v>
      </c>
      <c r="R3709" t="str">
        <f>T("176.200")</f>
        <v>176.200</v>
      </c>
      <c r="S3709" t="str">
        <f>T("176.210")</f>
        <v>176.210</v>
      </c>
      <c r="T3709" t="str">
        <f>T("177.1200")</f>
        <v>177.1200</v>
      </c>
      <c r="U3709" t="str">
        <f>T("177.1210")</f>
        <v>177.1210</v>
      </c>
      <c r="V3709" t="str">
        <f>T("177.1680")</f>
        <v>177.1680</v>
      </c>
      <c r="W3709" t="str">
        <f>T("177.2260")</f>
        <v>177.2260</v>
      </c>
      <c r="X3709" t="str">
        <f>T("177.2600")</f>
        <v>177.2600</v>
      </c>
      <c r="Y3709" t="str">
        <f>T("178.3910")</f>
        <v>178.3910</v>
      </c>
    </row>
    <row r="3710" spans="1:37" x14ac:dyDescent="0.3">
      <c r="A3710" t="s">
        <v>11515</v>
      </c>
      <c r="B3710" t="s">
        <v>11516</v>
      </c>
      <c r="C3710" t="s">
        <v>11517</v>
      </c>
      <c r="D3710" t="s">
        <v>7</v>
      </c>
      <c r="K3710" t="str">
        <f>T("175.105")</f>
        <v>175.105</v>
      </c>
      <c r="L3710" t="str">
        <f>T("177.1580")</f>
        <v>177.1580</v>
      </c>
      <c r="M3710" t="str">
        <f>T("177.1585")</f>
        <v>177.1585</v>
      </c>
      <c r="AG3710" t="str">
        <f>T("4246")</f>
        <v>4246</v>
      </c>
      <c r="AH3710" t="str">
        <f>T("22")</f>
        <v>22</v>
      </c>
      <c r="AK3710" t="str">
        <f>T("1611")</f>
        <v>1611</v>
      </c>
    </row>
    <row r="3711" spans="1:37" x14ac:dyDescent="0.3">
      <c r="A3711" t="s">
        <v>11518</v>
      </c>
      <c r="B3711" t="s">
        <v>11519</v>
      </c>
      <c r="C3711" t="s">
        <v>11520</v>
      </c>
      <c r="D3711" t="s">
        <v>11521</v>
      </c>
      <c r="K3711" t="str">
        <f>T("175.300")</f>
        <v>175.300</v>
      </c>
      <c r="L3711" t="str">
        <f>T("175.320")</f>
        <v>175.320</v>
      </c>
      <c r="M3711" t="str">
        <f>T("181.27")</f>
        <v>181.27</v>
      </c>
      <c r="AG3711" t="str">
        <f>T("3083")</f>
        <v>3083</v>
      </c>
      <c r="AH3711" t="str">
        <f>T("3")</f>
        <v>3</v>
      </c>
      <c r="AI3711" t="str">
        <f>T("25")</f>
        <v>25</v>
      </c>
      <c r="AK3711" t="str">
        <f>T("629")</f>
        <v>629</v>
      </c>
    </row>
    <row r="3712" spans="1:37" x14ac:dyDescent="0.3">
      <c r="A3712" t="s">
        <v>11522</v>
      </c>
      <c r="B3712" t="s">
        <v>11523</v>
      </c>
      <c r="C3712" t="s">
        <v>11524</v>
      </c>
      <c r="D3712" t="s">
        <v>199</v>
      </c>
      <c r="K3712" t="str">
        <f>T("173.25")</f>
        <v>173.25</v>
      </c>
    </row>
    <row r="3713" spans="1:37" x14ac:dyDescent="0.3">
      <c r="A3713" t="s">
        <v>11525</v>
      </c>
      <c r="B3713" t="s">
        <v>11526</v>
      </c>
      <c r="C3713" t="s">
        <v>11527</v>
      </c>
      <c r="K3713" t="str">
        <f>T("173.395")</f>
        <v>173.395</v>
      </c>
    </row>
    <row r="3714" spans="1:37" x14ac:dyDescent="0.3">
      <c r="A3714" t="s">
        <v>11528</v>
      </c>
      <c r="B3714" t="s">
        <v>11529</v>
      </c>
      <c r="C3714" t="s">
        <v>11530</v>
      </c>
      <c r="D3714" t="s">
        <v>773</v>
      </c>
      <c r="K3714" t="str">
        <f>T("172.190")</f>
        <v>172.190</v>
      </c>
      <c r="L3714" t="str">
        <f>T("175.105")</f>
        <v>175.105</v>
      </c>
      <c r="M3714" t="str">
        <f>T("175.300")</f>
        <v>175.300</v>
      </c>
      <c r="N3714" t="str">
        <f>T("177.1010")</f>
        <v>177.1010</v>
      </c>
      <c r="O3714" t="str">
        <f>T("181.24")</f>
        <v>181.24</v>
      </c>
    </row>
    <row r="3715" spans="1:37" x14ac:dyDescent="0.3">
      <c r="A3715" t="s">
        <v>11531</v>
      </c>
      <c r="B3715" t="s">
        <v>11532</v>
      </c>
      <c r="C3715" t="s">
        <v>11533</v>
      </c>
      <c r="D3715" t="s">
        <v>7</v>
      </c>
      <c r="AG3715" t="str">
        <f>T("4390")</f>
        <v>4390</v>
      </c>
      <c r="AH3715" t="str">
        <f>T("23")</f>
        <v>23</v>
      </c>
      <c r="AI3715" t="str">
        <f>T("26")</f>
        <v>26</v>
      </c>
      <c r="AK3715" t="str">
        <f>T("2022")</f>
        <v>2022</v>
      </c>
    </row>
    <row r="3716" spans="1:37" x14ac:dyDescent="0.3">
      <c r="A3716" t="s">
        <v>11534</v>
      </c>
      <c r="B3716" t="s">
        <v>11535</v>
      </c>
      <c r="C3716" t="s">
        <v>11536</v>
      </c>
      <c r="D3716" t="s">
        <v>7</v>
      </c>
      <c r="AG3716" t="str">
        <f>T("4674")</f>
        <v>4674</v>
      </c>
      <c r="AH3716" t="str">
        <f>T("25")</f>
        <v>25</v>
      </c>
      <c r="AK3716" t="str">
        <f>T("2171")</f>
        <v>2171</v>
      </c>
    </row>
    <row r="3717" spans="1:37" x14ac:dyDescent="0.3">
      <c r="A3717" t="s">
        <v>11537</v>
      </c>
      <c r="B3717" t="s">
        <v>11538</v>
      </c>
      <c r="C3717" t="s">
        <v>11539</v>
      </c>
      <c r="D3717" t="s">
        <v>7</v>
      </c>
      <c r="K3717" t="str">
        <f>T("173.20")</f>
        <v>173.20</v>
      </c>
      <c r="AG3717" t="str">
        <f>T("3241")</f>
        <v>3241</v>
      </c>
      <c r="AH3717" t="str">
        <f>T("4")</f>
        <v>4</v>
      </c>
      <c r="AK3717" t="str">
        <f>T("1610")</f>
        <v>1610</v>
      </c>
    </row>
    <row r="3718" spans="1:37" x14ac:dyDescent="0.3">
      <c r="A3718" t="s">
        <v>11540</v>
      </c>
      <c r="B3718" t="s">
        <v>11541</v>
      </c>
      <c r="C3718" t="s">
        <v>11542</v>
      </c>
      <c r="D3718" t="s">
        <v>7</v>
      </c>
      <c r="AG3718" t="str">
        <f>T("4245")</f>
        <v>4245</v>
      </c>
      <c r="AH3718" t="str">
        <f>T("22")</f>
        <v>22</v>
      </c>
      <c r="AK3718" t="str">
        <f>T("1614")</f>
        <v>1614</v>
      </c>
    </row>
    <row r="3719" spans="1:37" x14ac:dyDescent="0.3">
      <c r="A3719" t="s">
        <v>11543</v>
      </c>
      <c r="B3719" t="s">
        <v>11544</v>
      </c>
      <c r="C3719" t="s">
        <v>11545</v>
      </c>
      <c r="D3719" t="s">
        <v>15</v>
      </c>
      <c r="AG3719" t="str">
        <f>T("3639")</f>
        <v>3639</v>
      </c>
      <c r="AH3719" t="str">
        <f>T("12")</f>
        <v>12</v>
      </c>
      <c r="AK3719" t="str">
        <f>T("979")</f>
        <v>979</v>
      </c>
    </row>
    <row r="3720" spans="1:37" x14ac:dyDescent="0.3">
      <c r="A3720" t="s">
        <v>11546</v>
      </c>
      <c r="B3720" t="s">
        <v>11547</v>
      </c>
      <c r="C3720" t="s">
        <v>11548</v>
      </c>
      <c r="D3720" t="s">
        <v>7</v>
      </c>
      <c r="AG3720" t="str">
        <f>T("3242")</f>
        <v>3242</v>
      </c>
      <c r="AH3720" t="str">
        <f>T("4")</f>
        <v>4</v>
      </c>
      <c r="AI3720" t="str">
        <f>T("25")</f>
        <v>25</v>
      </c>
      <c r="AK3720" t="str">
        <f>T("1650")</f>
        <v>1650</v>
      </c>
    </row>
    <row r="3721" spans="1:37" x14ac:dyDescent="0.3">
      <c r="A3721" t="s">
        <v>11549</v>
      </c>
      <c r="B3721" t="s">
        <v>11550</v>
      </c>
      <c r="C3721" t="s">
        <v>11551</v>
      </c>
      <c r="D3721" t="s">
        <v>7</v>
      </c>
      <c r="AG3721" t="str">
        <f>T("3420")</f>
        <v>3420</v>
      </c>
      <c r="AH3721" t="str">
        <f>T("7")</f>
        <v>7</v>
      </c>
      <c r="AI3721" t="str">
        <f>T("25")</f>
        <v>25</v>
      </c>
      <c r="AK3721" t="str">
        <f>T("387")</f>
        <v>387</v>
      </c>
    </row>
    <row r="3722" spans="1:37" x14ac:dyDescent="0.3">
      <c r="A3722" t="s">
        <v>11552</v>
      </c>
      <c r="B3722" t="s">
        <v>11553</v>
      </c>
      <c r="C3722" t="s">
        <v>11554</v>
      </c>
      <c r="D3722" t="s">
        <v>7</v>
      </c>
      <c r="AG3722" t="str">
        <f>T("3389")</f>
        <v>3389</v>
      </c>
      <c r="AH3722" t="str">
        <f>T("6")</f>
        <v>6</v>
      </c>
      <c r="AI3722" t="str">
        <f>T("25")</f>
        <v>25</v>
      </c>
      <c r="AK3722" t="str">
        <f>T("977")</f>
        <v>977</v>
      </c>
    </row>
    <row r="3723" spans="1:37" x14ac:dyDescent="0.3">
      <c r="A3723" t="s">
        <v>11555</v>
      </c>
      <c r="B3723" t="s">
        <v>11556</v>
      </c>
      <c r="C3723" t="s">
        <v>11557</v>
      </c>
      <c r="D3723" t="s">
        <v>7</v>
      </c>
      <c r="AG3723" t="str">
        <f>T("3962")</f>
        <v>3962</v>
      </c>
      <c r="AH3723" t="str">
        <f>T("19")</f>
        <v>19</v>
      </c>
      <c r="AK3723" t="str">
        <f>T("1099")</f>
        <v>1099</v>
      </c>
    </row>
    <row r="3724" spans="1:37" x14ac:dyDescent="0.3">
      <c r="A3724" t="s">
        <v>11558</v>
      </c>
      <c r="B3724" t="s">
        <v>11559</v>
      </c>
      <c r="C3724" t="s">
        <v>11560</v>
      </c>
      <c r="D3724" t="s">
        <v>7</v>
      </c>
      <c r="AG3724" t="str">
        <f>T("3473")</f>
        <v>3473</v>
      </c>
      <c r="AH3724" t="str">
        <f>T("9")</f>
        <v>9</v>
      </c>
      <c r="AK3724" t="str">
        <f>T("1108")</f>
        <v>1108</v>
      </c>
    </row>
    <row r="3725" spans="1:37" x14ac:dyDescent="0.3">
      <c r="A3725" t="s">
        <v>11561</v>
      </c>
      <c r="B3725" t="s">
        <v>11562</v>
      </c>
      <c r="C3725" t="s">
        <v>11563</v>
      </c>
      <c r="D3725" t="s">
        <v>7</v>
      </c>
      <c r="AG3725" t="str">
        <f>T("3474")</f>
        <v>3474</v>
      </c>
      <c r="AH3725" t="str">
        <f>T("9")</f>
        <v>9</v>
      </c>
      <c r="AK3725" t="str">
        <f>T("978")</f>
        <v>978</v>
      </c>
    </row>
    <row r="3726" spans="1:37" x14ac:dyDescent="0.3">
      <c r="A3726" t="s">
        <v>11564</v>
      </c>
      <c r="B3726" t="s">
        <v>11565</v>
      </c>
      <c r="C3726" t="s">
        <v>11566</v>
      </c>
      <c r="D3726" t="s">
        <v>7</v>
      </c>
      <c r="AG3726" t="str">
        <f>T("3421")</f>
        <v>3421</v>
      </c>
      <c r="AH3726" t="str">
        <f>T("7")</f>
        <v>7</v>
      </c>
      <c r="AI3726" t="str">
        <f>T("25")</f>
        <v>25</v>
      </c>
      <c r="AK3726" t="str">
        <f>T("1857")</f>
        <v>1857</v>
      </c>
    </row>
    <row r="3727" spans="1:37" x14ac:dyDescent="0.3">
      <c r="A3727" t="s">
        <v>11567</v>
      </c>
      <c r="B3727" t="s">
        <v>11568</v>
      </c>
      <c r="C3727" t="s">
        <v>11569</v>
      </c>
      <c r="D3727" t="s">
        <v>7</v>
      </c>
      <c r="AG3727" t="str">
        <f>T("3243")</f>
        <v>3243</v>
      </c>
      <c r="AH3727" t="str">
        <f>T("4")</f>
        <v>4</v>
      </c>
      <c r="AI3727" t="str">
        <f>T("25")</f>
        <v>25</v>
      </c>
      <c r="AK3727" t="str">
        <f>T("384")</f>
        <v>384</v>
      </c>
    </row>
    <row r="3728" spans="1:37" x14ac:dyDescent="0.3">
      <c r="A3728" t="s">
        <v>11570</v>
      </c>
      <c r="B3728" t="s">
        <v>11571</v>
      </c>
      <c r="C3728" t="s">
        <v>11572</v>
      </c>
      <c r="D3728" t="s">
        <v>7</v>
      </c>
      <c r="AG3728" t="str">
        <f>T("4512")</f>
        <v>4512</v>
      </c>
      <c r="AH3728" t="str">
        <f>T("24")</f>
        <v>24</v>
      </c>
      <c r="AK3728" t="str">
        <f>T("2053")</f>
        <v>2053</v>
      </c>
    </row>
    <row r="3729" spans="1:37" x14ac:dyDescent="0.3">
      <c r="A3729" t="s">
        <v>11573</v>
      </c>
      <c r="B3729" t="s">
        <v>11574</v>
      </c>
      <c r="C3729" t="s">
        <v>11575</v>
      </c>
      <c r="D3729" t="s">
        <v>7</v>
      </c>
      <c r="AG3729" t="str">
        <f>T("3592")</f>
        <v>3592</v>
      </c>
      <c r="AH3729" t="str">
        <f>T("11")</f>
        <v>11</v>
      </c>
      <c r="AI3729" t="str">
        <f>T("25")</f>
        <v>25</v>
      </c>
      <c r="AK3729" t="str">
        <f>T("967")</f>
        <v>967</v>
      </c>
    </row>
    <row r="3730" spans="1:37" x14ac:dyDescent="0.3">
      <c r="A3730" t="s">
        <v>11576</v>
      </c>
      <c r="B3730" t="s">
        <v>11577</v>
      </c>
      <c r="C3730" t="s">
        <v>11578</v>
      </c>
      <c r="D3730" t="s">
        <v>7</v>
      </c>
      <c r="AG3730" t="str">
        <f>T("4529")</f>
        <v>4529</v>
      </c>
      <c r="AH3730" t="str">
        <f>T("24")</f>
        <v>24</v>
      </c>
      <c r="AK3730" t="str">
        <f>T("1899")</f>
        <v>1899</v>
      </c>
    </row>
    <row r="3731" spans="1:37" x14ac:dyDescent="0.3">
      <c r="A3731" t="s">
        <v>11579</v>
      </c>
      <c r="B3731" t="s">
        <v>11580</v>
      </c>
      <c r="C3731" t="s">
        <v>11581</v>
      </c>
      <c r="D3731" t="s">
        <v>7</v>
      </c>
      <c r="AG3731" t="str">
        <f>T("4213")</f>
        <v>4213</v>
      </c>
      <c r="AH3731" t="str">
        <f>T("22")</f>
        <v>22</v>
      </c>
      <c r="AK3731" t="str">
        <f>T("1831")</f>
        <v>1831</v>
      </c>
    </row>
    <row r="3732" spans="1:37" x14ac:dyDescent="0.3">
      <c r="A3732" t="s">
        <v>11582</v>
      </c>
      <c r="B3732" t="s">
        <v>11583</v>
      </c>
      <c r="C3732" t="s">
        <v>11584</v>
      </c>
      <c r="D3732" t="s">
        <v>7</v>
      </c>
      <c r="AG3732" t="str">
        <f>T("3524")</f>
        <v>3524</v>
      </c>
      <c r="AH3732" t="str">
        <f>T("10")</f>
        <v>10</v>
      </c>
      <c r="AK3732" t="str">
        <f>T("269")</f>
        <v>269</v>
      </c>
    </row>
    <row r="3733" spans="1:37" x14ac:dyDescent="0.3">
      <c r="A3733" t="s">
        <v>11585</v>
      </c>
      <c r="B3733" t="s">
        <v>11586</v>
      </c>
      <c r="C3733" t="s">
        <v>11587</v>
      </c>
      <c r="D3733" t="s">
        <v>7</v>
      </c>
      <c r="AG3733" t="str">
        <f>T("3324")</f>
        <v>3324</v>
      </c>
      <c r="AH3733" t="str">
        <f>T("5")</f>
        <v>5</v>
      </c>
      <c r="AI3733" t="str">
        <f>T("25")</f>
        <v>25</v>
      </c>
      <c r="AK3733" t="str">
        <f>T("268")</f>
        <v>268</v>
      </c>
    </row>
    <row r="3734" spans="1:37" x14ac:dyDescent="0.3">
      <c r="A3734" t="s">
        <v>11588</v>
      </c>
      <c r="B3734" t="s">
        <v>11589</v>
      </c>
      <c r="C3734" t="s">
        <v>11590</v>
      </c>
      <c r="D3734" t="s">
        <v>7</v>
      </c>
      <c r="AG3734" t="str">
        <f>T("4531")</f>
        <v>4531</v>
      </c>
      <c r="AH3734" t="str">
        <f>T("24")</f>
        <v>24</v>
      </c>
      <c r="AK3734" t="str">
        <f>T("2054")</f>
        <v>2054</v>
      </c>
    </row>
    <row r="3735" spans="1:37" x14ac:dyDescent="0.3">
      <c r="A3735" t="s">
        <v>11591</v>
      </c>
      <c r="B3735" t="s">
        <v>11592</v>
      </c>
      <c r="C3735" t="s">
        <v>11593</v>
      </c>
      <c r="D3735" t="s">
        <v>7</v>
      </c>
      <c r="AG3735" t="str">
        <f>T("4020")</f>
        <v>4020</v>
      </c>
      <c r="AH3735" t="str">
        <f>T("20")</f>
        <v>20</v>
      </c>
      <c r="AK3735" t="str">
        <f>T("1164")</f>
        <v>1164</v>
      </c>
    </row>
    <row r="3736" spans="1:37" x14ac:dyDescent="0.3">
      <c r="A3736" t="s">
        <v>11594</v>
      </c>
      <c r="B3736" t="s">
        <v>11595</v>
      </c>
      <c r="C3736" t="s">
        <v>11596</v>
      </c>
      <c r="D3736" t="s">
        <v>7</v>
      </c>
      <c r="AG3736" t="str">
        <f>T("4556")</f>
        <v>4556</v>
      </c>
      <c r="AH3736" t="str">
        <f>T("24")</f>
        <v>24</v>
      </c>
      <c r="AK3736" t="str">
        <f>T("2047")</f>
        <v>2047</v>
      </c>
    </row>
    <row r="3737" spans="1:37" x14ac:dyDescent="0.3">
      <c r="A3737" t="s">
        <v>11597</v>
      </c>
      <c r="B3737" t="s">
        <v>11598</v>
      </c>
      <c r="C3737" t="s">
        <v>11599</v>
      </c>
      <c r="D3737" t="s">
        <v>7</v>
      </c>
      <c r="AG3737" t="str">
        <f>T("4211")</f>
        <v>4211</v>
      </c>
      <c r="AH3737" t="str">
        <f>T("22")</f>
        <v>22</v>
      </c>
      <c r="AK3737" t="str">
        <f>T("1645")</f>
        <v>1645</v>
      </c>
    </row>
    <row r="3738" spans="1:37" x14ac:dyDescent="0.3">
      <c r="A3738" t="s">
        <v>11600</v>
      </c>
      <c r="B3738" t="s">
        <v>11601</v>
      </c>
      <c r="C3738" t="s">
        <v>11602</v>
      </c>
      <c r="D3738" t="s">
        <v>7</v>
      </c>
      <c r="AG3738" t="str">
        <f>T("4212")</f>
        <v>4212</v>
      </c>
      <c r="AH3738" t="str">
        <f>T("22")</f>
        <v>22</v>
      </c>
      <c r="AK3738" t="str">
        <f>T("1644")</f>
        <v>1644</v>
      </c>
    </row>
    <row r="3739" spans="1:37" x14ac:dyDescent="0.3">
      <c r="A3739" t="s">
        <v>11603</v>
      </c>
      <c r="B3739" t="s">
        <v>11604</v>
      </c>
      <c r="C3739" t="s">
        <v>11605</v>
      </c>
      <c r="D3739" t="s">
        <v>15</v>
      </c>
      <c r="AG3739" t="str">
        <f>T("3390")</f>
        <v>3390</v>
      </c>
      <c r="AH3739" t="s">
        <v>1308</v>
      </c>
      <c r="AI3739" t="str">
        <f>T("25")</f>
        <v>25</v>
      </c>
      <c r="AK3739" t="str">
        <f>T("1399")</f>
        <v>1399</v>
      </c>
    </row>
    <row r="3740" spans="1:37" x14ac:dyDescent="0.3">
      <c r="A3740" t="s">
        <v>11606</v>
      </c>
      <c r="B3740" t="s">
        <v>11607</v>
      </c>
      <c r="C3740" t="s">
        <v>11608</v>
      </c>
      <c r="D3740" t="s">
        <v>7</v>
      </c>
      <c r="AG3740" t="str">
        <f>T("3441")</f>
        <v>3441</v>
      </c>
      <c r="AH3740" t="str">
        <f>T("8")</f>
        <v>8</v>
      </c>
      <c r="AK3740" t="str">
        <f>T("929")</f>
        <v>929</v>
      </c>
    </row>
    <row r="3741" spans="1:37" x14ac:dyDescent="0.3">
      <c r="A3741" t="s">
        <v>11609</v>
      </c>
      <c r="B3741" t="s">
        <v>11610</v>
      </c>
      <c r="C3741" t="s">
        <v>11611</v>
      </c>
      <c r="D3741" t="s">
        <v>7</v>
      </c>
      <c r="AG3741" t="str">
        <f>T("4394")</f>
        <v>4394</v>
      </c>
      <c r="AH3741" t="str">
        <f>T("23")</f>
        <v>23</v>
      </c>
      <c r="AK3741" t="str">
        <f>T("1553")</f>
        <v>1553</v>
      </c>
    </row>
    <row r="3742" spans="1:37" x14ac:dyDescent="0.3">
      <c r="A3742" t="s">
        <v>11612</v>
      </c>
      <c r="B3742" t="s">
        <v>11613</v>
      </c>
      <c r="C3742" t="s">
        <v>11614</v>
      </c>
      <c r="D3742" t="s">
        <v>7</v>
      </c>
      <c r="AG3742" t="str">
        <f>T("3525")</f>
        <v>3525</v>
      </c>
      <c r="AH3742" t="str">
        <f>T("10")</f>
        <v>10</v>
      </c>
      <c r="AK3742" t="str">
        <f>T("1559")</f>
        <v>1559</v>
      </c>
    </row>
    <row r="3743" spans="1:37" x14ac:dyDescent="0.3">
      <c r="A3743" t="s">
        <v>11615</v>
      </c>
      <c r="B3743" t="s">
        <v>11616</v>
      </c>
      <c r="C3743" t="s">
        <v>11617</v>
      </c>
      <c r="D3743" t="s">
        <v>7</v>
      </c>
      <c r="AG3743" t="str">
        <f>T("3442")</f>
        <v>3442</v>
      </c>
      <c r="AH3743" t="str">
        <f>T("8")</f>
        <v>8</v>
      </c>
      <c r="AK3743" t="str">
        <f>T("1123")</f>
        <v>1123</v>
      </c>
    </row>
    <row r="3744" spans="1:37" x14ac:dyDescent="0.3">
      <c r="A3744" t="s">
        <v>11618</v>
      </c>
      <c r="B3744" t="s">
        <v>11619</v>
      </c>
      <c r="C3744" t="s">
        <v>11620</v>
      </c>
      <c r="D3744" t="s">
        <v>7</v>
      </c>
      <c r="AG3744" t="str">
        <f>T("3903")</f>
        <v>3903</v>
      </c>
      <c r="AH3744" t="str">
        <f>T("18")</f>
        <v>18</v>
      </c>
      <c r="AK3744" t="str">
        <f>T("1643")</f>
        <v>1643</v>
      </c>
    </row>
    <row r="3745" spans="1:37" x14ac:dyDescent="0.3">
      <c r="A3745" t="s">
        <v>11621</v>
      </c>
      <c r="B3745" t="s">
        <v>11622</v>
      </c>
      <c r="C3745" t="s">
        <v>11623</v>
      </c>
      <c r="D3745" t="s">
        <v>7</v>
      </c>
      <c r="AG3745" t="str">
        <f>T("3963")</f>
        <v>3963</v>
      </c>
      <c r="AH3745" t="str">
        <f>T("19")</f>
        <v>19</v>
      </c>
      <c r="AK3745" t="str">
        <f>T("737")</f>
        <v>737</v>
      </c>
    </row>
    <row r="3746" spans="1:37" x14ac:dyDescent="0.3">
      <c r="A3746" t="s">
        <v>11624</v>
      </c>
      <c r="B3746" t="s">
        <v>11625</v>
      </c>
      <c r="C3746" t="s">
        <v>11626</v>
      </c>
      <c r="D3746" t="s">
        <v>7</v>
      </c>
      <c r="AG3746" t="str">
        <f>T("4329")</f>
        <v>4329</v>
      </c>
      <c r="AH3746" t="str">
        <f>T("23")</f>
        <v>23</v>
      </c>
      <c r="AK3746" t="str">
        <f>T("2013")</f>
        <v>2013</v>
      </c>
    </row>
    <row r="3747" spans="1:37" x14ac:dyDescent="0.3">
      <c r="A3747" t="s">
        <v>11627</v>
      </c>
      <c r="B3747" t="s">
        <v>11628</v>
      </c>
      <c r="C3747" t="s">
        <v>11629</v>
      </c>
      <c r="D3747" t="s">
        <v>7</v>
      </c>
      <c r="AG3747" t="str">
        <f>T("3244")</f>
        <v>3244</v>
      </c>
      <c r="AH3747" t="str">
        <f>T("4")</f>
        <v>4</v>
      </c>
      <c r="AI3747" t="str">
        <f>T("25")</f>
        <v>25</v>
      </c>
      <c r="AK3747" t="str">
        <f>T("774")</f>
        <v>774</v>
      </c>
    </row>
    <row r="3748" spans="1:37" x14ac:dyDescent="0.3">
      <c r="A3748" t="s">
        <v>11630</v>
      </c>
      <c r="B3748" t="s">
        <v>11631</v>
      </c>
      <c r="C3748" t="s">
        <v>11632</v>
      </c>
      <c r="D3748" t="s">
        <v>7</v>
      </c>
      <c r="AG3748" t="str">
        <f>T("3325")</f>
        <v>3325</v>
      </c>
      <c r="AH3748" t="str">
        <f>T("5")</f>
        <v>5</v>
      </c>
      <c r="AK3748" t="str">
        <f>T("1036")</f>
        <v>1036</v>
      </c>
    </row>
    <row r="3749" spans="1:37" x14ac:dyDescent="0.3">
      <c r="A3749" t="s">
        <v>11633</v>
      </c>
      <c r="B3749" t="s">
        <v>11634</v>
      </c>
      <c r="C3749" t="s">
        <v>11635</v>
      </c>
      <c r="D3749" t="s">
        <v>7</v>
      </c>
      <c r="AG3749" t="str">
        <f>T("3735")</f>
        <v>3735</v>
      </c>
      <c r="AH3749" t="str">
        <f>T("13")</f>
        <v>13</v>
      </c>
      <c r="AK3749" t="str">
        <f>T("1236")</f>
        <v>1236</v>
      </c>
    </row>
    <row r="3750" spans="1:37" x14ac:dyDescent="0.3">
      <c r="A3750" t="s">
        <v>11636</v>
      </c>
      <c r="B3750" t="s">
        <v>11637</v>
      </c>
      <c r="C3750" t="s">
        <v>11638</v>
      </c>
      <c r="D3750" t="s">
        <v>7</v>
      </c>
      <c r="AG3750" t="str">
        <f>T("4247")</f>
        <v>4247</v>
      </c>
      <c r="AH3750" t="str">
        <f>T("22")</f>
        <v>22</v>
      </c>
      <c r="AK3750" t="str">
        <f>T("1612")</f>
        <v>1612</v>
      </c>
    </row>
    <row r="3751" spans="1:37" x14ac:dyDescent="0.3">
      <c r="A3751" t="s">
        <v>11639</v>
      </c>
      <c r="B3751" t="s">
        <v>11640</v>
      </c>
      <c r="C3751" t="s">
        <v>11641</v>
      </c>
      <c r="D3751" t="s">
        <v>7</v>
      </c>
      <c r="AG3751" t="str">
        <f>T("3593")</f>
        <v>3593</v>
      </c>
      <c r="AH3751" t="str">
        <f>T("11")</f>
        <v>11</v>
      </c>
      <c r="AK3751" t="str">
        <f>T("913")</f>
        <v>913</v>
      </c>
    </row>
    <row r="3752" spans="1:37" x14ac:dyDescent="0.3">
      <c r="A3752" t="s">
        <v>11642</v>
      </c>
      <c r="B3752" t="s">
        <v>11643</v>
      </c>
      <c r="C3752" t="s">
        <v>11644</v>
      </c>
      <c r="D3752" t="s">
        <v>192</v>
      </c>
      <c r="K3752" t="str">
        <f>T("173.310")</f>
        <v>173.310</v>
      </c>
    </row>
    <row r="3753" spans="1:37" x14ac:dyDescent="0.3">
      <c r="A3753" t="s">
        <v>11645</v>
      </c>
      <c r="B3753" t="s">
        <v>11646</v>
      </c>
      <c r="C3753" t="s">
        <v>11647</v>
      </c>
      <c r="D3753" t="s">
        <v>7</v>
      </c>
      <c r="AG3753" t="str">
        <f>T("4214")</f>
        <v>4214</v>
      </c>
      <c r="AH3753" t="str">
        <f>T("22")</f>
        <v>22</v>
      </c>
      <c r="AK3753" t="str">
        <f>T("1684")</f>
        <v>1684</v>
      </c>
    </row>
    <row r="3754" spans="1:37" x14ac:dyDescent="0.3">
      <c r="A3754" t="s">
        <v>11648</v>
      </c>
      <c r="B3754" t="s">
        <v>11649</v>
      </c>
      <c r="C3754" t="s">
        <v>11650</v>
      </c>
      <c r="D3754" t="s">
        <v>7</v>
      </c>
      <c r="AG3754" t="str">
        <f>T("3475")</f>
        <v>3475</v>
      </c>
      <c r="AH3754" t="str">
        <f>T("9")</f>
        <v>9</v>
      </c>
      <c r="AK3754" t="str">
        <f>T("543")</f>
        <v>543</v>
      </c>
    </row>
    <row r="3755" spans="1:37" x14ac:dyDescent="0.3">
      <c r="A3755" t="s">
        <v>11651</v>
      </c>
      <c r="B3755" t="s">
        <v>11652</v>
      </c>
      <c r="C3755" t="s">
        <v>11653</v>
      </c>
      <c r="D3755" t="s">
        <v>74</v>
      </c>
      <c r="K3755" t="str">
        <f>T("184.1914")</f>
        <v>184.1914</v>
      </c>
    </row>
    <row r="3756" spans="1:37" x14ac:dyDescent="0.3">
      <c r="A3756" t="s">
        <v>11654</v>
      </c>
      <c r="B3756" t="s">
        <v>11655</v>
      </c>
      <c r="C3756" t="s">
        <v>11656</v>
      </c>
      <c r="D3756" t="s">
        <v>137</v>
      </c>
      <c r="K3756" t="str">
        <f>T("172.320")</f>
        <v>172.320</v>
      </c>
    </row>
    <row r="3757" spans="1:37" x14ac:dyDescent="0.3">
      <c r="A3757" t="s">
        <v>11657</v>
      </c>
      <c r="B3757" t="s">
        <v>11658</v>
      </c>
      <c r="C3757" t="s">
        <v>11659</v>
      </c>
      <c r="D3757" t="s">
        <v>7</v>
      </c>
      <c r="AG3757" t="str">
        <f>T("4067")</f>
        <v>4067</v>
      </c>
      <c r="AH3757" t="str">
        <f>T("21")</f>
        <v>21</v>
      </c>
      <c r="AK3757" t="str">
        <f>T("1160")</f>
        <v>1160</v>
      </c>
    </row>
    <row r="3758" spans="1:37" x14ac:dyDescent="0.3">
      <c r="A3758" t="s">
        <v>11660</v>
      </c>
      <c r="B3758" t="s">
        <v>11661</v>
      </c>
      <c r="C3758" t="s">
        <v>11662</v>
      </c>
      <c r="D3758" t="s">
        <v>7</v>
      </c>
      <c r="K3758" t="str">
        <f>T("182.20")</f>
        <v>182.20</v>
      </c>
      <c r="AG3758" t="str">
        <f>T("3084")</f>
        <v>3084</v>
      </c>
      <c r="AH3758" t="str">
        <f>T("3")</f>
        <v>3</v>
      </c>
    </row>
    <row r="3759" spans="1:37" x14ac:dyDescent="0.3">
      <c r="A3759" t="s">
        <v>11663</v>
      </c>
      <c r="B3759" t="s">
        <v>11664</v>
      </c>
      <c r="C3759" t="s">
        <v>11665</v>
      </c>
      <c r="D3759" t="s">
        <v>1175</v>
      </c>
      <c r="K3759" t="str">
        <f>T("172.615")</f>
        <v>172.615</v>
      </c>
    </row>
    <row r="3760" spans="1:37" x14ac:dyDescent="0.3">
      <c r="A3760" t="s">
        <v>11666</v>
      </c>
      <c r="B3760" t="s">
        <v>11667</v>
      </c>
      <c r="C3760" t="s">
        <v>11668</v>
      </c>
      <c r="D3760" t="s">
        <v>286</v>
      </c>
      <c r="E3760" t="str">
        <f>T("73.600")</f>
        <v>73.600</v>
      </c>
      <c r="K3760" t="str">
        <f>T("182.10")</f>
        <v>182.10</v>
      </c>
      <c r="AF3760" t="s">
        <v>10353</v>
      </c>
      <c r="AG3760" t="str">
        <f>T("3085")</f>
        <v>3085</v>
      </c>
      <c r="AH3760" t="str">
        <f>T("3")</f>
        <v>3</v>
      </c>
    </row>
    <row r="3761" spans="1:37" x14ac:dyDescent="0.3">
      <c r="A3761" t="s">
        <v>11669</v>
      </c>
      <c r="B3761" t="s">
        <v>11670</v>
      </c>
      <c r="C3761" t="s">
        <v>11671</v>
      </c>
      <c r="D3761" t="s">
        <v>286</v>
      </c>
      <c r="K3761" t="str">
        <f>T("182.20")</f>
        <v>182.20</v>
      </c>
      <c r="AG3761" t="str">
        <f>T("3086")</f>
        <v>3086</v>
      </c>
      <c r="AH3761" t="str">
        <f>T("3")</f>
        <v>3</v>
      </c>
    </row>
    <row r="3762" spans="1:37" x14ac:dyDescent="0.3">
      <c r="A3762" t="s">
        <v>11672</v>
      </c>
      <c r="B3762" t="s">
        <v>11673</v>
      </c>
      <c r="C3762" t="s">
        <v>11674</v>
      </c>
      <c r="D3762" t="s">
        <v>286</v>
      </c>
      <c r="E3762" t="str">
        <f>T("73.615")</f>
        <v>73.615</v>
      </c>
      <c r="K3762" t="str">
        <f>T("182.20")</f>
        <v>182.20</v>
      </c>
      <c r="AG3762" t="str">
        <f>T("3087")</f>
        <v>3087</v>
      </c>
      <c r="AH3762" t="str">
        <f>T("3")</f>
        <v>3</v>
      </c>
    </row>
    <row r="3763" spans="1:37" x14ac:dyDescent="0.3">
      <c r="A3763" t="s">
        <v>11675</v>
      </c>
      <c r="B3763" t="s">
        <v>11676</v>
      </c>
      <c r="C3763" t="s">
        <v>11677</v>
      </c>
      <c r="K3763" t="str">
        <f>T("172.510")</f>
        <v>172.510</v>
      </c>
      <c r="L3763" t="str">
        <f>T("175.105")</f>
        <v>175.105</v>
      </c>
    </row>
    <row r="3764" spans="1:37" x14ac:dyDescent="0.3">
      <c r="A3764" t="s">
        <v>11678</v>
      </c>
      <c r="B3764" t="s">
        <v>11679</v>
      </c>
      <c r="C3764" t="s">
        <v>11680</v>
      </c>
      <c r="D3764" t="s">
        <v>7</v>
      </c>
      <c r="K3764" t="str">
        <f>T("172.510")</f>
        <v>172.510</v>
      </c>
      <c r="AG3764" t="str">
        <f>T("3088")</f>
        <v>3088</v>
      </c>
      <c r="AH3764" t="str">
        <f>T("3")</f>
        <v>3</v>
      </c>
    </row>
    <row r="3765" spans="1:37" x14ac:dyDescent="0.3">
      <c r="A3765" t="s">
        <v>11681</v>
      </c>
      <c r="B3765" t="s">
        <v>11682</v>
      </c>
      <c r="C3765" t="s">
        <v>11683</v>
      </c>
      <c r="D3765" t="s">
        <v>7</v>
      </c>
      <c r="K3765" t="str">
        <f>T("172.510")</f>
        <v>172.510</v>
      </c>
    </row>
    <row r="3766" spans="1:37" x14ac:dyDescent="0.3">
      <c r="A3766" t="s">
        <v>11684</v>
      </c>
      <c r="B3766" t="s">
        <v>11685</v>
      </c>
      <c r="C3766" t="s">
        <v>11686</v>
      </c>
      <c r="D3766" t="s">
        <v>7</v>
      </c>
      <c r="K3766" t="str">
        <f>T("172.510")</f>
        <v>172.510</v>
      </c>
      <c r="AG3766" t="str">
        <f>T("3089")</f>
        <v>3089</v>
      </c>
      <c r="AH3766" t="str">
        <f>T("3")</f>
        <v>3</v>
      </c>
    </row>
    <row r="3767" spans="1:37" x14ac:dyDescent="0.3">
      <c r="A3767" t="s">
        <v>11687</v>
      </c>
      <c r="B3767" t="s">
        <v>11688</v>
      </c>
      <c r="C3767" t="s">
        <v>11689</v>
      </c>
      <c r="D3767" t="s">
        <v>7</v>
      </c>
      <c r="AG3767" t="str">
        <f>T("4215")</f>
        <v>4215</v>
      </c>
      <c r="AH3767" t="str">
        <f>T("22")</f>
        <v>22</v>
      </c>
      <c r="AK3767" t="str">
        <f>T("1590")</f>
        <v>1590</v>
      </c>
    </row>
    <row r="3768" spans="1:37" x14ac:dyDescent="0.3">
      <c r="A3768" t="s">
        <v>11690</v>
      </c>
      <c r="B3768" t="s">
        <v>11691</v>
      </c>
      <c r="C3768" t="s">
        <v>11692</v>
      </c>
      <c r="D3768" t="s">
        <v>3328</v>
      </c>
      <c r="K3768" t="str">
        <f>T("172.320")</f>
        <v>172.320</v>
      </c>
      <c r="AG3768" t="str">
        <f>T("3736")</f>
        <v>3736</v>
      </c>
      <c r="AH3768" t="str">
        <f>T("13")</f>
        <v>13</v>
      </c>
      <c r="AK3768" t="str">
        <f>T("1434")</f>
        <v>1434</v>
      </c>
    </row>
    <row r="3769" spans="1:37" x14ac:dyDescent="0.3">
      <c r="A3769" t="s">
        <v>11693</v>
      </c>
      <c r="B3769" t="s">
        <v>11694</v>
      </c>
      <c r="C3769" t="s">
        <v>11695</v>
      </c>
    </row>
    <row r="3770" spans="1:37" x14ac:dyDescent="0.3">
      <c r="A3770" t="s">
        <v>11696</v>
      </c>
      <c r="B3770" t="s">
        <v>11697</v>
      </c>
      <c r="C3770" t="s">
        <v>11698</v>
      </c>
      <c r="D3770" t="s">
        <v>606</v>
      </c>
      <c r="E3770" t="str">
        <f>T("73.50")</f>
        <v>73.50</v>
      </c>
      <c r="K3770" t="str">
        <f>T("177.2800")</f>
        <v>177.2800</v>
      </c>
      <c r="L3770" t="str">
        <f>T("178.3297")</f>
        <v>178.3297</v>
      </c>
      <c r="M3770" t="str">
        <f>T("178.3970")</f>
        <v>178.3970</v>
      </c>
    </row>
    <row r="3771" spans="1:37" x14ac:dyDescent="0.3">
      <c r="A3771" t="s">
        <v>11699</v>
      </c>
      <c r="B3771" t="s">
        <v>11700</v>
      </c>
      <c r="C3771" t="s">
        <v>11701</v>
      </c>
      <c r="D3771" t="s">
        <v>7</v>
      </c>
    </row>
    <row r="3772" spans="1:37" x14ac:dyDescent="0.3">
      <c r="A3772" t="s">
        <v>11702</v>
      </c>
      <c r="B3772" t="s">
        <v>11703</v>
      </c>
      <c r="C3772" t="s">
        <v>11704</v>
      </c>
      <c r="D3772" t="s">
        <v>7</v>
      </c>
      <c r="AG3772" t="str">
        <f>T("3422")</f>
        <v>3422</v>
      </c>
      <c r="AH3772" t="str">
        <f>T("7")</f>
        <v>7</v>
      </c>
      <c r="AI3772" t="str">
        <f>T("25")</f>
        <v>25</v>
      </c>
      <c r="AK3772" t="str">
        <f>T("1195")</f>
        <v>1195</v>
      </c>
    </row>
    <row r="3773" spans="1:37" x14ac:dyDescent="0.3">
      <c r="A3773" t="s">
        <v>11705</v>
      </c>
      <c r="B3773" t="s">
        <v>11706</v>
      </c>
      <c r="C3773" t="s">
        <v>11707</v>
      </c>
      <c r="D3773" t="s">
        <v>7</v>
      </c>
      <c r="K3773" t="str">
        <f>T("172.515")</f>
        <v>172.515</v>
      </c>
      <c r="AG3773" t="str">
        <f>T("3090")</f>
        <v>3090</v>
      </c>
      <c r="AH3773" t="str">
        <f>T("3")</f>
        <v>3</v>
      </c>
      <c r="AK3773" t="str">
        <f>T("417")</f>
        <v>417</v>
      </c>
    </row>
    <row r="3774" spans="1:37" x14ac:dyDescent="0.3">
      <c r="A3774" t="s">
        <v>11708</v>
      </c>
      <c r="B3774" t="s">
        <v>11709</v>
      </c>
      <c r="C3774" t="s">
        <v>11710</v>
      </c>
      <c r="D3774" t="s">
        <v>7</v>
      </c>
      <c r="K3774" t="str">
        <f>T("172.515")</f>
        <v>172.515</v>
      </c>
      <c r="AG3774" t="str">
        <f>T("3091")</f>
        <v>3091</v>
      </c>
      <c r="AH3774" t="str">
        <f>T("3")</f>
        <v>3</v>
      </c>
      <c r="AK3774" t="str">
        <f>T("233")</f>
        <v>233</v>
      </c>
    </row>
    <row r="3775" spans="1:37" x14ac:dyDescent="0.3">
      <c r="A3775" t="s">
        <v>11711</v>
      </c>
      <c r="B3775" t="s">
        <v>11712</v>
      </c>
      <c r="C3775" t="s">
        <v>11713</v>
      </c>
      <c r="D3775" t="s">
        <v>7</v>
      </c>
      <c r="K3775" t="str">
        <f>T("172.515")</f>
        <v>172.515</v>
      </c>
      <c r="AG3775" t="str">
        <f>T("3092")</f>
        <v>3092</v>
      </c>
      <c r="AH3775" t="str">
        <f>T("3")</f>
        <v>3</v>
      </c>
      <c r="AI3775" t="str">
        <f>T("25")</f>
        <v>25</v>
      </c>
      <c r="AK3775" t="str">
        <f>T("107")</f>
        <v>107</v>
      </c>
    </row>
    <row r="3776" spans="1:37" x14ac:dyDescent="0.3">
      <c r="A3776" t="s">
        <v>11714</v>
      </c>
      <c r="B3776" t="s">
        <v>11715</v>
      </c>
      <c r="C3776" t="s">
        <v>11716</v>
      </c>
      <c r="D3776" t="s">
        <v>7</v>
      </c>
      <c r="AG3776" t="str">
        <f>T("4374")</f>
        <v>4374</v>
      </c>
      <c r="AH3776" t="str">
        <f>T("23")</f>
        <v>23</v>
      </c>
      <c r="AK3776" t="str">
        <f>T("1745")</f>
        <v>1745</v>
      </c>
    </row>
    <row r="3777" spans="1:37" x14ac:dyDescent="0.3">
      <c r="A3777" t="s">
        <v>11717</v>
      </c>
      <c r="B3777" t="s">
        <v>11718</v>
      </c>
      <c r="C3777" t="s">
        <v>11719</v>
      </c>
      <c r="D3777" t="s">
        <v>7</v>
      </c>
      <c r="AG3777" t="str">
        <f>T("3245")</f>
        <v>3245</v>
      </c>
      <c r="AH3777" t="str">
        <f>T("4")</f>
        <v>4</v>
      </c>
      <c r="AK3777" t="str">
        <f>T("108")</f>
        <v>108</v>
      </c>
    </row>
    <row r="3778" spans="1:37" x14ac:dyDescent="0.3">
      <c r="A3778" t="s">
        <v>11720</v>
      </c>
      <c r="B3778" t="s">
        <v>11721</v>
      </c>
      <c r="C3778" t="s">
        <v>11722</v>
      </c>
      <c r="D3778" t="s">
        <v>15</v>
      </c>
      <c r="AG3778" t="str">
        <f>T("3246")</f>
        <v>3246</v>
      </c>
      <c r="AH3778" t="str">
        <f>T("4")</f>
        <v>4</v>
      </c>
      <c r="AK3778" t="str">
        <f>T("297")</f>
        <v>297</v>
      </c>
    </row>
    <row r="3779" spans="1:37" x14ac:dyDescent="0.3">
      <c r="A3779" t="s">
        <v>11723</v>
      </c>
      <c r="B3779" t="s">
        <v>11724</v>
      </c>
      <c r="C3779" t="s">
        <v>11725</v>
      </c>
      <c r="D3779" t="s">
        <v>7</v>
      </c>
      <c r="K3779" t="str">
        <f>T("172.515")</f>
        <v>172.515</v>
      </c>
      <c r="AG3779" t="str">
        <f>T("3093")</f>
        <v>3093</v>
      </c>
      <c r="AH3779" t="str">
        <f>T("3")</f>
        <v>3</v>
      </c>
      <c r="AI3779" t="str">
        <f>T("25")</f>
        <v>25</v>
      </c>
      <c r="AK3779" t="str">
        <f>T("296")</f>
        <v>296</v>
      </c>
    </row>
    <row r="3780" spans="1:37" x14ac:dyDescent="0.3">
      <c r="A3780" t="s">
        <v>11726</v>
      </c>
      <c r="B3780" t="s">
        <v>11727</v>
      </c>
      <c r="C3780" t="s">
        <v>11728</v>
      </c>
      <c r="D3780" t="s">
        <v>7</v>
      </c>
      <c r="AG3780" t="str">
        <f>T("4652")</f>
        <v>4652</v>
      </c>
      <c r="AH3780" t="str">
        <f>T("24")</f>
        <v>24</v>
      </c>
      <c r="AK3780" t="str">
        <f>T("2196")</f>
        <v>2196</v>
      </c>
    </row>
    <row r="3781" spans="1:37" x14ac:dyDescent="0.3">
      <c r="A3781" t="s">
        <v>11729</v>
      </c>
      <c r="B3781" t="s">
        <v>11730</v>
      </c>
      <c r="C3781" t="s">
        <v>11731</v>
      </c>
      <c r="D3781" t="s">
        <v>7</v>
      </c>
      <c r="AG3781" t="str">
        <f>T("3795")</f>
        <v>3795</v>
      </c>
      <c r="AH3781" t="str">
        <f>T("16")</f>
        <v>16</v>
      </c>
      <c r="AK3781" t="str">
        <f>T("1341")</f>
        <v>1341</v>
      </c>
    </row>
    <row r="3782" spans="1:37" x14ac:dyDescent="0.3">
      <c r="A3782" t="s">
        <v>11732</v>
      </c>
      <c r="B3782" t="s">
        <v>11733</v>
      </c>
      <c r="C3782" t="s">
        <v>11734</v>
      </c>
      <c r="D3782" t="s">
        <v>7</v>
      </c>
      <c r="AG3782" t="str">
        <f>T("4672")</f>
        <v>4672</v>
      </c>
      <c r="AH3782" t="str">
        <f>T("25")</f>
        <v>25</v>
      </c>
      <c r="AK3782" t="str">
        <f>T("2185")</f>
        <v>2185</v>
      </c>
    </row>
    <row r="3783" spans="1:37" x14ac:dyDescent="0.3">
      <c r="A3783" t="s">
        <v>11735</v>
      </c>
      <c r="B3783" t="s">
        <v>11736</v>
      </c>
      <c r="C3783" t="s">
        <v>11737</v>
      </c>
      <c r="D3783" t="s">
        <v>7</v>
      </c>
      <c r="K3783" t="str">
        <f>T("172.515")</f>
        <v>172.515</v>
      </c>
      <c r="AG3783" t="str">
        <f>T("3095")</f>
        <v>3095</v>
      </c>
      <c r="AH3783" t="str">
        <f>T("3")</f>
        <v>3</v>
      </c>
      <c r="AI3783" t="str">
        <f>T("25")</f>
        <v>25</v>
      </c>
      <c r="AK3783" t="str">
        <f>T("330")</f>
        <v>330</v>
      </c>
    </row>
    <row r="3784" spans="1:37" x14ac:dyDescent="0.3">
      <c r="A3784" t="s">
        <v>11738</v>
      </c>
      <c r="B3784" t="s">
        <v>11739</v>
      </c>
      <c r="C3784" t="s">
        <v>11740</v>
      </c>
      <c r="D3784" t="s">
        <v>7</v>
      </c>
      <c r="AG3784" t="str">
        <f>T("3423")</f>
        <v>3423</v>
      </c>
      <c r="AH3784" t="str">
        <f>T("7")</f>
        <v>7</v>
      </c>
      <c r="AK3784" t="str">
        <f>T("1366")</f>
        <v>1366</v>
      </c>
    </row>
    <row r="3785" spans="1:37" x14ac:dyDescent="0.3">
      <c r="A3785" t="s">
        <v>11741</v>
      </c>
      <c r="B3785" t="s">
        <v>11742</v>
      </c>
      <c r="C3785" t="s">
        <v>11743</v>
      </c>
      <c r="D3785" t="s">
        <v>7</v>
      </c>
      <c r="K3785" t="str">
        <f>T("172.515")</f>
        <v>172.515</v>
      </c>
      <c r="AG3785" t="str">
        <f>T("3094")</f>
        <v>3094</v>
      </c>
      <c r="AH3785" t="str">
        <f>T("3")</f>
        <v>3</v>
      </c>
      <c r="AK3785" t="str">
        <f>T("329")</f>
        <v>329</v>
      </c>
    </row>
    <row r="3786" spans="1:37" x14ac:dyDescent="0.3">
      <c r="A3786" t="s">
        <v>11744</v>
      </c>
      <c r="B3786" t="s">
        <v>11745</v>
      </c>
      <c r="C3786" t="s">
        <v>11746</v>
      </c>
      <c r="D3786" t="s">
        <v>7</v>
      </c>
      <c r="AG3786" t="str">
        <f>T("3247")</f>
        <v>3247</v>
      </c>
      <c r="AH3786" t="str">
        <f>T("4")</f>
        <v>4</v>
      </c>
      <c r="AI3786" t="str">
        <f>T("25")</f>
        <v>25</v>
      </c>
      <c r="AK3786" t="str">
        <f>T("331")</f>
        <v>331</v>
      </c>
    </row>
    <row r="3787" spans="1:37" x14ac:dyDescent="0.3">
      <c r="A3787" t="s">
        <v>11747</v>
      </c>
      <c r="B3787" t="s">
        <v>11748</v>
      </c>
      <c r="C3787" t="s">
        <v>11749</v>
      </c>
      <c r="D3787" t="s">
        <v>7</v>
      </c>
      <c r="K3787" t="str">
        <f>T("172.515")</f>
        <v>172.515</v>
      </c>
    </row>
    <row r="3788" spans="1:37" x14ac:dyDescent="0.3">
      <c r="A3788" t="s">
        <v>11750</v>
      </c>
      <c r="B3788" t="s">
        <v>11751</v>
      </c>
      <c r="C3788" t="s">
        <v>11752</v>
      </c>
      <c r="D3788" t="s">
        <v>7</v>
      </c>
    </row>
    <row r="3789" spans="1:37" x14ac:dyDescent="0.3">
      <c r="A3789" t="s">
        <v>11753</v>
      </c>
      <c r="B3789" t="s">
        <v>11754</v>
      </c>
      <c r="C3789" t="s">
        <v>11755</v>
      </c>
      <c r="D3789" t="s">
        <v>7</v>
      </c>
      <c r="AG3789" t="str">
        <f>T("4068")</f>
        <v>4068</v>
      </c>
      <c r="AH3789" t="str">
        <f>T("21")</f>
        <v>21</v>
      </c>
      <c r="AK3789" t="str">
        <f>T("1384")</f>
        <v>1384</v>
      </c>
    </row>
    <row r="3790" spans="1:37" x14ac:dyDescent="0.3">
      <c r="A3790" t="s">
        <v>11756</v>
      </c>
      <c r="B3790" t="s">
        <v>11757</v>
      </c>
      <c r="C3790" t="s">
        <v>11758</v>
      </c>
      <c r="D3790" t="s">
        <v>7</v>
      </c>
      <c r="AG3790" t="str">
        <f>T("4406")</f>
        <v>4406</v>
      </c>
      <c r="AH3790" t="str">
        <f>T("23")</f>
        <v>23</v>
      </c>
      <c r="AK3790" t="str">
        <f>T("1849")</f>
        <v>1849</v>
      </c>
    </row>
    <row r="3791" spans="1:37" x14ac:dyDescent="0.3">
      <c r="A3791" t="s">
        <v>11759</v>
      </c>
      <c r="B3791" t="s">
        <v>11760</v>
      </c>
      <c r="C3791" t="s">
        <v>11761</v>
      </c>
      <c r="D3791" t="s">
        <v>7</v>
      </c>
      <c r="K3791" t="str">
        <f>T("172.515")</f>
        <v>172.515</v>
      </c>
      <c r="AG3791" t="str">
        <f>T("3096")</f>
        <v>3096</v>
      </c>
      <c r="AH3791" t="str">
        <f>T("3")</f>
        <v>3</v>
      </c>
      <c r="AK3791" t="str">
        <f>T("136")</f>
        <v>136</v>
      </c>
    </row>
    <row r="3792" spans="1:37" x14ac:dyDescent="0.3">
      <c r="A3792" t="s">
        <v>11762</v>
      </c>
      <c r="B3792" t="s">
        <v>11763</v>
      </c>
      <c r="C3792" t="s">
        <v>11764</v>
      </c>
      <c r="D3792" t="s">
        <v>7</v>
      </c>
      <c r="K3792" t="str">
        <f>T("172.515")</f>
        <v>172.515</v>
      </c>
      <c r="AG3792" t="str">
        <f>T("3097")</f>
        <v>3097</v>
      </c>
      <c r="AH3792" t="str">
        <f>T("3")</f>
        <v>3</v>
      </c>
      <c r="AI3792" t="str">
        <f>T("25")</f>
        <v>25</v>
      </c>
      <c r="AK3792" t="str">
        <f>T("106")</f>
        <v>106</v>
      </c>
    </row>
    <row r="3793" spans="1:37" x14ac:dyDescent="0.3">
      <c r="A3793" t="s">
        <v>11765</v>
      </c>
      <c r="B3793" t="s">
        <v>11766</v>
      </c>
      <c r="C3793" t="s">
        <v>11767</v>
      </c>
      <c r="D3793" t="s">
        <v>3667</v>
      </c>
      <c r="K3793" t="str">
        <f>T("173.315")</f>
        <v>173.315</v>
      </c>
    </row>
    <row r="3794" spans="1:37" x14ac:dyDescent="0.3">
      <c r="A3794" t="s">
        <v>11768</v>
      </c>
      <c r="B3794" t="s">
        <v>11769</v>
      </c>
      <c r="C3794" t="s">
        <v>11770</v>
      </c>
      <c r="D3794" t="s">
        <v>4712</v>
      </c>
      <c r="K3794" t="str">
        <f>T("175.105")</f>
        <v>175.105</v>
      </c>
      <c r="L3794" t="str">
        <f>T("175.300")</f>
        <v>175.300</v>
      </c>
      <c r="M3794" t="str">
        <f>T("175.3520")</f>
        <v>175.3520</v>
      </c>
      <c r="N3794" t="str">
        <f>T("176.180")</f>
        <v>176.180</v>
      </c>
      <c r="O3794" t="str">
        <f>T("176.320")</f>
        <v>176.320</v>
      </c>
      <c r="P3794" t="str">
        <f>T("177.1200")</f>
        <v>177.1200</v>
      </c>
      <c r="Q3794" t="str">
        <f>T("177.1900")</f>
        <v>177.1900</v>
      </c>
      <c r="R3794" t="str">
        <f>T("184.1923")</f>
        <v>184.1923</v>
      </c>
    </row>
    <row r="3795" spans="1:37" x14ac:dyDescent="0.3">
      <c r="A3795" t="s">
        <v>11771</v>
      </c>
      <c r="B3795" t="s">
        <v>11772</v>
      </c>
      <c r="C3795" t="s">
        <v>11773</v>
      </c>
      <c r="K3795" t="str">
        <f>T("184.1924")</f>
        <v>184.1924</v>
      </c>
    </row>
    <row r="3796" spans="1:37" x14ac:dyDescent="0.3">
      <c r="A3796" t="s">
        <v>11774</v>
      </c>
      <c r="B3796" t="s">
        <v>11775</v>
      </c>
      <c r="C3796" t="s">
        <v>11776</v>
      </c>
      <c r="D3796" t="s">
        <v>7</v>
      </c>
      <c r="AG3796" t="str">
        <f>T("3443")</f>
        <v>3443</v>
      </c>
      <c r="AH3796" t="str">
        <f>T("8")</f>
        <v>8</v>
      </c>
      <c r="AI3796" t="str">
        <f>T("25")</f>
        <v>25</v>
      </c>
      <c r="AK3796" t="str">
        <f>T("1337")</f>
        <v>1337</v>
      </c>
    </row>
    <row r="3797" spans="1:37" x14ac:dyDescent="0.3">
      <c r="A3797" t="s">
        <v>11777</v>
      </c>
      <c r="B3797" t="s">
        <v>11778</v>
      </c>
      <c r="C3797" t="s">
        <v>11779</v>
      </c>
      <c r="D3797" t="s">
        <v>7</v>
      </c>
      <c r="K3797" t="str">
        <f>T("172.515")</f>
        <v>172.515</v>
      </c>
      <c r="AG3797" t="str">
        <f>T("3098")</f>
        <v>3098</v>
      </c>
      <c r="AH3797" t="str">
        <f>T("3")</f>
        <v>3</v>
      </c>
      <c r="AK3797" t="str">
        <f>T("89")</f>
        <v>89</v>
      </c>
    </row>
    <row r="3798" spans="1:37" x14ac:dyDescent="0.3">
      <c r="A3798" t="s">
        <v>11780</v>
      </c>
      <c r="B3798" t="s">
        <v>11781</v>
      </c>
      <c r="C3798" t="s">
        <v>11782</v>
      </c>
      <c r="D3798" t="s">
        <v>7</v>
      </c>
      <c r="AG3798" t="str">
        <f>T("4375")</f>
        <v>4375</v>
      </c>
      <c r="AH3798" t="str">
        <f>T("23")</f>
        <v>23</v>
      </c>
      <c r="AK3798" t="str">
        <f>T("1731")</f>
        <v>1731</v>
      </c>
    </row>
    <row r="3799" spans="1:37" x14ac:dyDescent="0.3">
      <c r="A3799" t="s">
        <v>11783</v>
      </c>
      <c r="B3799" t="s">
        <v>11784</v>
      </c>
      <c r="C3799" t="s">
        <v>11785</v>
      </c>
      <c r="D3799" t="s">
        <v>7</v>
      </c>
      <c r="AG3799" t="str">
        <f>T("4372")</f>
        <v>4372</v>
      </c>
      <c r="AH3799" t="str">
        <f>T("23")</f>
        <v>23</v>
      </c>
      <c r="AK3799" t="str">
        <f>T("1734")</f>
        <v>1734</v>
      </c>
    </row>
    <row r="3800" spans="1:37" x14ac:dyDescent="0.3">
      <c r="A3800" t="s">
        <v>11786</v>
      </c>
      <c r="B3800" t="s">
        <v>11787</v>
      </c>
      <c r="C3800" t="s">
        <v>11788</v>
      </c>
      <c r="D3800" t="s">
        <v>7</v>
      </c>
      <c r="K3800" t="str">
        <f>T("172.510")</f>
        <v>172.510</v>
      </c>
      <c r="AG3800" t="str">
        <f>T("3099")</f>
        <v>3099</v>
      </c>
      <c r="AH3800" t="str">
        <f>T("3")</f>
        <v>3</v>
      </c>
    </row>
    <row r="3801" spans="1:37" x14ac:dyDescent="0.3">
      <c r="A3801" t="s">
        <v>11789</v>
      </c>
      <c r="B3801" t="s">
        <v>11790</v>
      </c>
      <c r="C3801" t="s">
        <v>11791</v>
      </c>
      <c r="D3801" t="s">
        <v>7</v>
      </c>
      <c r="K3801" t="str">
        <f>T("172.510")</f>
        <v>172.510</v>
      </c>
      <c r="AG3801" t="str">
        <f>T("3100")</f>
        <v>3100</v>
      </c>
      <c r="AH3801" t="str">
        <f>T("3")</f>
        <v>3</v>
      </c>
    </row>
    <row r="3802" spans="1:37" x14ac:dyDescent="0.3">
      <c r="A3802" t="s">
        <v>11792</v>
      </c>
      <c r="B3802" t="s">
        <v>11793</v>
      </c>
      <c r="C3802" t="s">
        <v>11794</v>
      </c>
      <c r="D3802" t="s">
        <v>7</v>
      </c>
      <c r="K3802" t="str">
        <f>T("172.515")</f>
        <v>172.515</v>
      </c>
      <c r="L3802" t="str">
        <f>T("173.315")</f>
        <v>173.315</v>
      </c>
      <c r="AG3802" t="str">
        <f>T("3101")</f>
        <v>3101</v>
      </c>
      <c r="AH3802" t="str">
        <f>T("3")</f>
        <v>3</v>
      </c>
      <c r="AK3802" t="str">
        <f>T("90")</f>
        <v>90</v>
      </c>
    </row>
    <row r="3803" spans="1:37" x14ac:dyDescent="0.3">
      <c r="A3803" t="s">
        <v>11795</v>
      </c>
      <c r="B3803" t="s">
        <v>11796</v>
      </c>
      <c r="C3803" t="s">
        <v>11797</v>
      </c>
      <c r="D3803" t="s">
        <v>7</v>
      </c>
      <c r="AG3803" t="str">
        <f>T("3103")</f>
        <v>3103</v>
      </c>
      <c r="AH3803" t="str">
        <f>T("3")</f>
        <v>3</v>
      </c>
      <c r="AI3803" t="str">
        <f>T("25")</f>
        <v>25</v>
      </c>
      <c r="AK3803" t="str">
        <f>T("220")</f>
        <v>220</v>
      </c>
    </row>
    <row r="3804" spans="1:37" x14ac:dyDescent="0.3">
      <c r="A3804" t="s">
        <v>11798</v>
      </c>
      <c r="B3804" t="s">
        <v>11799</v>
      </c>
      <c r="C3804" t="s">
        <v>11800</v>
      </c>
      <c r="D3804" t="s">
        <v>3328</v>
      </c>
      <c r="K3804" t="str">
        <f>T("172.320")</f>
        <v>172.320</v>
      </c>
    </row>
    <row r="3805" spans="1:37" x14ac:dyDescent="0.3">
      <c r="A3805" t="s">
        <v>11801</v>
      </c>
      <c r="B3805" t="s">
        <v>11802</v>
      </c>
      <c r="K3805" t="str">
        <f>T("182.20")</f>
        <v>182.20</v>
      </c>
    </row>
    <row r="3806" spans="1:37" x14ac:dyDescent="0.3">
      <c r="A3806" t="s">
        <v>11803</v>
      </c>
      <c r="B3806" t="s">
        <v>11804</v>
      </c>
      <c r="C3806" t="s">
        <v>11805</v>
      </c>
      <c r="D3806" t="s">
        <v>286</v>
      </c>
      <c r="K3806" t="str">
        <f>T("182.20")</f>
        <v>182.20</v>
      </c>
      <c r="AF3806" t="s">
        <v>11806</v>
      </c>
      <c r="AG3806" t="str">
        <f>T("3105")</f>
        <v>3105</v>
      </c>
      <c r="AH3806" t="str">
        <f>T("3")</f>
        <v>3</v>
      </c>
    </row>
    <row r="3807" spans="1:37" x14ac:dyDescent="0.3">
      <c r="A3807" t="s">
        <v>11807</v>
      </c>
      <c r="B3807" t="s">
        <v>11808</v>
      </c>
      <c r="C3807" t="s">
        <v>11809</v>
      </c>
      <c r="D3807" t="s">
        <v>7</v>
      </c>
      <c r="K3807" t="str">
        <f>T("182.20")</f>
        <v>182.20</v>
      </c>
      <c r="AF3807" t="s">
        <v>11810</v>
      </c>
      <c r="AG3807" t="str">
        <f>T("3106")</f>
        <v>3106</v>
      </c>
      <c r="AH3807" t="str">
        <f>T("3")</f>
        <v>3</v>
      </c>
    </row>
    <row r="3808" spans="1:37" x14ac:dyDescent="0.3">
      <c r="A3808" t="s">
        <v>11811</v>
      </c>
      <c r="B3808" t="s">
        <v>11812</v>
      </c>
      <c r="C3808" t="s">
        <v>11813</v>
      </c>
      <c r="D3808" t="s">
        <v>7</v>
      </c>
      <c r="K3808" t="str">
        <f>T("182.10")</f>
        <v>182.10</v>
      </c>
      <c r="AF3808" t="s">
        <v>11814</v>
      </c>
      <c r="AG3808" t="str">
        <f>T("3104")</f>
        <v>3104</v>
      </c>
      <c r="AH3808" t="str">
        <f>T("3")</f>
        <v>3</v>
      </c>
    </row>
    <row r="3809" spans="1:37" x14ac:dyDescent="0.3">
      <c r="A3809" t="s">
        <v>11815</v>
      </c>
      <c r="B3809" t="s">
        <v>11816</v>
      </c>
      <c r="C3809" t="s">
        <v>11817</v>
      </c>
      <c r="D3809" t="s">
        <v>7</v>
      </c>
      <c r="AG3809" t="str">
        <f>T("3988")</f>
        <v>3988</v>
      </c>
      <c r="AH3809" t="str">
        <f>T("20")</f>
        <v>20</v>
      </c>
      <c r="AK3809" t="str">
        <f>T("959")</f>
        <v>959</v>
      </c>
    </row>
    <row r="3810" spans="1:37" x14ac:dyDescent="0.3">
      <c r="A3810" t="s">
        <v>11818</v>
      </c>
      <c r="B3810" t="s">
        <v>11819</v>
      </c>
      <c r="C3810" t="s">
        <v>11820</v>
      </c>
      <c r="D3810" t="s">
        <v>286</v>
      </c>
      <c r="K3810" t="str">
        <f>T("182.60")</f>
        <v>182.60</v>
      </c>
      <c r="L3810" t="str">
        <f>T("182.90")</f>
        <v>182.90</v>
      </c>
      <c r="AF3810" t="s">
        <v>11821</v>
      </c>
      <c r="AG3810" t="str">
        <f>T("3107")</f>
        <v>3107</v>
      </c>
      <c r="AH3810" t="str">
        <f>T("3")</f>
        <v>3</v>
      </c>
      <c r="AK3810" t="str">
        <f>T("889")</f>
        <v>889</v>
      </c>
    </row>
    <row r="3811" spans="1:37" x14ac:dyDescent="0.3">
      <c r="A3811" t="s">
        <v>11822</v>
      </c>
      <c r="B3811" t="s">
        <v>11823</v>
      </c>
      <c r="C3811" t="s">
        <v>11824</v>
      </c>
      <c r="D3811" t="s">
        <v>15</v>
      </c>
      <c r="K3811" t="str">
        <f>T("172.515")</f>
        <v>172.515</v>
      </c>
      <c r="AG3811" t="str">
        <f>T("3108")</f>
        <v>3108</v>
      </c>
      <c r="AH3811" t="str">
        <f>T("3")</f>
        <v>3</v>
      </c>
      <c r="AK3811" t="str">
        <f>T("890")</f>
        <v>890</v>
      </c>
    </row>
    <row r="3812" spans="1:37" x14ac:dyDescent="0.3">
      <c r="A3812" t="s">
        <v>11825</v>
      </c>
      <c r="B3812" t="s">
        <v>11826</v>
      </c>
      <c r="C3812" t="s">
        <v>11827</v>
      </c>
      <c r="D3812" t="s">
        <v>7</v>
      </c>
      <c r="AG3812" t="str">
        <f>T("4023")</f>
        <v>4023</v>
      </c>
      <c r="AH3812" t="str">
        <f>T("20")</f>
        <v>20</v>
      </c>
      <c r="AK3812" t="str">
        <f>T("960")</f>
        <v>960</v>
      </c>
    </row>
    <row r="3813" spans="1:37" x14ac:dyDescent="0.3">
      <c r="A3813" t="s">
        <v>11828</v>
      </c>
      <c r="B3813" t="s">
        <v>11829</v>
      </c>
      <c r="C3813" t="s">
        <v>11830</v>
      </c>
      <c r="D3813" t="s">
        <v>7</v>
      </c>
      <c r="AG3813" t="str">
        <f>T("3754")</f>
        <v>3754</v>
      </c>
      <c r="AH3813" t="str">
        <f>T("14")</f>
        <v>14</v>
      </c>
      <c r="AK3813" t="str">
        <f>T("891")</f>
        <v>891</v>
      </c>
    </row>
    <row r="3814" spans="1:37" x14ac:dyDescent="0.3">
      <c r="A3814" t="s">
        <v>11831</v>
      </c>
      <c r="B3814" t="s">
        <v>11832</v>
      </c>
      <c r="C3814" t="s">
        <v>11833</v>
      </c>
      <c r="D3814" t="s">
        <v>7</v>
      </c>
      <c r="AG3814" t="str">
        <f>T("3904")</f>
        <v>3904</v>
      </c>
      <c r="AH3814" t="str">
        <f>T("18")</f>
        <v>18</v>
      </c>
      <c r="AK3814" t="str">
        <f>T("1879")</f>
        <v>1879</v>
      </c>
    </row>
    <row r="3815" spans="1:37" x14ac:dyDescent="0.3">
      <c r="A3815" t="s">
        <v>11834</v>
      </c>
      <c r="B3815" t="s">
        <v>11835</v>
      </c>
      <c r="C3815" t="s">
        <v>11836</v>
      </c>
      <c r="D3815" t="s">
        <v>7</v>
      </c>
      <c r="AG3815" t="str">
        <f>T("3905")</f>
        <v>3905</v>
      </c>
      <c r="AH3815" t="str">
        <f>T("18")</f>
        <v>18</v>
      </c>
      <c r="AK3815" t="str">
        <f>T("1882")</f>
        <v>1882</v>
      </c>
    </row>
    <row r="3816" spans="1:37" x14ac:dyDescent="0.3">
      <c r="A3816" t="s">
        <v>11837</v>
      </c>
      <c r="B3816" t="s">
        <v>11838</v>
      </c>
      <c r="C3816" t="s">
        <v>11839</v>
      </c>
      <c r="D3816" t="s">
        <v>7</v>
      </c>
      <c r="AG3816" t="str">
        <f>T("3737")</f>
        <v>3737</v>
      </c>
      <c r="AH3816" t="str">
        <f>T("13")</f>
        <v>13</v>
      </c>
      <c r="AK3816" t="str">
        <f>T("886")</f>
        <v>886</v>
      </c>
    </row>
    <row r="3817" spans="1:37" x14ac:dyDescent="0.3">
      <c r="A3817" t="s">
        <v>11840</v>
      </c>
      <c r="B3817" t="s">
        <v>11841</v>
      </c>
      <c r="C3817" t="s">
        <v>11842</v>
      </c>
      <c r="D3817" t="s">
        <v>7</v>
      </c>
      <c r="AG3817" t="str">
        <f>T("3796")</f>
        <v>3796</v>
      </c>
      <c r="AH3817" t="str">
        <f>T("16")</f>
        <v>16</v>
      </c>
      <c r="AI3817" t="str">
        <f>T("25")</f>
        <v>25</v>
      </c>
      <c r="AK3817" t="str">
        <f>T("888")</f>
        <v>888</v>
      </c>
    </row>
    <row r="3818" spans="1:37" x14ac:dyDescent="0.3">
      <c r="A3818" t="s">
        <v>11843</v>
      </c>
      <c r="B3818" t="s">
        <v>11844</v>
      </c>
      <c r="C3818" t="s">
        <v>11845</v>
      </c>
      <c r="D3818" t="s">
        <v>7</v>
      </c>
      <c r="AG3818" t="str">
        <f>T("3815")</f>
        <v>3815</v>
      </c>
      <c r="AH3818" t="str">
        <f>T("17")</f>
        <v>17</v>
      </c>
      <c r="AI3818" t="str">
        <f>T("22")</f>
        <v>22</v>
      </c>
      <c r="AK3818" t="str">
        <f>T("887")</f>
        <v>887</v>
      </c>
    </row>
    <row r="3819" spans="1:37" x14ac:dyDescent="0.3">
      <c r="A3819" t="s">
        <v>11846</v>
      </c>
      <c r="B3819" t="s">
        <v>11847</v>
      </c>
      <c r="C3819" t="s">
        <v>11848</v>
      </c>
      <c r="D3819" t="s">
        <v>15</v>
      </c>
      <c r="AG3819" t="str">
        <f>T("3738")</f>
        <v>3738</v>
      </c>
      <c r="AH3819" t="str">
        <f>T("13")</f>
        <v>13</v>
      </c>
      <c r="AI3819" t="str">
        <f>T("19")</f>
        <v>19</v>
      </c>
      <c r="AK3819" t="str">
        <f>T("732")</f>
        <v>732</v>
      </c>
    </row>
    <row r="3820" spans="1:37" x14ac:dyDescent="0.3">
      <c r="A3820" t="s">
        <v>11849</v>
      </c>
      <c r="B3820" t="s">
        <v>11850</v>
      </c>
      <c r="D3820" t="s">
        <v>11851</v>
      </c>
    </row>
    <row r="3821" spans="1:37" x14ac:dyDescent="0.3">
      <c r="A3821" t="s">
        <v>11852</v>
      </c>
      <c r="B3821" t="s">
        <v>11853</v>
      </c>
      <c r="C3821" t="s">
        <v>11854</v>
      </c>
      <c r="D3821" t="s">
        <v>606</v>
      </c>
      <c r="E3821" t="str">
        <f>T("73.260")</f>
        <v>73.260</v>
      </c>
      <c r="AF3821" t="str">
        <f>T("146.126")</f>
        <v>146.126</v>
      </c>
    </row>
    <row r="3822" spans="1:37" x14ac:dyDescent="0.3">
      <c r="A3822" t="s">
        <v>11855</v>
      </c>
      <c r="B3822" t="s">
        <v>11856</v>
      </c>
      <c r="C3822" t="s">
        <v>11857</v>
      </c>
      <c r="D3822" t="s">
        <v>7</v>
      </c>
      <c r="K3822" t="str">
        <f>T("172.515")</f>
        <v>172.515</v>
      </c>
      <c r="AG3822" t="str">
        <f>T("3109")</f>
        <v>3109</v>
      </c>
      <c r="AH3822" t="str">
        <f>T("3")</f>
        <v>3</v>
      </c>
      <c r="AI3822" t="str">
        <f>T("25")</f>
        <v>25</v>
      </c>
      <c r="AK3822" t="str">
        <f>T("877")</f>
        <v>877</v>
      </c>
    </row>
    <row r="3823" spans="1:37" x14ac:dyDescent="0.3">
      <c r="A3823" t="s">
        <v>11858</v>
      </c>
      <c r="B3823" t="s">
        <v>11859</v>
      </c>
      <c r="C3823" t="s">
        <v>11860</v>
      </c>
      <c r="D3823" t="s">
        <v>7</v>
      </c>
      <c r="K3823" t="str">
        <f>T("172.515")</f>
        <v>172.515</v>
      </c>
      <c r="AG3823" t="str">
        <f>T("3594")</f>
        <v>3594</v>
      </c>
      <c r="AH3823" t="str">
        <f>T("11")</f>
        <v>11</v>
      </c>
      <c r="AK3823" t="str">
        <f>T("1404")</f>
        <v>1404</v>
      </c>
    </row>
    <row r="3824" spans="1:37" x14ac:dyDescent="0.3">
      <c r="A3824" t="s">
        <v>11861</v>
      </c>
      <c r="B3824" t="s">
        <v>11862</v>
      </c>
      <c r="C3824" t="s">
        <v>11863</v>
      </c>
      <c r="D3824" t="s">
        <v>7</v>
      </c>
      <c r="AG3824" t="str">
        <f>T("4216")</f>
        <v>4216</v>
      </c>
      <c r="AH3824" t="str">
        <f>T("22")</f>
        <v>22</v>
      </c>
      <c r="AK3824" t="str">
        <f>T("1870")</f>
        <v>1870</v>
      </c>
    </row>
    <row r="3825" spans="1:37" x14ac:dyDescent="0.3">
      <c r="A3825" t="s">
        <v>11864</v>
      </c>
      <c r="B3825" t="s">
        <v>11865</v>
      </c>
      <c r="C3825" t="s">
        <v>11866</v>
      </c>
      <c r="D3825" t="s">
        <v>7</v>
      </c>
      <c r="K3825" t="str">
        <f>T("172.510")</f>
        <v>172.510</v>
      </c>
    </row>
    <row r="3826" spans="1:37" x14ac:dyDescent="0.3">
      <c r="A3826" t="s">
        <v>11867</v>
      </c>
      <c r="B3826" t="s">
        <v>11868</v>
      </c>
      <c r="C3826" t="s">
        <v>11869</v>
      </c>
      <c r="K3826" t="str">
        <f>T("172.510")</f>
        <v>172.510</v>
      </c>
    </row>
    <row r="3827" spans="1:37" x14ac:dyDescent="0.3">
      <c r="A3827" t="s">
        <v>11870</v>
      </c>
      <c r="B3827" t="s">
        <v>11871</v>
      </c>
      <c r="C3827" t="s">
        <v>11872</v>
      </c>
      <c r="D3827" t="s">
        <v>7</v>
      </c>
      <c r="K3827" t="str">
        <f>T("172.510")</f>
        <v>172.510</v>
      </c>
    </row>
    <row r="3828" spans="1:37" x14ac:dyDescent="0.3">
      <c r="A3828" t="s">
        <v>11873</v>
      </c>
      <c r="B3828" t="s">
        <v>11874</v>
      </c>
      <c r="C3828" t="s">
        <v>11875</v>
      </c>
      <c r="AG3828" t="str">
        <f>T("4217")</f>
        <v>4217</v>
      </c>
      <c r="AH3828" t="str">
        <f>T("22")</f>
        <v>22</v>
      </c>
      <c r="AK3828" t="str">
        <f>T("1866")</f>
        <v>1866</v>
      </c>
    </row>
    <row r="3829" spans="1:37" x14ac:dyDescent="0.3">
      <c r="A3829" t="s">
        <v>11876</v>
      </c>
      <c r="B3829" t="s">
        <v>11877</v>
      </c>
      <c r="C3829" t="s">
        <v>11878</v>
      </c>
      <c r="D3829" t="s">
        <v>7</v>
      </c>
      <c r="K3829" t="str">
        <f>T("172.510")</f>
        <v>172.510</v>
      </c>
    </row>
    <row r="3830" spans="1:37" x14ac:dyDescent="0.3">
      <c r="A3830" t="s">
        <v>11879</v>
      </c>
      <c r="B3830" t="s">
        <v>11880</v>
      </c>
      <c r="C3830" t="s">
        <v>11881</v>
      </c>
      <c r="D3830" t="s">
        <v>7</v>
      </c>
      <c r="AG3830" t="str">
        <f>T("4218")</f>
        <v>4218</v>
      </c>
      <c r="AH3830" t="str">
        <f>T("22")</f>
        <v>22</v>
      </c>
      <c r="AK3830" t="str">
        <f>T("1867")</f>
        <v>1867</v>
      </c>
    </row>
    <row r="3831" spans="1:37" x14ac:dyDescent="0.3">
      <c r="A3831" t="s">
        <v>11882</v>
      </c>
      <c r="B3831" t="s">
        <v>11883</v>
      </c>
      <c r="C3831" t="s">
        <v>11884</v>
      </c>
      <c r="D3831" t="s">
        <v>11885</v>
      </c>
      <c r="K3831" t="str">
        <f>T("172.892")</f>
        <v>172.892</v>
      </c>
      <c r="L3831" t="str">
        <f>T("175.105")</f>
        <v>175.105</v>
      </c>
      <c r="M3831" t="str">
        <f>T("175.320")</f>
        <v>175.320</v>
      </c>
      <c r="N3831" t="str">
        <f>T("175.350")</f>
        <v>175.350</v>
      </c>
      <c r="O3831" t="str">
        <f>T("176.170")</f>
        <v>176.170</v>
      </c>
      <c r="P3831" t="str">
        <f>T("176.180")</f>
        <v>176.180</v>
      </c>
      <c r="Q3831" t="str">
        <f>T("177.1330")</f>
        <v>177.1330</v>
      </c>
      <c r="R3831" t="str">
        <f>T("177.1350")</f>
        <v>177.1350</v>
      </c>
      <c r="S3831" t="str">
        <f>T("177.1360")</f>
        <v>177.1360</v>
      </c>
      <c r="T3831" t="str">
        <f>T("177.1390")</f>
        <v>177.1390</v>
      </c>
      <c r="U3831" t="str">
        <f>T("177.2250")</f>
        <v>177.2250</v>
      </c>
      <c r="V3831" t="str">
        <f>T("177.2260")</f>
        <v>177.2260</v>
      </c>
      <c r="W3831" t="str">
        <f>T("177.2800")</f>
        <v>177.2800</v>
      </c>
    </row>
    <row r="3832" spans="1:37" x14ac:dyDescent="0.3">
      <c r="A3832" t="s">
        <v>11886</v>
      </c>
      <c r="B3832" t="s">
        <v>11887</v>
      </c>
      <c r="C3832" t="s">
        <v>11888</v>
      </c>
      <c r="D3832" t="s">
        <v>7</v>
      </c>
      <c r="AG3832" t="s">
        <v>11889</v>
      </c>
      <c r="AH3832" t="s">
        <v>11890</v>
      </c>
      <c r="AI3832" t="str">
        <f>T("17")</f>
        <v>17</v>
      </c>
      <c r="AJ3832" t="s">
        <v>8108</v>
      </c>
    </row>
    <row r="3833" spans="1:37" x14ac:dyDescent="0.3">
      <c r="A3833" t="s">
        <v>11891</v>
      </c>
      <c r="B3833" t="s">
        <v>11892</v>
      </c>
      <c r="C3833" t="s">
        <v>11893</v>
      </c>
      <c r="D3833" t="s">
        <v>2253</v>
      </c>
      <c r="K3833" t="str">
        <f>T("172.210")</f>
        <v>172.210</v>
      </c>
      <c r="L3833" t="str">
        <f>T("175.105")</f>
        <v>175.105</v>
      </c>
      <c r="M3833" t="str">
        <f>T("175.300")</f>
        <v>175.300</v>
      </c>
      <c r="N3833" t="str">
        <f>T("175.320")</f>
        <v>175.320</v>
      </c>
      <c r="O3833" t="str">
        <f>T("176.170")</f>
        <v>176.170</v>
      </c>
      <c r="P3833" t="str">
        <f>T("176.180")</f>
        <v>176.180</v>
      </c>
      <c r="Q3833" t="str">
        <f>T("177.1200")</f>
        <v>177.1200</v>
      </c>
      <c r="R3833" t="str">
        <f>T("177.1630")</f>
        <v>177.1630</v>
      </c>
      <c r="S3833" t="str">
        <f>T("179.45")</f>
        <v>179.45</v>
      </c>
    </row>
    <row r="3834" spans="1:37" x14ac:dyDescent="0.3">
      <c r="A3834" t="s">
        <v>11894</v>
      </c>
      <c r="B3834" t="s">
        <v>11895</v>
      </c>
      <c r="C3834" t="s">
        <v>11896</v>
      </c>
      <c r="D3834" t="s">
        <v>7</v>
      </c>
      <c r="AG3834" t="str">
        <f>T("3739")</f>
        <v>3739</v>
      </c>
      <c r="AH3834" t="str">
        <f>T("13")</f>
        <v>13</v>
      </c>
      <c r="AK3834" t="str">
        <f>T("711")</f>
        <v>711</v>
      </c>
    </row>
    <row r="3835" spans="1:37" x14ac:dyDescent="0.3">
      <c r="A3835" t="s">
        <v>11897</v>
      </c>
      <c r="B3835" t="s">
        <v>11898</v>
      </c>
      <c r="C3835" t="s">
        <v>11899</v>
      </c>
      <c r="D3835" t="s">
        <v>7</v>
      </c>
      <c r="K3835" t="str">
        <f>T("182.20")</f>
        <v>182.20</v>
      </c>
      <c r="AG3835" t="str">
        <f>T("3110")</f>
        <v>3110</v>
      </c>
      <c r="AH3835" t="str">
        <f>T("3")</f>
        <v>3</v>
      </c>
    </row>
    <row r="3836" spans="1:37" x14ac:dyDescent="0.3">
      <c r="A3836" t="s">
        <v>11900</v>
      </c>
      <c r="B3836" t="s">
        <v>11901</v>
      </c>
      <c r="C3836" t="s">
        <v>11902</v>
      </c>
      <c r="K3836" t="str">
        <f>T("172.510")</f>
        <v>172.510</v>
      </c>
    </row>
    <row r="3837" spans="1:37" x14ac:dyDescent="0.3">
      <c r="A3837" t="s">
        <v>11903</v>
      </c>
      <c r="B3837" t="s">
        <v>11904</v>
      </c>
      <c r="C3837" t="s">
        <v>11905</v>
      </c>
      <c r="D3837" t="s">
        <v>137</v>
      </c>
      <c r="K3837" t="str">
        <f>T("184.1245")</f>
        <v>184.1245</v>
      </c>
      <c r="L3837" t="str">
        <f>T("184.1930")</f>
        <v>184.1930</v>
      </c>
      <c r="AF3837" t="s">
        <v>11906</v>
      </c>
    </row>
    <row r="3838" spans="1:37" x14ac:dyDescent="0.3">
      <c r="A3838" t="s">
        <v>11907</v>
      </c>
      <c r="B3838" t="s">
        <v>11908</v>
      </c>
      <c r="C3838" t="s">
        <v>11909</v>
      </c>
      <c r="D3838" t="s">
        <v>137</v>
      </c>
      <c r="K3838" t="str">
        <f>T("184.1930")</f>
        <v>184.1930</v>
      </c>
    </row>
    <row r="3839" spans="1:37" x14ac:dyDescent="0.3">
      <c r="A3839" t="s">
        <v>11910</v>
      </c>
      <c r="B3839" t="s">
        <v>11911</v>
      </c>
      <c r="C3839" t="s">
        <v>11912</v>
      </c>
      <c r="D3839" t="s">
        <v>137</v>
      </c>
      <c r="K3839" t="str">
        <f>T("172.775")</f>
        <v>172.775</v>
      </c>
      <c r="L3839" t="str">
        <f>T("184.1945")</f>
        <v>184.1945</v>
      </c>
      <c r="AF3839" t="s">
        <v>1068</v>
      </c>
    </row>
    <row r="3840" spans="1:37" x14ac:dyDescent="0.3">
      <c r="A3840" t="s">
        <v>11913</v>
      </c>
      <c r="B3840" t="s">
        <v>11914</v>
      </c>
      <c r="C3840" t="s">
        <v>11915</v>
      </c>
      <c r="D3840" t="s">
        <v>137</v>
      </c>
    </row>
    <row r="3841" spans="1:34" x14ac:dyDescent="0.3">
      <c r="A3841" t="s">
        <v>11916</v>
      </c>
      <c r="B3841" t="s">
        <v>11917</v>
      </c>
      <c r="C3841" t="s">
        <v>11918</v>
      </c>
      <c r="D3841" t="s">
        <v>137</v>
      </c>
      <c r="K3841" t="str">
        <f>T("184.1950")</f>
        <v>184.1950</v>
      </c>
      <c r="AF3841" t="s">
        <v>11919</v>
      </c>
    </row>
    <row r="3842" spans="1:34" x14ac:dyDescent="0.3">
      <c r="A3842" t="s">
        <v>11920</v>
      </c>
      <c r="B3842" t="s">
        <v>11921</v>
      </c>
      <c r="C3842" t="s">
        <v>11922</v>
      </c>
      <c r="D3842" t="s">
        <v>137</v>
      </c>
      <c r="K3842" t="str">
        <f>T("172.379")</f>
        <v>172.379</v>
      </c>
      <c r="L3842" t="str">
        <f>T("184.1950")</f>
        <v>184.1950</v>
      </c>
    </row>
    <row r="3843" spans="1:34" x14ac:dyDescent="0.3">
      <c r="A3843" t="s">
        <v>11923</v>
      </c>
      <c r="B3843" t="s">
        <v>11924</v>
      </c>
      <c r="C3843" t="s">
        <v>11925</v>
      </c>
      <c r="D3843" t="s">
        <v>137</v>
      </c>
      <c r="K3843" t="str">
        <f>T("172.380")</f>
        <v>172.380</v>
      </c>
      <c r="L3843" t="str">
        <f>T("184.1950")</f>
        <v>184.1950</v>
      </c>
    </row>
    <row r="3844" spans="1:34" x14ac:dyDescent="0.3">
      <c r="A3844" t="s">
        <v>11926</v>
      </c>
      <c r="B3844" t="s">
        <v>11927</v>
      </c>
      <c r="C3844" t="s">
        <v>11928</v>
      </c>
      <c r="D3844" t="s">
        <v>137</v>
      </c>
      <c r="AF3844" t="s">
        <v>1068</v>
      </c>
    </row>
    <row r="3845" spans="1:34" x14ac:dyDescent="0.3">
      <c r="A3845" t="s">
        <v>11929</v>
      </c>
      <c r="B3845" t="s">
        <v>11930</v>
      </c>
      <c r="C3845" t="s">
        <v>11931</v>
      </c>
      <c r="D3845" t="s">
        <v>4302</v>
      </c>
      <c r="K3845" t="str">
        <f>T("184.1930")</f>
        <v>184.1930</v>
      </c>
    </row>
    <row r="3846" spans="1:34" x14ac:dyDescent="0.3">
      <c r="A3846" t="s">
        <v>11932</v>
      </c>
      <c r="B3846" t="s">
        <v>11933</v>
      </c>
      <c r="C3846" t="s">
        <v>11934</v>
      </c>
      <c r="D3846" t="s">
        <v>7</v>
      </c>
      <c r="K3846" t="str">
        <f>T("172.510")</f>
        <v>172.510</v>
      </c>
      <c r="AG3846" t="str">
        <f>T("3111")</f>
        <v>3111</v>
      </c>
      <c r="AH3846" t="str">
        <f>T("3")</f>
        <v>3</v>
      </c>
    </row>
    <row r="3847" spans="1:34" x14ac:dyDescent="0.3">
      <c r="A3847" t="s">
        <v>11935</v>
      </c>
      <c r="B3847" t="s">
        <v>11936</v>
      </c>
      <c r="C3847" t="s">
        <v>11937</v>
      </c>
      <c r="D3847" t="s">
        <v>7</v>
      </c>
      <c r="K3847" t="str">
        <f>T("172.510")</f>
        <v>172.510</v>
      </c>
    </row>
    <row r="3848" spans="1:34" x14ac:dyDescent="0.3">
      <c r="A3848" t="s">
        <v>11938</v>
      </c>
      <c r="B3848" t="s">
        <v>11939</v>
      </c>
      <c r="C3848" t="s">
        <v>11940</v>
      </c>
      <c r="D3848" t="s">
        <v>11941</v>
      </c>
      <c r="K3848" t="str">
        <f>T("184.1322")</f>
        <v>184.1322</v>
      </c>
    </row>
    <row r="3849" spans="1:34" x14ac:dyDescent="0.3">
      <c r="A3849" t="s">
        <v>11942</v>
      </c>
      <c r="B3849" t="s">
        <v>11943</v>
      </c>
      <c r="C3849" t="s">
        <v>11944</v>
      </c>
      <c r="D3849" t="s">
        <v>11945</v>
      </c>
      <c r="K3849" t="str">
        <f>T("182.70")</f>
        <v>182.70</v>
      </c>
    </row>
    <row r="3850" spans="1:34" x14ac:dyDescent="0.3">
      <c r="A3850" t="s">
        <v>11946</v>
      </c>
      <c r="B3850" t="s">
        <v>11947</v>
      </c>
      <c r="C3850" t="s">
        <v>11948</v>
      </c>
      <c r="D3850" t="s">
        <v>11949</v>
      </c>
      <c r="K3850" t="str">
        <f>T("184.1979")</f>
        <v>184.1979</v>
      </c>
      <c r="AF3850" t="s">
        <v>11950</v>
      </c>
    </row>
    <row r="3851" spans="1:34" x14ac:dyDescent="0.3">
      <c r="A3851" t="s">
        <v>11951</v>
      </c>
      <c r="B3851" t="s">
        <v>11952</v>
      </c>
      <c r="C3851" t="s">
        <v>11953</v>
      </c>
      <c r="D3851" t="s">
        <v>10788</v>
      </c>
      <c r="AF3851" t="s">
        <v>11954</v>
      </c>
    </row>
    <row r="3852" spans="1:34" x14ac:dyDescent="0.3">
      <c r="A3852" t="s">
        <v>11955</v>
      </c>
      <c r="B3852" t="s">
        <v>11956</v>
      </c>
      <c r="C3852" t="s">
        <v>11957</v>
      </c>
      <c r="D3852" t="s">
        <v>2285</v>
      </c>
      <c r="AF3852" t="s">
        <v>11958</v>
      </c>
    </row>
    <row r="3853" spans="1:34" x14ac:dyDescent="0.3">
      <c r="A3853" t="s">
        <v>11959</v>
      </c>
      <c r="B3853" t="s">
        <v>11960</v>
      </c>
      <c r="C3853" t="s">
        <v>11961</v>
      </c>
      <c r="D3853" t="s">
        <v>4712</v>
      </c>
      <c r="AF3853" t="s">
        <v>11962</v>
      </c>
    </row>
    <row r="3854" spans="1:34" x14ac:dyDescent="0.3">
      <c r="A3854" t="s">
        <v>11963</v>
      </c>
      <c r="B3854" t="s">
        <v>11964</v>
      </c>
      <c r="C3854" t="s">
        <v>11965</v>
      </c>
      <c r="D3854" t="s">
        <v>11966</v>
      </c>
      <c r="AF3854" t="s">
        <v>11967</v>
      </c>
    </row>
    <row r="3855" spans="1:34" x14ac:dyDescent="0.3">
      <c r="A3855" t="s">
        <v>11968</v>
      </c>
      <c r="B3855" t="s">
        <v>11969</v>
      </c>
      <c r="C3855" t="s">
        <v>11970</v>
      </c>
      <c r="D3855" t="s">
        <v>7</v>
      </c>
      <c r="AG3855" t="str">
        <f>T("3112")</f>
        <v>3112</v>
      </c>
      <c r="AH3855" t="str">
        <f>T("3")</f>
        <v>3</v>
      </c>
    </row>
    <row r="3856" spans="1:34" x14ac:dyDescent="0.3">
      <c r="A3856" t="s">
        <v>11971</v>
      </c>
      <c r="B3856" t="s">
        <v>11972</v>
      </c>
      <c r="C3856" t="s">
        <v>11973</v>
      </c>
      <c r="D3856" t="s">
        <v>7</v>
      </c>
      <c r="AG3856" t="str">
        <f>T("3113")</f>
        <v>3113</v>
      </c>
      <c r="AH3856" t="str">
        <f>T("3")</f>
        <v>3</v>
      </c>
    </row>
    <row r="3857" spans="1:37" x14ac:dyDescent="0.3">
      <c r="A3857" t="s">
        <v>11974</v>
      </c>
      <c r="B3857" t="s">
        <v>11975</v>
      </c>
      <c r="C3857" t="s">
        <v>11976</v>
      </c>
      <c r="D3857" t="s">
        <v>7</v>
      </c>
      <c r="K3857" t="str">
        <f>T("172.510")</f>
        <v>172.510</v>
      </c>
    </row>
    <row r="3858" spans="1:37" x14ac:dyDescent="0.3">
      <c r="A3858" t="s">
        <v>11977</v>
      </c>
      <c r="B3858" t="s">
        <v>11978</v>
      </c>
      <c r="C3858" t="s">
        <v>11979</v>
      </c>
    </row>
    <row r="3859" spans="1:37" x14ac:dyDescent="0.3">
      <c r="A3859" t="s">
        <v>11980</v>
      </c>
      <c r="B3859" t="s">
        <v>11981</v>
      </c>
      <c r="C3859" t="s">
        <v>11982</v>
      </c>
      <c r="D3859" t="s">
        <v>11983</v>
      </c>
      <c r="K3859" t="str">
        <f>T("172.695")</f>
        <v>172.695</v>
      </c>
      <c r="L3859" t="str">
        <f>T("176.170")</f>
        <v>176.170</v>
      </c>
      <c r="M3859" t="str">
        <f>T("177.1350")</f>
        <v>177.1350</v>
      </c>
      <c r="AF3859" t="s">
        <v>6130</v>
      </c>
    </row>
    <row r="3860" spans="1:37" x14ac:dyDescent="0.3">
      <c r="A3860" t="s">
        <v>11984</v>
      </c>
      <c r="B3860" t="s">
        <v>11985</v>
      </c>
      <c r="C3860" t="s">
        <v>11986</v>
      </c>
      <c r="E3860" t="str">
        <f>T("73.275")</f>
        <v>73.275</v>
      </c>
      <c r="F3860" t="str">
        <f>T("73.295")</f>
        <v>73.295</v>
      </c>
      <c r="G3860" t="str">
        <f>T("73.315")</f>
        <v>73.315</v>
      </c>
    </row>
    <row r="3861" spans="1:37" x14ac:dyDescent="0.3">
      <c r="A3861" t="s">
        <v>11987</v>
      </c>
      <c r="B3861" t="s">
        <v>11988</v>
      </c>
      <c r="C3861" t="s">
        <v>11989</v>
      </c>
      <c r="D3861" t="s">
        <v>15</v>
      </c>
      <c r="AG3861" t="str">
        <f>T("3595")</f>
        <v>3595</v>
      </c>
      <c r="AH3861" t="str">
        <f>T("11")</f>
        <v>11</v>
      </c>
      <c r="AI3861" t="str">
        <f>T("25")</f>
        <v>25</v>
      </c>
      <c r="AK3861" t="str">
        <f>T("706")</f>
        <v>706</v>
      </c>
    </row>
    <row r="3862" spans="1:37" x14ac:dyDescent="0.3">
      <c r="A3862" t="s">
        <v>11990</v>
      </c>
      <c r="B3862" t="s">
        <v>11991</v>
      </c>
      <c r="C3862" t="s">
        <v>11992</v>
      </c>
      <c r="D3862" t="s">
        <v>7</v>
      </c>
      <c r="K3862" t="str">
        <f>T("177.2460")</f>
        <v>177.2460</v>
      </c>
      <c r="AG3862" t="str">
        <f>T("3249")</f>
        <v>3249</v>
      </c>
      <c r="AH3862" t="str">
        <f>T("4")</f>
        <v>4</v>
      </c>
      <c r="AI3862" t="str">
        <f>T("25")</f>
        <v>25</v>
      </c>
      <c r="AK3862" t="str">
        <f>T("707")</f>
        <v>707</v>
      </c>
    </row>
    <row r="3863" spans="1:37" x14ac:dyDescent="0.3">
      <c r="A3863" t="s">
        <v>11993</v>
      </c>
      <c r="B3863" t="s">
        <v>11994</v>
      </c>
      <c r="C3863" t="s">
        <v>11995</v>
      </c>
      <c r="D3863" t="s">
        <v>7</v>
      </c>
      <c r="AG3863" t="str">
        <f>T("3596")</f>
        <v>3596</v>
      </c>
      <c r="AH3863" t="str">
        <f>T("11")</f>
        <v>11</v>
      </c>
      <c r="AI3863" t="str">
        <f>T("25")</f>
        <v>25</v>
      </c>
      <c r="AK3863" t="str">
        <f>T("708")</f>
        <v>708</v>
      </c>
    </row>
    <row r="3864" spans="1:37" x14ac:dyDescent="0.3">
      <c r="A3864" t="s">
        <v>11996</v>
      </c>
      <c r="B3864" t="s">
        <v>11997</v>
      </c>
      <c r="C3864" t="s">
        <v>11998</v>
      </c>
      <c r="D3864" t="s">
        <v>11999</v>
      </c>
      <c r="K3864" t="str">
        <f>T("172.395")</f>
        <v>172.395</v>
      </c>
      <c r="AF3864" t="s">
        <v>12000</v>
      </c>
    </row>
    <row r="3865" spans="1:37" x14ac:dyDescent="0.3">
      <c r="A3865" t="s">
        <v>12001</v>
      </c>
      <c r="B3865" t="s">
        <v>12002</v>
      </c>
      <c r="C3865" t="s">
        <v>12003</v>
      </c>
      <c r="D3865" t="s">
        <v>12004</v>
      </c>
      <c r="AG3865" t="str">
        <f>T("3606")</f>
        <v>3606</v>
      </c>
      <c r="AH3865" t="str">
        <f>T("12")</f>
        <v>12</v>
      </c>
    </row>
    <row r="3866" spans="1:37" x14ac:dyDescent="0.3">
      <c r="A3866" t="s">
        <v>12005</v>
      </c>
      <c r="B3866" t="s">
        <v>12006</v>
      </c>
      <c r="C3866" t="s">
        <v>12007</v>
      </c>
      <c r="D3866" t="s">
        <v>7</v>
      </c>
      <c r="K3866" t="str">
        <f>T("172.510")</f>
        <v>172.510</v>
      </c>
      <c r="AG3866" t="str">
        <f>T("3117")</f>
        <v>3117</v>
      </c>
      <c r="AH3866" t="str">
        <f>T("3")</f>
        <v>3</v>
      </c>
    </row>
    <row r="3867" spans="1:37" x14ac:dyDescent="0.3">
      <c r="A3867" t="s">
        <v>12008</v>
      </c>
      <c r="B3867" t="s">
        <v>12009</v>
      </c>
      <c r="C3867" t="s">
        <v>12010</v>
      </c>
      <c r="D3867" t="s">
        <v>7</v>
      </c>
      <c r="K3867" t="str">
        <f>T("172.510")</f>
        <v>172.510</v>
      </c>
    </row>
    <row r="3868" spans="1:37" x14ac:dyDescent="0.3">
      <c r="A3868" t="s">
        <v>12011</v>
      </c>
      <c r="B3868" t="s">
        <v>12012</v>
      </c>
      <c r="C3868" t="s">
        <v>12013</v>
      </c>
      <c r="D3868" t="s">
        <v>12014</v>
      </c>
    </row>
    <row r="3869" spans="1:37" x14ac:dyDescent="0.3">
      <c r="A3869" t="s">
        <v>12015</v>
      </c>
      <c r="B3869" t="s">
        <v>12016</v>
      </c>
      <c r="C3869" t="s">
        <v>12017</v>
      </c>
      <c r="D3869" t="s">
        <v>137</v>
      </c>
      <c r="AF3869" t="str">
        <f>T("137.305")</f>
        <v>137.305</v>
      </c>
    </row>
    <row r="3870" spans="1:37" x14ac:dyDescent="0.3">
      <c r="A3870" t="s">
        <v>12018</v>
      </c>
      <c r="B3870" t="s">
        <v>12019</v>
      </c>
      <c r="C3870" t="s">
        <v>12020</v>
      </c>
      <c r="AF3870" t="s">
        <v>3281</v>
      </c>
    </row>
    <row r="3871" spans="1:37" x14ac:dyDescent="0.3">
      <c r="A3871" t="s">
        <v>12021</v>
      </c>
      <c r="B3871" t="s">
        <v>12022</v>
      </c>
      <c r="C3871" t="s">
        <v>12023</v>
      </c>
      <c r="D3871" t="s">
        <v>7</v>
      </c>
      <c r="K3871" t="str">
        <f>T("172.590")</f>
        <v>172.590</v>
      </c>
    </row>
    <row r="3872" spans="1:37" x14ac:dyDescent="0.3">
      <c r="A3872" t="s">
        <v>12024</v>
      </c>
      <c r="B3872" t="s">
        <v>12025</v>
      </c>
      <c r="C3872" t="s">
        <v>12026</v>
      </c>
      <c r="D3872" t="s">
        <v>12014</v>
      </c>
      <c r="AF3872" t="s">
        <v>12027</v>
      </c>
    </row>
    <row r="3873" spans="1:34" x14ac:dyDescent="0.3">
      <c r="A3873" t="s">
        <v>12028</v>
      </c>
      <c r="B3873" t="s">
        <v>12029</v>
      </c>
      <c r="C3873" t="s">
        <v>12030</v>
      </c>
      <c r="D3873" t="s">
        <v>12031</v>
      </c>
      <c r="K3873" t="str">
        <f>T("172.842")</f>
        <v>172.842</v>
      </c>
      <c r="L3873" t="str">
        <f>T("172.896")</f>
        <v>172.896</v>
      </c>
      <c r="AF3873" t="s">
        <v>12032</v>
      </c>
    </row>
    <row r="3874" spans="1:34" x14ac:dyDescent="0.3">
      <c r="A3874" t="s">
        <v>12033</v>
      </c>
      <c r="B3874" t="s">
        <v>12034</v>
      </c>
      <c r="C3874" t="s">
        <v>12035</v>
      </c>
      <c r="D3874" t="s">
        <v>6496</v>
      </c>
      <c r="K3874" t="str">
        <f>T("172.490")</f>
        <v>172.490</v>
      </c>
    </row>
    <row r="3875" spans="1:34" x14ac:dyDescent="0.3">
      <c r="A3875" t="s">
        <v>12036</v>
      </c>
      <c r="B3875" t="s">
        <v>12037</v>
      </c>
      <c r="C3875" t="s">
        <v>12038</v>
      </c>
      <c r="D3875" t="s">
        <v>7</v>
      </c>
      <c r="K3875" t="str">
        <f>T("172.510")</f>
        <v>172.510</v>
      </c>
      <c r="AG3875" t="str">
        <f>T("3118")</f>
        <v>3118</v>
      </c>
      <c r="AH3875" t="str">
        <f>T("3")</f>
        <v>3</v>
      </c>
    </row>
    <row r="3876" spans="1:34" x14ac:dyDescent="0.3">
      <c r="A3876" t="s">
        <v>12039</v>
      </c>
      <c r="B3876" t="s">
        <v>12040</v>
      </c>
      <c r="C3876" t="s">
        <v>12041</v>
      </c>
      <c r="D3876" t="s">
        <v>7</v>
      </c>
      <c r="K3876" t="str">
        <f>T("182.20")</f>
        <v>182.20</v>
      </c>
      <c r="AG3876" t="str">
        <f>T("3119")</f>
        <v>3119</v>
      </c>
      <c r="AH3876" t="str">
        <f>T("3")</f>
        <v>3</v>
      </c>
    </row>
    <row r="3877" spans="1:34" x14ac:dyDescent="0.3">
      <c r="A3877" t="s">
        <v>12042</v>
      </c>
      <c r="B3877" t="s">
        <v>12043</v>
      </c>
      <c r="C3877" t="s">
        <v>12044</v>
      </c>
      <c r="D3877" t="s">
        <v>12045</v>
      </c>
      <c r="K3877" t="str">
        <f>T("172.510")</f>
        <v>172.510</v>
      </c>
      <c r="AG3877" t="str">
        <f>T("3120")</f>
        <v>3120</v>
      </c>
      <c r="AH3877" t="str">
        <f>T("3")</f>
        <v>3</v>
      </c>
    </row>
    <row r="3878" spans="1:34" x14ac:dyDescent="0.3">
      <c r="A3878" t="s">
        <v>12046</v>
      </c>
      <c r="B3878" t="s">
        <v>12047</v>
      </c>
      <c r="C3878" t="s">
        <v>12048</v>
      </c>
      <c r="D3878" t="s">
        <v>12045</v>
      </c>
      <c r="K3878" t="str">
        <f>T("172.510")</f>
        <v>172.510</v>
      </c>
      <c r="AG3878" t="str">
        <f>T("3121")</f>
        <v>3121</v>
      </c>
      <c r="AH3878" t="str">
        <f>T("3")</f>
        <v>3</v>
      </c>
    </row>
    <row r="3879" spans="1:34" x14ac:dyDescent="0.3">
      <c r="A3879" t="s">
        <v>12049</v>
      </c>
      <c r="B3879" t="s">
        <v>12050</v>
      </c>
      <c r="C3879" t="s">
        <v>12051</v>
      </c>
      <c r="D3879" t="s">
        <v>7</v>
      </c>
      <c r="AG3879" t="str">
        <f>T("4691")</f>
        <v>4691</v>
      </c>
      <c r="AH3879" t="str">
        <f>T("25")</f>
        <v>25</v>
      </c>
    </row>
    <row r="3880" spans="1:34" x14ac:dyDescent="0.3">
      <c r="A3880" t="s">
        <v>12052</v>
      </c>
      <c r="B3880" t="s">
        <v>12053</v>
      </c>
      <c r="C3880" t="s">
        <v>12054</v>
      </c>
      <c r="D3880" t="s">
        <v>7</v>
      </c>
      <c r="K3880" t="str">
        <f>T("182.20")</f>
        <v>182.20</v>
      </c>
      <c r="AG3880" t="str">
        <f>T("3123")</f>
        <v>3123</v>
      </c>
      <c r="AH3880" t="str">
        <f>T("3")</f>
        <v>3</v>
      </c>
    </row>
    <row r="3881" spans="1:34" x14ac:dyDescent="0.3">
      <c r="A3881" t="s">
        <v>12055</v>
      </c>
      <c r="B3881" t="s">
        <v>12056</v>
      </c>
      <c r="C3881" t="s">
        <v>12057</v>
      </c>
      <c r="D3881" t="s">
        <v>7</v>
      </c>
      <c r="K3881" t="str">
        <f>T("182.10")</f>
        <v>182.10</v>
      </c>
      <c r="AG3881" t="str">
        <f>T("3122")</f>
        <v>3122</v>
      </c>
      <c r="AH3881" t="str">
        <f>T("3")</f>
        <v>3</v>
      </c>
    </row>
    <row r="3882" spans="1:34" x14ac:dyDescent="0.3">
      <c r="A3882" t="s">
        <v>12058</v>
      </c>
      <c r="B3882" t="s">
        <v>12059</v>
      </c>
      <c r="C3882" t="s">
        <v>12060</v>
      </c>
      <c r="D3882" t="s">
        <v>12061</v>
      </c>
      <c r="K3882" t="str">
        <f>T("175.105")</f>
        <v>175.105</v>
      </c>
      <c r="L3882" t="str">
        <f>T("184.1984")</f>
        <v>184.1984</v>
      </c>
    </row>
    <row r="3883" spans="1:34" x14ac:dyDescent="0.3">
      <c r="A3883" t="s">
        <v>12062</v>
      </c>
      <c r="B3883" t="s">
        <v>12063</v>
      </c>
      <c r="C3883" t="s">
        <v>12064</v>
      </c>
      <c r="K3883" t="str">
        <f>T("175.105")</f>
        <v>175.105</v>
      </c>
    </row>
    <row r="3884" spans="1:34" x14ac:dyDescent="0.3">
      <c r="A3884" t="s">
        <v>12065</v>
      </c>
      <c r="B3884" t="s">
        <v>12066</v>
      </c>
      <c r="C3884" t="s">
        <v>12067</v>
      </c>
      <c r="D3884" t="s">
        <v>137</v>
      </c>
      <c r="K3884" t="str">
        <f>T("176.170")</f>
        <v>176.170</v>
      </c>
      <c r="L3884" t="str">
        <f>T("177.1680")</f>
        <v>177.1680</v>
      </c>
      <c r="M3884" t="str">
        <f>T("177.2260")</f>
        <v>177.2260</v>
      </c>
      <c r="N3884" t="str">
        <f>T("177.2600")</f>
        <v>177.2600</v>
      </c>
      <c r="O3884" t="str">
        <f>T("178.3297")</f>
        <v>178.3297</v>
      </c>
    </row>
    <row r="3885" spans="1:34" x14ac:dyDescent="0.3">
      <c r="A3885" t="s">
        <v>12068</v>
      </c>
      <c r="B3885" t="s">
        <v>12069</v>
      </c>
      <c r="C3885" t="s">
        <v>12070</v>
      </c>
      <c r="D3885" t="s">
        <v>137</v>
      </c>
      <c r="K3885" t="str">
        <f>T("182.70")</f>
        <v>182.70</v>
      </c>
      <c r="L3885" t="str">
        <f>T("182.8985")</f>
        <v>182.8985</v>
      </c>
    </row>
    <row r="3886" spans="1:34" x14ac:dyDescent="0.3">
      <c r="A3886" t="s">
        <v>12071</v>
      </c>
      <c r="B3886" t="s">
        <v>12072</v>
      </c>
      <c r="C3886" t="s">
        <v>12073</v>
      </c>
      <c r="D3886" t="s">
        <v>137</v>
      </c>
      <c r="K3886" t="str">
        <f>T("177.2800")</f>
        <v>177.2800</v>
      </c>
      <c r="L3886" t="str">
        <f>T("182.90")</f>
        <v>182.90</v>
      </c>
    </row>
    <row r="3887" spans="1:34" x14ac:dyDescent="0.3">
      <c r="A3887" t="s">
        <v>12074</v>
      </c>
      <c r="B3887" t="s">
        <v>12075</v>
      </c>
      <c r="C3887" t="s">
        <v>12076</v>
      </c>
      <c r="D3887" t="s">
        <v>137</v>
      </c>
      <c r="K3887" t="str">
        <f>T("182.8988")</f>
        <v>182.8988</v>
      </c>
    </row>
    <row r="3888" spans="1:34" x14ac:dyDescent="0.3">
      <c r="A3888" t="s">
        <v>12077</v>
      </c>
      <c r="B3888" t="s">
        <v>12078</v>
      </c>
      <c r="C3888" t="s">
        <v>12079</v>
      </c>
      <c r="D3888" t="s">
        <v>137</v>
      </c>
      <c r="K3888" t="str">
        <f>T("172.399")</f>
        <v>172.399</v>
      </c>
    </row>
    <row r="3889" spans="1:37" x14ac:dyDescent="0.3">
      <c r="A3889" t="s">
        <v>12080</v>
      </c>
      <c r="B3889" t="s">
        <v>12081</v>
      </c>
      <c r="C3889" t="s">
        <v>12082</v>
      </c>
      <c r="D3889" t="s">
        <v>4302</v>
      </c>
      <c r="E3889" t="str">
        <f>T("73.1991")</f>
        <v>73.1991</v>
      </c>
      <c r="F3889" t="str">
        <f>T("73.2991")</f>
        <v>73.2991</v>
      </c>
      <c r="K3889" t="str">
        <f>T("175.300")</f>
        <v>175.300</v>
      </c>
      <c r="L3889" t="str">
        <f>T("176.170")</f>
        <v>176.170</v>
      </c>
      <c r="M3889" t="str">
        <f>T("177.1680")</f>
        <v>177.1680</v>
      </c>
      <c r="N3889" t="str">
        <f>T("177.2260")</f>
        <v>177.2260</v>
      </c>
      <c r="O3889" t="str">
        <f>T("178.3297")</f>
        <v>178.3297</v>
      </c>
      <c r="P3889" t="str">
        <f>T("182.8991")</f>
        <v>182.8991</v>
      </c>
    </row>
    <row r="3890" spans="1:37" x14ac:dyDescent="0.3">
      <c r="A3890" t="s">
        <v>12083</v>
      </c>
      <c r="B3890" t="s">
        <v>12084</v>
      </c>
      <c r="C3890" t="s">
        <v>12085</v>
      </c>
      <c r="D3890" t="s">
        <v>137</v>
      </c>
      <c r="K3890" t="str">
        <f>T("175.300")</f>
        <v>175.300</v>
      </c>
      <c r="L3890" t="str">
        <f>T("176.180")</f>
        <v>176.180</v>
      </c>
      <c r="M3890" t="str">
        <f>T("177.1460")</f>
        <v>177.1460</v>
      </c>
      <c r="N3890" t="str">
        <f>T("177.1900")</f>
        <v>177.1900</v>
      </c>
      <c r="O3890" t="str">
        <f>T("177.2410")</f>
        <v>177.2410</v>
      </c>
      <c r="P3890" t="str">
        <f>T("178.2010")</f>
        <v>178.2010</v>
      </c>
      <c r="Q3890" t="str">
        <f>T("182.8994")</f>
        <v>182.8994</v>
      </c>
    </row>
    <row r="3891" spans="1:37" x14ac:dyDescent="0.3">
      <c r="A3891" t="s">
        <v>12086</v>
      </c>
      <c r="B3891" t="s">
        <v>12087</v>
      </c>
      <c r="C3891" t="s">
        <v>12088</v>
      </c>
      <c r="D3891" t="s">
        <v>12089</v>
      </c>
      <c r="K3891" t="str">
        <f>T("182.8997")</f>
        <v>182.8997</v>
      </c>
      <c r="L3891" t="str">
        <f>T("182.90")</f>
        <v>182.90</v>
      </c>
    </row>
    <row r="3892" spans="1:37" x14ac:dyDescent="0.3">
      <c r="A3892" t="s">
        <v>12090</v>
      </c>
      <c r="B3892" t="s">
        <v>12091</v>
      </c>
      <c r="C3892" t="s">
        <v>12092</v>
      </c>
      <c r="D3892" t="s">
        <v>15</v>
      </c>
      <c r="K3892" t="str">
        <f>T("172.515")</f>
        <v>172.515</v>
      </c>
      <c r="AG3892" t="str">
        <f>T("3124")</f>
        <v>3124</v>
      </c>
      <c r="AH3892" t="str">
        <f>T("3")</f>
        <v>3</v>
      </c>
      <c r="AI3892" t="str">
        <f>T("25")</f>
        <v>25</v>
      </c>
      <c r="AK3892" t="str">
        <f>T("730")</f>
        <v>730</v>
      </c>
    </row>
    <row r="3893" spans="1:37" x14ac:dyDescent="0.3">
      <c r="A3893" t="s">
        <v>12093</v>
      </c>
      <c r="B3893" t="s">
        <v>12094</v>
      </c>
      <c r="C3893" t="s">
        <v>12095</v>
      </c>
      <c r="D3893" t="s">
        <v>7</v>
      </c>
      <c r="AG3893" t="str">
        <f>T("2134")</f>
        <v>2134</v>
      </c>
      <c r="AH3893" t="str">
        <f>T("3")</f>
        <v>3</v>
      </c>
      <c r="AI3893" t="str">
        <f>T("25")</f>
        <v>25</v>
      </c>
      <c r="AK3893" t="str">
        <f>T("831")</f>
        <v>831</v>
      </c>
    </row>
    <row r="3894" spans="1:37" x14ac:dyDescent="0.3">
      <c r="A3894" t="s">
        <v>12096</v>
      </c>
      <c r="B3894" t="s">
        <v>12097</v>
      </c>
      <c r="C3894" t="s">
        <v>12098</v>
      </c>
      <c r="D3894" t="s">
        <v>7</v>
      </c>
      <c r="K3894" t="str">
        <f>T("175.105")</f>
        <v>175.105</v>
      </c>
      <c r="L3894" t="str">
        <f>T("175.300")</f>
        <v>175.300</v>
      </c>
      <c r="M3894" t="str">
        <f>T("175.320")</f>
        <v>175.320</v>
      </c>
      <c r="N3894" t="str">
        <f>T("175.360")</f>
        <v>175.360</v>
      </c>
      <c r="O3894" t="str">
        <f>T("176.170")</f>
        <v>176.170</v>
      </c>
      <c r="P3894" t="str">
        <f>T("177.1010")</f>
        <v>177.1010</v>
      </c>
      <c r="Q3894" t="str">
        <f>T("177.1200")</f>
        <v>177.1200</v>
      </c>
      <c r="R3894" t="str">
        <f>T("177.1630")</f>
        <v>177.1630</v>
      </c>
      <c r="S3894" t="str">
        <f>T("177.2420")</f>
        <v>177.2420</v>
      </c>
      <c r="T3894" t="str">
        <f>T("178.3790")</f>
        <v>178.3790</v>
      </c>
      <c r="AG3894" t="str">
        <f>T("2418")</f>
        <v>2418</v>
      </c>
      <c r="AH3894" t="str">
        <f>T("3")</f>
        <v>3</v>
      </c>
      <c r="AI3894" t="str">
        <f>T("25")</f>
        <v>25</v>
      </c>
      <c r="AK3894" t="str">
        <f>T("1351")</f>
        <v>1351</v>
      </c>
    </row>
    <row r="3895" spans="1:37" x14ac:dyDescent="0.3">
      <c r="A3895" t="s">
        <v>12099</v>
      </c>
      <c r="B3895" t="s">
        <v>12100</v>
      </c>
      <c r="C3895" t="s">
        <v>12101</v>
      </c>
      <c r="AG3895" t="s">
        <v>12102</v>
      </c>
      <c r="AH3895" t="s">
        <v>12103</v>
      </c>
      <c r="AI3895" t="str">
        <f>T("28")</f>
        <v>28</v>
      </c>
      <c r="AJ3895" t="s">
        <v>12104</v>
      </c>
      <c r="AK3895" t="str">
        <f>T("1790")</f>
        <v>1790</v>
      </c>
    </row>
    <row r="3896" spans="1:37" x14ac:dyDescent="0.3">
      <c r="A3896" t="s">
        <v>12105</v>
      </c>
      <c r="B3896" t="s">
        <v>12106</v>
      </c>
      <c r="C3896" t="s">
        <v>12107</v>
      </c>
      <c r="D3896" t="s">
        <v>7</v>
      </c>
      <c r="AG3896" t="str">
        <f>T("2762")</f>
        <v>2762</v>
      </c>
      <c r="AH3896" t="str">
        <f>T("3")</f>
        <v>3</v>
      </c>
      <c r="AK3896" t="str">
        <f>T("1327")</f>
        <v>1327</v>
      </c>
    </row>
    <row r="3897" spans="1:37" x14ac:dyDescent="0.3">
      <c r="A3897" t="s">
        <v>12108</v>
      </c>
      <c r="B3897" t="s">
        <v>12109</v>
      </c>
      <c r="C3897" t="s">
        <v>12110</v>
      </c>
      <c r="D3897" t="s">
        <v>7</v>
      </c>
      <c r="AG3897" t="str">
        <f>T("2963")</f>
        <v>2963</v>
      </c>
      <c r="AH3897" t="str">
        <f>T("3")</f>
        <v>3</v>
      </c>
      <c r="AI3897" t="str">
        <f>T("25")</f>
        <v>25</v>
      </c>
      <c r="AK3897" t="str">
        <f>T("753")</f>
        <v>753</v>
      </c>
    </row>
    <row r="3898" spans="1:37" x14ac:dyDescent="0.3">
      <c r="A3898" t="s">
        <v>12111</v>
      </c>
      <c r="B3898" t="s">
        <v>12112</v>
      </c>
      <c r="C3898" t="s">
        <v>12113</v>
      </c>
      <c r="D3898" t="s">
        <v>15</v>
      </c>
      <c r="K3898" t="str">
        <f>T("177.1580")</f>
        <v>177.1580</v>
      </c>
      <c r="L3898" t="str">
        <f>T("177.1585")</f>
        <v>177.1585</v>
      </c>
      <c r="AG3898" t="str">
        <f>T("2966")</f>
        <v>2966</v>
      </c>
      <c r="AH3898" t="str">
        <f>T("3")</f>
        <v>3</v>
      </c>
    </row>
    <row r="3899" spans="1:37" x14ac:dyDescent="0.3">
      <c r="A3899" t="s">
        <v>12114</v>
      </c>
      <c r="B3899" t="s">
        <v>12115</v>
      </c>
      <c r="C3899" t="s">
        <v>12116</v>
      </c>
      <c r="K3899" t="str">
        <f>T("173.20")</f>
        <v>173.20</v>
      </c>
      <c r="L3899" t="str">
        <f>T("173.25")</f>
        <v>173.25</v>
      </c>
      <c r="M3899" t="str">
        <f>T("175.105")</f>
        <v>175.105</v>
      </c>
      <c r="N3899" t="str">
        <f>T("175.300")</f>
        <v>175.300</v>
      </c>
      <c r="O3899" t="str">
        <f>T("175.320")</f>
        <v>175.320</v>
      </c>
      <c r="P3899" t="str">
        <f>T("175.380")</f>
        <v>175.380</v>
      </c>
      <c r="Q3899" t="str">
        <f>T("175.390")</f>
        <v>175.390</v>
      </c>
      <c r="R3899" t="str">
        <f>T("176.170")</f>
        <v>176.170</v>
      </c>
      <c r="S3899" t="str">
        <f>T("176.180")</f>
        <v>176.180</v>
      </c>
      <c r="T3899" t="str">
        <f>T("177.1010")</f>
        <v>177.1010</v>
      </c>
      <c r="U3899" t="str">
        <f>T("177.1020")</f>
        <v>177.1020</v>
      </c>
      <c r="V3899" t="str">
        <f>T("177.1030")</f>
        <v>177.1030</v>
      </c>
      <c r="W3899" t="str">
        <f>T("177.1040")</f>
        <v>177.1040</v>
      </c>
      <c r="X3899" t="str">
        <f>T("177.1210")</f>
        <v>177.1210</v>
      </c>
      <c r="Y3899" t="str">
        <f>T("177.1630")</f>
        <v>177.1630</v>
      </c>
      <c r="AG3899" t="s">
        <v>12117</v>
      </c>
      <c r="AH3899" t="str">
        <f>T("4")</f>
        <v>4</v>
      </c>
      <c r="AI3899" t="str">
        <f>T("27")</f>
        <v>27</v>
      </c>
      <c r="AJ3899" t="s">
        <v>3679</v>
      </c>
    </row>
    <row r="3900" spans="1:37" x14ac:dyDescent="0.3">
      <c r="A3900" t="s">
        <v>12118</v>
      </c>
      <c r="B3900" t="s">
        <v>12119</v>
      </c>
      <c r="C3900" t="s">
        <v>12120</v>
      </c>
      <c r="D3900" t="s">
        <v>12121</v>
      </c>
      <c r="K3900" t="str">
        <f>T("184.1115")</f>
        <v>184.1115</v>
      </c>
      <c r="AG3900" t="str">
        <f>T("2012")</f>
        <v>2012</v>
      </c>
      <c r="AH3900" t="str">
        <f>T("3")</f>
        <v>3</v>
      </c>
    </row>
    <row r="3901" spans="1:37" x14ac:dyDescent="0.3">
      <c r="A3901" t="s">
        <v>12122</v>
      </c>
      <c r="B3901" t="s">
        <v>12123</v>
      </c>
      <c r="C3901" t="s">
        <v>12124</v>
      </c>
      <c r="D3901" t="s">
        <v>252</v>
      </c>
      <c r="K3901" t="str">
        <f>T("173.310")</f>
        <v>173.310</v>
      </c>
      <c r="L3901" t="str">
        <f>T("184.1724")</f>
        <v>184.1724</v>
      </c>
      <c r="AF3901" t="s">
        <v>4513</v>
      </c>
      <c r="AG3901" t="str">
        <f>T("2015")</f>
        <v>2015</v>
      </c>
      <c r="AH3901" t="str">
        <f>T("3")</f>
        <v>3</v>
      </c>
    </row>
    <row r="3902" spans="1:37" x14ac:dyDescent="0.3">
      <c r="A3902" t="s">
        <v>12125</v>
      </c>
      <c r="B3902" t="s">
        <v>12126</v>
      </c>
      <c r="C3902" t="s">
        <v>12127</v>
      </c>
      <c r="D3902" t="s">
        <v>12128</v>
      </c>
      <c r="K3902" t="str">
        <f>T("172.280")</f>
        <v>172.280</v>
      </c>
      <c r="L3902" t="str">
        <f>T("182.3013")</f>
        <v>182.3013</v>
      </c>
      <c r="M3902" t="str">
        <f>T("182.8013")</f>
        <v>182.8013</v>
      </c>
      <c r="AF3902" t="s">
        <v>12129</v>
      </c>
      <c r="AG3902" t="str">
        <f>T("2109")</f>
        <v>2109</v>
      </c>
      <c r="AH3902" t="str">
        <f>T("3")</f>
        <v>3</v>
      </c>
    </row>
    <row r="3903" spans="1:37" x14ac:dyDescent="0.3">
      <c r="A3903" t="s">
        <v>12130</v>
      </c>
      <c r="B3903" t="s">
        <v>12131</v>
      </c>
      <c r="C3903" t="s">
        <v>12132</v>
      </c>
      <c r="D3903" t="s">
        <v>9846</v>
      </c>
      <c r="K3903" t="str">
        <f>T("175.300")</f>
        <v>175.300</v>
      </c>
      <c r="L3903" t="str">
        <f>T("177.1390")</f>
        <v>177.1390</v>
      </c>
      <c r="M3903" t="str">
        <f>T("184.1021")</f>
        <v>184.1021</v>
      </c>
      <c r="AF3903" t="str">
        <f>T("166.110")</f>
        <v>166.110</v>
      </c>
      <c r="AG3903" t="str">
        <f>T("2131")</f>
        <v>2131</v>
      </c>
      <c r="AH3903" t="str">
        <f>T("3")</f>
        <v>3</v>
      </c>
      <c r="AK3903" t="str">
        <f>T("850")</f>
        <v>850</v>
      </c>
    </row>
    <row r="3904" spans="1:37" x14ac:dyDescent="0.3">
      <c r="A3904" t="s">
        <v>12133</v>
      </c>
      <c r="B3904" t="s">
        <v>12134</v>
      </c>
      <c r="C3904" t="s">
        <v>12135</v>
      </c>
      <c r="D3904" t="s">
        <v>12136</v>
      </c>
      <c r="K3904" t="str">
        <f>T("172.560")</f>
        <v>172.560</v>
      </c>
      <c r="L3904" t="str">
        <f>T("178.1010")</f>
        <v>178.1010</v>
      </c>
      <c r="M3904" t="str">
        <f>T("184.1193")</f>
        <v>184.1193</v>
      </c>
      <c r="AF3904" t="s">
        <v>12137</v>
      </c>
    </row>
    <row r="3905" spans="1:37" x14ac:dyDescent="0.3">
      <c r="A3905" t="s">
        <v>12138</v>
      </c>
      <c r="B3905" t="s">
        <v>12139</v>
      </c>
      <c r="C3905" t="s">
        <v>12140</v>
      </c>
      <c r="D3905" t="s">
        <v>12141</v>
      </c>
      <c r="K3905" t="str">
        <f>T("182.6195")</f>
        <v>182.6195</v>
      </c>
      <c r="L3905" t="str">
        <f>T("184.1195")</f>
        <v>184.1195</v>
      </c>
      <c r="AF3905" t="s">
        <v>3255</v>
      </c>
    </row>
    <row r="3906" spans="1:37" x14ac:dyDescent="0.3">
      <c r="A3906" t="s">
        <v>12142</v>
      </c>
      <c r="B3906" t="s">
        <v>12143</v>
      </c>
      <c r="C3906" t="s">
        <v>12144</v>
      </c>
      <c r="D3906" t="s">
        <v>12145</v>
      </c>
      <c r="K3906" t="str">
        <f>T("184.1199")</f>
        <v>184.1199</v>
      </c>
    </row>
    <row r="3907" spans="1:37" x14ac:dyDescent="0.3">
      <c r="A3907" t="s">
        <v>12146</v>
      </c>
      <c r="B3907" t="s">
        <v>12147</v>
      </c>
      <c r="C3907" t="s">
        <v>12148</v>
      </c>
      <c r="D3907" t="s">
        <v>12149</v>
      </c>
      <c r="K3907" t="str">
        <f>T("184.1207")</f>
        <v>184.1207</v>
      </c>
      <c r="AF3907" t="str">
        <f>T("145.145")</f>
        <v>145.145</v>
      </c>
    </row>
    <row r="3908" spans="1:37" x14ac:dyDescent="0.3">
      <c r="A3908" t="s">
        <v>12150</v>
      </c>
      <c r="B3908" t="s">
        <v>12151</v>
      </c>
      <c r="C3908" t="s">
        <v>12152</v>
      </c>
      <c r="D3908" t="s">
        <v>12153</v>
      </c>
      <c r="K3908" t="str">
        <f>T("175.300")</f>
        <v>175.300</v>
      </c>
      <c r="L3908" t="str">
        <f>T("182.1217")</f>
        <v>182.1217</v>
      </c>
      <c r="M3908" t="str">
        <f>T("182.6215")</f>
        <v>182.6215</v>
      </c>
      <c r="N3908" t="str">
        <f>T("182.8217")</f>
        <v>182.8217</v>
      </c>
      <c r="AF3908" t="s">
        <v>12154</v>
      </c>
    </row>
    <row r="3909" spans="1:37" x14ac:dyDescent="0.3">
      <c r="A3909" t="s">
        <v>12155</v>
      </c>
      <c r="B3909" t="s">
        <v>12156</v>
      </c>
      <c r="C3909" t="s">
        <v>12157</v>
      </c>
      <c r="D3909" t="s">
        <v>12158</v>
      </c>
      <c r="K3909" t="str">
        <f>T("179.45")</f>
        <v>179.45</v>
      </c>
      <c r="L3909" t="str">
        <f>T("181.23")</f>
        <v>181.23</v>
      </c>
      <c r="M3909" t="str">
        <f>T("184.1221")</f>
        <v>184.1221</v>
      </c>
      <c r="AF3909" t="s">
        <v>12159</v>
      </c>
    </row>
    <row r="3910" spans="1:37" x14ac:dyDescent="0.3">
      <c r="A3910" t="s">
        <v>12160</v>
      </c>
      <c r="B3910" t="s">
        <v>12161</v>
      </c>
      <c r="C3910" t="s">
        <v>12162</v>
      </c>
      <c r="D3910" t="s">
        <v>12163</v>
      </c>
      <c r="K3910" t="str">
        <f>T("175.300")</f>
        <v>175.300</v>
      </c>
      <c r="L3910" t="str">
        <f>T("176.170")</f>
        <v>176.170</v>
      </c>
      <c r="M3910" t="str">
        <f>T("178.3297")</f>
        <v>178.3297</v>
      </c>
      <c r="N3910" t="str">
        <f>T("184.1230")</f>
        <v>184.1230</v>
      </c>
      <c r="AF3910" t="s">
        <v>480</v>
      </c>
    </row>
    <row r="3911" spans="1:37" x14ac:dyDescent="0.3">
      <c r="A3911" t="s">
        <v>12164</v>
      </c>
      <c r="B3911" t="s">
        <v>12165</v>
      </c>
      <c r="C3911" t="s">
        <v>12166</v>
      </c>
      <c r="D3911" t="s">
        <v>12167</v>
      </c>
      <c r="K3911" t="str">
        <f>T("173.310")</f>
        <v>173.310</v>
      </c>
      <c r="L3911" t="str">
        <f>T("175.105")</f>
        <v>175.105</v>
      </c>
      <c r="M3911" t="str">
        <f>T("182.1745")</f>
        <v>182.1745</v>
      </c>
      <c r="AF3911" t="s">
        <v>4513</v>
      </c>
    </row>
    <row r="3912" spans="1:37" x14ac:dyDescent="0.3">
      <c r="A3912" t="s">
        <v>12168</v>
      </c>
      <c r="B3912" t="s">
        <v>12169</v>
      </c>
      <c r="C3912" t="s">
        <v>12170</v>
      </c>
      <c r="D3912" t="s">
        <v>12171</v>
      </c>
      <c r="K3912" t="str">
        <f>T("172.620")</f>
        <v>172.620</v>
      </c>
      <c r="L3912" t="str">
        <f>T("172.625")</f>
        <v>172.625</v>
      </c>
      <c r="M3912" t="str">
        <f>T("182.7255")</f>
        <v>182.7255</v>
      </c>
      <c r="AF3912" t="s">
        <v>12172</v>
      </c>
      <c r="AG3912" t="str">
        <f>T("2596")</f>
        <v>2596</v>
      </c>
      <c r="AH3912" t="str">
        <f>T("3")</f>
        <v>3</v>
      </c>
    </row>
    <row r="3913" spans="1:37" x14ac:dyDescent="0.3">
      <c r="A3913" t="s">
        <v>12173</v>
      </c>
      <c r="B3913" t="s">
        <v>12174</v>
      </c>
      <c r="C3913" t="s">
        <v>12175</v>
      </c>
      <c r="D3913" t="s">
        <v>1623</v>
      </c>
      <c r="K3913" t="str">
        <f>T("172.626")</f>
        <v>172.626</v>
      </c>
      <c r="L3913" t="str">
        <f>T("176.170")</f>
        <v>176.170</v>
      </c>
      <c r="AF3913" t="s">
        <v>12176</v>
      </c>
    </row>
    <row r="3914" spans="1:37" x14ac:dyDescent="0.3">
      <c r="A3914" t="s">
        <v>12177</v>
      </c>
      <c r="B3914" t="s">
        <v>12178</v>
      </c>
      <c r="C3914" t="s">
        <v>12179</v>
      </c>
      <c r="D3914" t="s">
        <v>12180</v>
      </c>
      <c r="K3914" t="str">
        <f>T("175.105")</f>
        <v>175.105</v>
      </c>
      <c r="L3914" t="str">
        <f>T("175.210")</f>
        <v>175.210</v>
      </c>
      <c r="M3914" t="str">
        <f>T("175.300")</f>
        <v>175.300</v>
      </c>
      <c r="N3914" t="str">
        <f>T("176.200")</f>
        <v>176.200</v>
      </c>
      <c r="O3914" t="str">
        <f>T("177.2260")</f>
        <v>177.2260</v>
      </c>
      <c r="P3914" t="str">
        <f>T("182.1480")</f>
        <v>182.1480</v>
      </c>
      <c r="AG3914" t="str">
        <f>T("2696")</f>
        <v>2696</v>
      </c>
      <c r="AH3914" t="str">
        <f>T("3")</f>
        <v>3</v>
      </c>
    </row>
    <row r="3915" spans="1:37" x14ac:dyDescent="0.3">
      <c r="A3915" t="s">
        <v>12181</v>
      </c>
      <c r="B3915" t="s">
        <v>12182</v>
      </c>
      <c r="C3915" t="s">
        <v>12183</v>
      </c>
      <c r="D3915" t="s">
        <v>4302</v>
      </c>
      <c r="E3915" t="str">
        <f>T("73.250")</f>
        <v>73.250</v>
      </c>
      <c r="AF3915" t="s">
        <v>12184</v>
      </c>
    </row>
    <row r="3916" spans="1:37" x14ac:dyDescent="0.3">
      <c r="A3916" t="s">
        <v>12185</v>
      </c>
      <c r="B3916" t="s">
        <v>12186</v>
      </c>
      <c r="C3916" t="s">
        <v>12187</v>
      </c>
      <c r="D3916" t="s">
        <v>12188</v>
      </c>
      <c r="K3916" t="str">
        <f>T("172.350")</f>
        <v>172.350</v>
      </c>
      <c r="L3916" t="str">
        <f>T("172.808")</f>
        <v>172.808</v>
      </c>
      <c r="M3916" t="str">
        <f>T("172.810")</f>
        <v>172.810</v>
      </c>
      <c r="N3916" t="str">
        <f>T("172.822")</f>
        <v>172.822</v>
      </c>
      <c r="O3916" t="str">
        <f>T("175.105")</f>
        <v>175.105</v>
      </c>
      <c r="P3916" t="str">
        <f>T("175.300")</f>
        <v>175.300</v>
      </c>
      <c r="Q3916" t="str">
        <f>T("175.320")</f>
        <v>175.320</v>
      </c>
      <c r="R3916" t="str">
        <f>T("176.170")</f>
        <v>176.170</v>
      </c>
      <c r="S3916" t="str">
        <f>T("177.1200")</f>
        <v>177.1200</v>
      </c>
      <c r="T3916" t="str">
        <f>T("177.2420")</f>
        <v>177.2420</v>
      </c>
      <c r="AG3916" t="str">
        <f>T("2488")</f>
        <v>2488</v>
      </c>
      <c r="AH3916" t="str">
        <f t="shared" ref="AH3916:AH3921" si="44">T("3")</f>
        <v>3</v>
      </c>
      <c r="AI3916" t="str">
        <f>T("25")</f>
        <v>25</v>
      </c>
      <c r="AK3916" t="str">
        <f>T("618")</f>
        <v>618</v>
      </c>
    </row>
    <row r="3917" spans="1:37" x14ac:dyDescent="0.3">
      <c r="A3917" t="s">
        <v>12189</v>
      </c>
      <c r="B3917" t="s">
        <v>12190</v>
      </c>
      <c r="C3917" t="s">
        <v>12191</v>
      </c>
      <c r="D3917" t="s">
        <v>12192</v>
      </c>
      <c r="K3917" t="str">
        <f>T("184.1339")</f>
        <v>184.1339</v>
      </c>
      <c r="AF3917" t="s">
        <v>6130</v>
      </c>
      <c r="AG3917" t="str">
        <f>T("2537")</f>
        <v>2537</v>
      </c>
      <c r="AH3917" t="str">
        <f t="shared" si="44"/>
        <v>3</v>
      </c>
    </row>
    <row r="3918" spans="1:37" x14ac:dyDescent="0.3">
      <c r="A3918" t="s">
        <v>12193</v>
      </c>
      <c r="B3918" t="s">
        <v>12194</v>
      </c>
      <c r="C3918" t="s">
        <v>12195</v>
      </c>
      <c r="D3918" t="s">
        <v>12196</v>
      </c>
      <c r="K3918" t="str">
        <f>T("184.1349")</f>
        <v>184.1349</v>
      </c>
      <c r="AF3918" t="s">
        <v>4513</v>
      </c>
      <c r="AG3918" t="str">
        <f>T("2605")</f>
        <v>2605</v>
      </c>
      <c r="AH3918" t="str">
        <f t="shared" si="44"/>
        <v>3</v>
      </c>
    </row>
    <row r="3919" spans="1:37" x14ac:dyDescent="0.3">
      <c r="A3919" t="s">
        <v>12197</v>
      </c>
      <c r="B3919" t="s">
        <v>12198</v>
      </c>
      <c r="C3919" t="s">
        <v>12199</v>
      </c>
      <c r="D3919" t="s">
        <v>12200</v>
      </c>
      <c r="K3919" t="str">
        <f>T("172.814")</f>
        <v>172.814</v>
      </c>
      <c r="L3919" t="str">
        <f>T("178.1010")</f>
        <v>178.1010</v>
      </c>
      <c r="M3919" t="str">
        <f>T("184.1061")</f>
        <v>184.1061</v>
      </c>
      <c r="AF3919" t="s">
        <v>12201</v>
      </c>
      <c r="AG3919" t="str">
        <f>T("2611")</f>
        <v>2611</v>
      </c>
      <c r="AH3919" t="str">
        <f t="shared" si="44"/>
        <v>3</v>
      </c>
      <c r="AI3919" t="str">
        <f>T("25")</f>
        <v>25</v>
      </c>
      <c r="AK3919" t="str">
        <f>T("930")</f>
        <v>930</v>
      </c>
    </row>
    <row r="3920" spans="1:37" x14ac:dyDescent="0.3">
      <c r="A3920" t="s">
        <v>12202</v>
      </c>
      <c r="B3920" t="s">
        <v>12203</v>
      </c>
      <c r="C3920" t="s">
        <v>12204</v>
      </c>
      <c r="D3920" t="s">
        <v>12205</v>
      </c>
      <c r="K3920" t="str">
        <f>T("182.20")</f>
        <v>182.20</v>
      </c>
      <c r="L3920" t="str">
        <f>T("184.1343")</f>
        <v>184.1343</v>
      </c>
      <c r="M3920" t="str">
        <f>T("186.1343")</f>
        <v>186.1343</v>
      </c>
      <c r="N3920" t="str">
        <f>T("240.1051")</f>
        <v>240.1051</v>
      </c>
      <c r="AF3920" t="s">
        <v>4513</v>
      </c>
      <c r="AG3920" t="str">
        <f>T("2648")</f>
        <v>2648</v>
      </c>
      <c r="AH3920" t="str">
        <f t="shared" si="44"/>
        <v>3</v>
      </c>
    </row>
    <row r="3921" spans="1:35" x14ac:dyDescent="0.3">
      <c r="A3921" t="s">
        <v>12206</v>
      </c>
      <c r="B3921" t="s">
        <v>12207</v>
      </c>
      <c r="C3921" t="s">
        <v>12208</v>
      </c>
      <c r="D3921" t="s">
        <v>3274</v>
      </c>
      <c r="K3921" t="str">
        <f>T("172.515")</f>
        <v>172.515</v>
      </c>
      <c r="L3921" t="str">
        <f>T("181.23")</f>
        <v>181.23</v>
      </c>
      <c r="M3921" t="str">
        <f>T("184.1490")</f>
        <v>184.1490</v>
      </c>
      <c r="AG3921" t="str">
        <f>T("2710")</f>
        <v>2710</v>
      </c>
      <c r="AH3921" t="str">
        <f t="shared" si="44"/>
        <v>3</v>
      </c>
    </row>
    <row r="3922" spans="1:35" x14ac:dyDescent="0.3">
      <c r="A3922" t="s">
        <v>12209</v>
      </c>
      <c r="B3922" t="s">
        <v>12210</v>
      </c>
      <c r="C3922" t="s">
        <v>12211</v>
      </c>
      <c r="D3922" t="s">
        <v>8953</v>
      </c>
      <c r="K3922" t="str">
        <f>T("173.385")</f>
        <v>173.385</v>
      </c>
      <c r="L3922" t="str">
        <f>T("184.1588")</f>
        <v>184.1588</v>
      </c>
      <c r="AF3922" t="s">
        <v>12212</v>
      </c>
    </row>
    <row r="3923" spans="1:35" x14ac:dyDescent="0.3">
      <c r="A3923" t="s">
        <v>12213</v>
      </c>
      <c r="B3923" t="s">
        <v>12214</v>
      </c>
      <c r="C3923" t="s">
        <v>12215</v>
      </c>
      <c r="D3923" t="s">
        <v>12216</v>
      </c>
      <c r="K3923" t="str">
        <f>T("184.1077")</f>
        <v>184.1077</v>
      </c>
    </row>
    <row r="3924" spans="1:35" x14ac:dyDescent="0.3">
      <c r="A3924" t="s">
        <v>12217</v>
      </c>
      <c r="B3924" t="s">
        <v>12218</v>
      </c>
      <c r="C3924" t="s">
        <v>12219</v>
      </c>
      <c r="D3924" t="s">
        <v>12220</v>
      </c>
      <c r="K3924" t="str">
        <f>T("184.1622")</f>
        <v>184.1622</v>
      </c>
      <c r="AF3924" t="str">
        <f>T("166.110")</f>
        <v>166.110</v>
      </c>
    </row>
    <row r="3925" spans="1:35" x14ac:dyDescent="0.3">
      <c r="A3925" t="s">
        <v>12221</v>
      </c>
      <c r="B3925" t="s">
        <v>12222</v>
      </c>
      <c r="C3925" t="s">
        <v>12223</v>
      </c>
      <c r="D3925" t="s">
        <v>12224</v>
      </c>
      <c r="K3925" t="str">
        <f>T("175.300")</f>
        <v>175.300</v>
      </c>
      <c r="L3925" t="str">
        <f>T("184.1625")</f>
        <v>184.1625</v>
      </c>
      <c r="AF3925" t="s">
        <v>3255</v>
      </c>
    </row>
    <row r="3926" spans="1:35" x14ac:dyDescent="0.3">
      <c r="A3926" t="s">
        <v>12225</v>
      </c>
      <c r="B3926" t="s">
        <v>12226</v>
      </c>
      <c r="C3926" t="s">
        <v>12227</v>
      </c>
      <c r="D3926" t="s">
        <v>12228</v>
      </c>
      <c r="K3926" t="str">
        <f>T("182.3640")</f>
        <v>182.3640</v>
      </c>
      <c r="L3926" t="str">
        <f>T("182.90")</f>
        <v>182.90</v>
      </c>
      <c r="AF3926" t="s">
        <v>12229</v>
      </c>
      <c r="AG3926" t="str">
        <f>T("2921")</f>
        <v>2921</v>
      </c>
      <c r="AH3926" t="str">
        <f>T("3")</f>
        <v>3</v>
      </c>
    </row>
    <row r="3927" spans="1:35" x14ac:dyDescent="0.3">
      <c r="A3927" t="s">
        <v>12230</v>
      </c>
      <c r="B3927" t="s">
        <v>12231</v>
      </c>
      <c r="C3927" t="s">
        <v>12232</v>
      </c>
      <c r="D3927" t="s">
        <v>3274</v>
      </c>
      <c r="K3927" t="str">
        <f>T("172.515")</f>
        <v>172.515</v>
      </c>
      <c r="L3927" t="str">
        <f>T("181.23")</f>
        <v>181.23</v>
      </c>
      <c r="M3927" t="str">
        <f>T("184.1670")</f>
        <v>184.1670</v>
      </c>
      <c r="AG3927" t="str">
        <f>T("2951")</f>
        <v>2951</v>
      </c>
      <c r="AH3927" t="str">
        <f>T("3")</f>
        <v>3</v>
      </c>
    </row>
    <row r="3928" spans="1:35" x14ac:dyDescent="0.3">
      <c r="A3928" t="s">
        <v>12233</v>
      </c>
      <c r="B3928" t="s">
        <v>12234</v>
      </c>
      <c r="C3928" t="s">
        <v>12235</v>
      </c>
      <c r="D3928" t="s">
        <v>11</v>
      </c>
      <c r="K3928" t="str">
        <f>T("172.812")</f>
        <v>172.812</v>
      </c>
      <c r="L3928" t="str">
        <f>T("180.37")</f>
        <v>180.37</v>
      </c>
      <c r="AF3928" t="s">
        <v>12236</v>
      </c>
    </row>
    <row r="3929" spans="1:35" x14ac:dyDescent="0.3">
      <c r="A3929" t="s">
        <v>12237</v>
      </c>
      <c r="B3929" t="s">
        <v>12238</v>
      </c>
      <c r="C3929" t="s">
        <v>12239</v>
      </c>
      <c r="D3929" t="s">
        <v>11</v>
      </c>
      <c r="K3929" t="str">
        <f>T("180.37")</f>
        <v>180.37</v>
      </c>
    </row>
    <row r="3930" spans="1:35" x14ac:dyDescent="0.3">
      <c r="A3930" t="s">
        <v>12240</v>
      </c>
      <c r="B3930" t="s">
        <v>12241</v>
      </c>
      <c r="C3930" t="s">
        <v>12242</v>
      </c>
      <c r="D3930" t="s">
        <v>12243</v>
      </c>
      <c r="K3930" t="str">
        <f>T("180.37")</f>
        <v>180.37</v>
      </c>
      <c r="AF3930" t="s">
        <v>12236</v>
      </c>
      <c r="AG3930" t="str">
        <f>T("2997")</f>
        <v>2997</v>
      </c>
      <c r="AH3930" t="str">
        <f>T("3")</f>
        <v>3</v>
      </c>
    </row>
    <row r="3931" spans="1:35" x14ac:dyDescent="0.3">
      <c r="A3931" t="s">
        <v>12244</v>
      </c>
      <c r="B3931" t="s">
        <v>12245</v>
      </c>
      <c r="C3931" t="s">
        <v>12246</v>
      </c>
      <c r="D3931" t="s">
        <v>9846</v>
      </c>
      <c r="K3931" t="str">
        <f>T("173.310")</f>
        <v>173.310</v>
      </c>
      <c r="L3931" t="str">
        <f>T("182.70")</f>
        <v>182.70</v>
      </c>
      <c r="M3931" t="str">
        <f>T("184.1721")</f>
        <v>184.1721</v>
      </c>
      <c r="AG3931" t="str">
        <f>T("3024")</f>
        <v>3024</v>
      </c>
      <c r="AH3931" t="str">
        <f>T("3")</f>
        <v>3</v>
      </c>
      <c r="AI3931" t="str">
        <f>T("25")</f>
        <v>25</v>
      </c>
    </row>
    <row r="3932" spans="1:35" x14ac:dyDescent="0.3">
      <c r="A3932" t="s">
        <v>12247</v>
      </c>
      <c r="B3932" t="s">
        <v>12248</v>
      </c>
      <c r="C3932" t="s">
        <v>12249</v>
      </c>
      <c r="D3932" t="s">
        <v>12250</v>
      </c>
      <c r="K3932" t="str">
        <f>T("181.23")</f>
        <v>181.23</v>
      </c>
      <c r="L3932" t="str">
        <f>T("184.1733")</f>
        <v>184.1733</v>
      </c>
      <c r="AF3932" t="str">
        <f>T("166.110")</f>
        <v>166.110</v>
      </c>
      <c r="AG3932" t="str">
        <f>T("3025")</f>
        <v>3025</v>
      </c>
      <c r="AH3932" t="str">
        <f>T("3")</f>
        <v>3</v>
      </c>
    </row>
    <row r="3933" spans="1:35" x14ac:dyDescent="0.3">
      <c r="A3933" t="s">
        <v>12251</v>
      </c>
      <c r="B3933" t="s">
        <v>12252</v>
      </c>
      <c r="C3933" t="s">
        <v>12253</v>
      </c>
      <c r="D3933" t="s">
        <v>12254</v>
      </c>
      <c r="E3933" t="str">
        <f>T("73.85")</f>
        <v>73.85</v>
      </c>
      <c r="K3933" t="str">
        <f>T("173.310")</f>
        <v>173.310</v>
      </c>
      <c r="L3933" t="str">
        <f>T("175.210")</f>
        <v>175.210</v>
      </c>
      <c r="M3933" t="str">
        <f>T("175.300")</f>
        <v>175.300</v>
      </c>
      <c r="N3933" t="str">
        <f>T("181.29")</f>
        <v>181.29</v>
      </c>
      <c r="O3933" t="str">
        <f>T("182.1778")</f>
        <v>182.1778</v>
      </c>
      <c r="P3933" t="str">
        <f>T("182.6290")</f>
        <v>182.6290</v>
      </c>
      <c r="Q3933" t="str">
        <f>T("182.6778")</f>
        <v>182.6778</v>
      </c>
      <c r="R3933" t="str">
        <f>T("182.8778")</f>
        <v>182.8778</v>
      </c>
      <c r="AF3933" t="s">
        <v>12255</v>
      </c>
      <c r="AG3933" t="str">
        <f>T("2398")</f>
        <v>2398</v>
      </c>
      <c r="AH3933" t="str">
        <f>T("3")</f>
        <v>3</v>
      </c>
    </row>
    <row r="3934" spans="1:35" x14ac:dyDescent="0.3">
      <c r="A3934" t="s">
        <v>12256</v>
      </c>
      <c r="B3934" t="s">
        <v>12257</v>
      </c>
      <c r="C3934" t="s">
        <v>12258</v>
      </c>
      <c r="D3934" t="s">
        <v>12259</v>
      </c>
      <c r="E3934" t="str">
        <f>T("73.85")</f>
        <v>73.85</v>
      </c>
      <c r="K3934" t="str">
        <f>T("172.892")</f>
        <v>172.892</v>
      </c>
      <c r="L3934" t="str">
        <f>T("173.310")</f>
        <v>173.310</v>
      </c>
      <c r="M3934" t="str">
        <f>T("178.1010")</f>
        <v>178.1010</v>
      </c>
      <c r="N3934" t="str">
        <f>T("182.1778")</f>
        <v>182.1778</v>
      </c>
      <c r="O3934" t="str">
        <f>T("182.6085")</f>
        <v>182.6085</v>
      </c>
      <c r="P3934" t="str">
        <f>T("182.6778")</f>
        <v>182.6778</v>
      </c>
      <c r="Q3934" t="str">
        <f>T("182.8778")</f>
        <v>182.8778</v>
      </c>
      <c r="AF3934" t="s">
        <v>12260</v>
      </c>
    </row>
    <row r="3935" spans="1:35" x14ac:dyDescent="0.3">
      <c r="A3935" t="s">
        <v>12261</v>
      </c>
      <c r="B3935" t="s">
        <v>12262</v>
      </c>
      <c r="C3935" t="s">
        <v>12263</v>
      </c>
      <c r="D3935" t="s">
        <v>12264</v>
      </c>
      <c r="E3935" t="str">
        <f>T("73.85")</f>
        <v>73.85</v>
      </c>
      <c r="K3935" t="str">
        <f>T("173.310")</f>
        <v>173.310</v>
      </c>
      <c r="L3935" t="str">
        <f>T("178.1010")</f>
        <v>178.1010</v>
      </c>
      <c r="M3935" t="str">
        <f>T("182.1778")</f>
        <v>182.1778</v>
      </c>
      <c r="N3935" t="str">
        <f>T("182.6778")</f>
        <v>182.6778</v>
      </c>
      <c r="AF3935" t="s">
        <v>3255</v>
      </c>
    </row>
    <row r="3936" spans="1:35" x14ac:dyDescent="0.3">
      <c r="A3936" t="s">
        <v>12265</v>
      </c>
      <c r="B3936" t="s">
        <v>12266</v>
      </c>
      <c r="C3936" t="s">
        <v>12267</v>
      </c>
      <c r="D3936" t="s">
        <v>12268</v>
      </c>
      <c r="K3936" t="str">
        <f>T("184.1804")</f>
        <v>184.1804</v>
      </c>
      <c r="AF3936" t="s">
        <v>3255</v>
      </c>
    </row>
    <row r="3937" spans="1:37" x14ac:dyDescent="0.3">
      <c r="A3937" t="s">
        <v>12269</v>
      </c>
      <c r="B3937" t="s">
        <v>12270</v>
      </c>
      <c r="C3937" t="s">
        <v>12271</v>
      </c>
      <c r="D3937" t="s">
        <v>3274</v>
      </c>
      <c r="K3937" t="str">
        <f>T("179.45")</f>
        <v>179.45</v>
      </c>
      <c r="L3937" t="str">
        <f>T("180.23")</f>
        <v>180.23</v>
      </c>
      <c r="M3937" t="str">
        <f>T("184.1784")</f>
        <v>184.1784</v>
      </c>
      <c r="AF3937" t="s">
        <v>12272</v>
      </c>
    </row>
    <row r="3938" spans="1:37" x14ac:dyDescent="0.3">
      <c r="A3938" t="s">
        <v>12273</v>
      </c>
      <c r="B3938" t="s">
        <v>12274</v>
      </c>
      <c r="C3938" t="s">
        <v>12275</v>
      </c>
      <c r="D3938" t="s">
        <v>184</v>
      </c>
      <c r="K3938" t="str">
        <f>T("182.3795")</f>
        <v>182.3795</v>
      </c>
      <c r="L3938" t="str">
        <f>T("182.90")</f>
        <v>182.90</v>
      </c>
      <c r="AF3938" t="s">
        <v>12276</v>
      </c>
    </row>
    <row r="3939" spans="1:37" x14ac:dyDescent="0.3">
      <c r="A3939" t="s">
        <v>12277</v>
      </c>
      <c r="B3939" t="s">
        <v>12278</v>
      </c>
      <c r="C3939" t="s">
        <v>12279</v>
      </c>
      <c r="D3939" t="s">
        <v>12268</v>
      </c>
      <c r="K3939" t="str">
        <f>T("184.1801")</f>
        <v>184.1801</v>
      </c>
      <c r="AF3939" t="s">
        <v>3255</v>
      </c>
    </row>
    <row r="3940" spans="1:37" x14ac:dyDescent="0.3">
      <c r="A3940" t="s">
        <v>12280</v>
      </c>
      <c r="B3940" t="s">
        <v>12281</v>
      </c>
      <c r="C3940" t="s">
        <v>12282</v>
      </c>
      <c r="D3940" t="s">
        <v>7</v>
      </c>
      <c r="K3940" t="str">
        <f>T("172.872")</f>
        <v>172.872</v>
      </c>
      <c r="L3940" t="str">
        <f>T("177.2260")</f>
        <v>177.2260</v>
      </c>
      <c r="M3940" t="str">
        <f>T("181.23")</f>
        <v>181.23</v>
      </c>
      <c r="N3940" t="str">
        <f>T("182.3089")</f>
        <v>182.3089</v>
      </c>
      <c r="AF3940" t="s">
        <v>12229</v>
      </c>
      <c r="AG3940" t="str">
        <f>T("3921")</f>
        <v>3921</v>
      </c>
      <c r="AH3940" t="str">
        <f>T("19")</f>
        <v>19</v>
      </c>
      <c r="AK3940" t="str">
        <f>T("1176")</f>
        <v>1176</v>
      </c>
    </row>
    <row r="3941" spans="1:37" x14ac:dyDescent="0.3">
      <c r="A3941" t="s">
        <v>12283</v>
      </c>
      <c r="B3941" t="s">
        <v>12284</v>
      </c>
      <c r="C3941" t="s">
        <v>12285</v>
      </c>
      <c r="D3941" t="s">
        <v>12286</v>
      </c>
      <c r="K3941" t="str">
        <f>T("184.1099")</f>
        <v>184.1099</v>
      </c>
      <c r="AF3941" t="s">
        <v>553</v>
      </c>
      <c r="AG3941" t="str">
        <f>T("3044")</f>
        <v>3044</v>
      </c>
      <c r="AH3941" t="str">
        <f>T("3")</f>
        <v>3</v>
      </c>
      <c r="AI3941" t="str">
        <f>T("25")</f>
        <v>25</v>
      </c>
      <c r="AK3941" t="str">
        <f>T("621")</f>
        <v>621</v>
      </c>
    </row>
    <row r="3942" spans="1:37" x14ac:dyDescent="0.3">
      <c r="A3942" t="s">
        <v>12287</v>
      </c>
      <c r="B3942" t="s">
        <v>12288</v>
      </c>
      <c r="C3942" t="s">
        <v>12289</v>
      </c>
      <c r="D3942" t="s">
        <v>12290</v>
      </c>
      <c r="K3942" t="str">
        <f>T("184.1351")</f>
        <v>184.1351</v>
      </c>
      <c r="AF3942" t="s">
        <v>4513</v>
      </c>
      <c r="AG3942" t="str">
        <f>T("3079")</f>
        <v>3079</v>
      </c>
      <c r="AH3942" t="str">
        <f>T("3")</f>
        <v>3</v>
      </c>
    </row>
    <row r="3943" spans="1:37" x14ac:dyDescent="0.3">
      <c r="A3943" t="s">
        <v>12291</v>
      </c>
      <c r="B3943" t="s">
        <v>12292</v>
      </c>
      <c r="C3943" t="s">
        <v>12293</v>
      </c>
      <c r="D3943" t="s">
        <v>12294</v>
      </c>
      <c r="K3943" t="str">
        <f>T("175.300")</f>
        <v>175.300</v>
      </c>
      <c r="L3943" t="str">
        <f>T("179.45")</f>
        <v>179.45</v>
      </c>
      <c r="M3943" t="str">
        <f>T("181.29")</f>
        <v>181.29</v>
      </c>
      <c r="N3943" t="str">
        <f>T("184.1751")</f>
        <v>184.1751</v>
      </c>
      <c r="AF3943" t="s">
        <v>12295</v>
      </c>
      <c r="AG3943" t="str">
        <f>T("3026")</f>
        <v>3026</v>
      </c>
      <c r="AH3943" t="str">
        <f>T("3")</f>
        <v>3</v>
      </c>
    </row>
    <row r="3944" spans="1:37" x14ac:dyDescent="0.3">
      <c r="A3944" t="s">
        <v>12296</v>
      </c>
      <c r="B3944" t="s">
        <v>12297</v>
      </c>
      <c r="C3944" t="s">
        <v>12298</v>
      </c>
      <c r="D3944" t="s">
        <v>1537</v>
      </c>
      <c r="AG3944" t="str">
        <f>T("2104")</f>
        <v>2104</v>
      </c>
      <c r="AH3944" t="str">
        <f>T("3")</f>
        <v>3</v>
      </c>
    </row>
    <row r="3945" spans="1:37" x14ac:dyDescent="0.3">
      <c r="A3945" t="s">
        <v>12299</v>
      </c>
      <c r="B3945" t="s">
        <v>12300</v>
      </c>
      <c r="C3945" t="s">
        <v>12301</v>
      </c>
      <c r="D3945" t="s">
        <v>606</v>
      </c>
      <c r="E3945" t="str">
        <f>T("74.302")</f>
        <v>74.302</v>
      </c>
    </row>
    <row r="3946" spans="1:37" x14ac:dyDescent="0.3">
      <c r="A3946" t="s">
        <v>12302</v>
      </c>
      <c r="B3946" t="s">
        <v>12303</v>
      </c>
      <c r="C3946" t="s">
        <v>12304</v>
      </c>
      <c r="D3946" t="s">
        <v>184</v>
      </c>
      <c r="K3946" t="str">
        <f>T("173.320")</f>
        <v>173.320</v>
      </c>
      <c r="L3946" t="str">
        <f>T("175.105")</f>
        <v>175.105</v>
      </c>
      <c r="M3946" t="str">
        <f>T("176.170")</f>
        <v>176.170</v>
      </c>
      <c r="N3946" t="str">
        <f>T("176.300")</f>
        <v>176.300</v>
      </c>
    </row>
    <row r="3947" spans="1:37" x14ac:dyDescent="0.3">
      <c r="A3947" t="s">
        <v>12305</v>
      </c>
      <c r="B3947" t="s">
        <v>12306</v>
      </c>
      <c r="C3947" t="s">
        <v>12307</v>
      </c>
      <c r="D3947" t="s">
        <v>606</v>
      </c>
      <c r="E3947" t="str">
        <f>T("74.1102")</f>
        <v>74.1102</v>
      </c>
      <c r="F3947" t="str">
        <f>T("74.3102")</f>
        <v>74.3102</v>
      </c>
      <c r="K3947" t="str">
        <f>T("176.180")</f>
        <v>176.180</v>
      </c>
    </row>
    <row r="3948" spans="1:37" x14ac:dyDescent="0.3">
      <c r="A3948" t="s">
        <v>12308</v>
      </c>
      <c r="B3948" t="s">
        <v>12309</v>
      </c>
      <c r="C3948" t="s">
        <v>12310</v>
      </c>
      <c r="D3948" t="s">
        <v>7</v>
      </c>
      <c r="K3948" t="str">
        <f>T("175.105")</f>
        <v>175.105</v>
      </c>
      <c r="L3948" t="str">
        <f>T("177.1520")</f>
        <v>177.1520</v>
      </c>
      <c r="AG3948" t="str">
        <f>T("4293")</f>
        <v>4293</v>
      </c>
      <c r="AH3948" t="str">
        <f>T("23")</f>
        <v>23</v>
      </c>
      <c r="AK3948" t="str">
        <f>T("2191")</f>
        <v>2191</v>
      </c>
    </row>
    <row r="3949" spans="1:37" x14ac:dyDescent="0.3">
      <c r="A3949" t="s">
        <v>12311</v>
      </c>
      <c r="B3949" t="s">
        <v>12312</v>
      </c>
      <c r="C3949" t="s">
        <v>12313</v>
      </c>
      <c r="D3949" t="s">
        <v>199</v>
      </c>
      <c r="K3949" t="str">
        <f>T("172.886")</f>
        <v>172.886</v>
      </c>
      <c r="L3949" t="str">
        <f>T("178.3710")</f>
        <v>178.3710</v>
      </c>
    </row>
    <row r="3950" spans="1:37" x14ac:dyDescent="0.3">
      <c r="A3950" t="s">
        <v>12314</v>
      </c>
      <c r="B3950" t="s">
        <v>12315</v>
      </c>
      <c r="C3950" t="s">
        <v>12316</v>
      </c>
      <c r="D3950" t="s">
        <v>420</v>
      </c>
      <c r="K3950" t="str">
        <f>T("173.340")</f>
        <v>173.340</v>
      </c>
      <c r="L3950" t="str">
        <f>T("176.170")</f>
        <v>176.170</v>
      </c>
      <c r="M3950" t="str">
        <f>T("176.200")</f>
        <v>176.200</v>
      </c>
    </row>
    <row r="3951" spans="1:37" x14ac:dyDescent="0.3">
      <c r="A3951" t="s">
        <v>12317</v>
      </c>
      <c r="B3951" t="s">
        <v>12318</v>
      </c>
      <c r="C3951" t="s">
        <v>12319</v>
      </c>
      <c r="D3951" t="s">
        <v>420</v>
      </c>
      <c r="K3951" t="str">
        <f>T("173.340")</f>
        <v>173.340</v>
      </c>
      <c r="L3951" t="str">
        <f>T("176.200")</f>
        <v>176.200</v>
      </c>
    </row>
    <row r="3952" spans="1:37" x14ac:dyDescent="0.3">
      <c r="A3952" t="s">
        <v>12320</v>
      </c>
      <c r="B3952" t="s">
        <v>12321</v>
      </c>
      <c r="C3952" t="s">
        <v>12322</v>
      </c>
      <c r="D3952" t="s">
        <v>3667</v>
      </c>
      <c r="K3952" t="str">
        <f>T("173.315")</f>
        <v>173.315</v>
      </c>
      <c r="L3952" t="str">
        <f>T("175.105")</f>
        <v>175.105</v>
      </c>
      <c r="M3952" t="str">
        <f>T("176.170")</f>
        <v>176.170</v>
      </c>
    </row>
    <row r="3953" spans="1:37" x14ac:dyDescent="0.3">
      <c r="A3953" t="s">
        <v>12323</v>
      </c>
      <c r="B3953" t="s">
        <v>12324</v>
      </c>
      <c r="C3953" t="s">
        <v>12325</v>
      </c>
      <c r="D3953" t="s">
        <v>137</v>
      </c>
      <c r="K3953" t="str">
        <f>T("184.1697")</f>
        <v>184.1697</v>
      </c>
    </row>
    <row r="3954" spans="1:37" ht="115.2" x14ac:dyDescent="0.3">
      <c r="A3954" t="s">
        <v>12326</v>
      </c>
      <c r="B3954" t="s">
        <v>12327</v>
      </c>
      <c r="C3954" s="1" t="s">
        <v>12328</v>
      </c>
      <c r="D3954" t="s">
        <v>15</v>
      </c>
      <c r="AG3954" t="str">
        <f>T("3157")</f>
        <v>3157</v>
      </c>
      <c r="AH3954" t="str">
        <f>T("4")</f>
        <v>4</v>
      </c>
      <c r="AK3954" t="str">
        <f>T("1027")</f>
        <v>1027</v>
      </c>
    </row>
    <row r="3955" spans="1:37" x14ac:dyDescent="0.3">
      <c r="A3955" t="s">
        <v>12329</v>
      </c>
      <c r="B3955" t="s">
        <v>12330</v>
      </c>
      <c r="C3955" t="s">
        <v>12331</v>
      </c>
      <c r="D3955" t="s">
        <v>3328</v>
      </c>
      <c r="K3955" t="str">
        <f>T("184.1875")</f>
        <v>184.1875</v>
      </c>
      <c r="AG3955" t="str">
        <f>T("3322")</f>
        <v>3322</v>
      </c>
      <c r="AH3955" t="str">
        <f>T("5")</f>
        <v>5</v>
      </c>
      <c r="AI3955" t="str">
        <f>T("25")</f>
        <v>25</v>
      </c>
      <c r="AK3955" t="str">
        <f>T("1030")</f>
        <v>1030</v>
      </c>
    </row>
    <row r="3956" spans="1:37" x14ac:dyDescent="0.3">
      <c r="A3956" t="s">
        <v>12332</v>
      </c>
      <c r="B3956" t="s">
        <v>12333</v>
      </c>
      <c r="C3956" t="s">
        <v>12334</v>
      </c>
      <c r="D3956" t="s">
        <v>7</v>
      </c>
      <c r="AG3956" t="str">
        <f>T("4463")</f>
        <v>4463</v>
      </c>
      <c r="AH3956" t="str">
        <f>T("24")</f>
        <v>24</v>
      </c>
      <c r="AK3956" t="str">
        <f>T("1952")</f>
        <v>1952</v>
      </c>
    </row>
    <row r="3957" spans="1:37" x14ac:dyDescent="0.3">
      <c r="A3957" t="s">
        <v>12335</v>
      </c>
      <c r="B3957" t="s">
        <v>12336</v>
      </c>
      <c r="C3957" t="s">
        <v>12337</v>
      </c>
      <c r="D3957" t="s">
        <v>12338</v>
      </c>
      <c r="E3957" t="str">
        <f>T("73.70")</f>
        <v>73.70</v>
      </c>
      <c r="F3957" t="str">
        <f>T("73.1070")</f>
        <v>73.1070</v>
      </c>
      <c r="K3957" t="str">
        <f>T("175.300")</f>
        <v>175.300</v>
      </c>
      <c r="L3957" t="str">
        <f>T("176.170")</f>
        <v>176.170</v>
      </c>
      <c r="M3957" t="str">
        <f>T("177.1600")</f>
        <v>177.1600</v>
      </c>
      <c r="N3957" t="str">
        <f>T("177.1680")</f>
        <v>177.1680</v>
      </c>
      <c r="O3957" t="str">
        <f>T("177.2260")</f>
        <v>177.2260</v>
      </c>
      <c r="P3957" t="str">
        <f>T("178.3297")</f>
        <v>178.3297</v>
      </c>
      <c r="Q3957" t="str">
        <f>T("181.29")</f>
        <v>181.29</v>
      </c>
      <c r="R3957" t="str">
        <f>T("184.1191")</f>
        <v>184.1191</v>
      </c>
      <c r="AF3957" t="s">
        <v>12339</v>
      </c>
    </row>
    <row r="3958" spans="1:37" x14ac:dyDescent="0.3">
      <c r="A3958" t="s">
        <v>12340</v>
      </c>
      <c r="B3958" t="s">
        <v>12341</v>
      </c>
      <c r="C3958" t="s">
        <v>12342</v>
      </c>
      <c r="D3958" t="s">
        <v>12343</v>
      </c>
      <c r="K3958" t="str">
        <f>T("184.1240")</f>
        <v>184.1240</v>
      </c>
      <c r="AF3958" t="s">
        <v>12344</v>
      </c>
    </row>
    <row r="3959" spans="1:37" x14ac:dyDescent="0.3">
      <c r="A3959" t="s">
        <v>12345</v>
      </c>
      <c r="B3959" t="s">
        <v>12346</v>
      </c>
      <c r="C3959" t="s">
        <v>12347</v>
      </c>
      <c r="D3959" t="s">
        <v>12348</v>
      </c>
      <c r="E3959" t="str">
        <f>T("73.85")</f>
        <v>73.85</v>
      </c>
      <c r="K3959" t="str">
        <f>T("172.755")</f>
        <v>172.755</v>
      </c>
      <c r="L3959" t="str">
        <f>T("172.861")</f>
        <v>172.861</v>
      </c>
      <c r="M3959" t="str">
        <f>T("173.160")</f>
        <v>173.160</v>
      </c>
      <c r="N3959" t="str">
        <f>T("173.165")</f>
        <v>173.165</v>
      </c>
      <c r="O3959" t="str">
        <f>T("173.280")</f>
        <v>173.280</v>
      </c>
      <c r="P3959" t="str">
        <f>T("178.1010")</f>
        <v>178.1010</v>
      </c>
      <c r="Q3959" t="str">
        <f>T("184.1033")</f>
        <v>184.1033</v>
      </c>
      <c r="AF3959" t="s">
        <v>12349</v>
      </c>
      <c r="AG3959" t="str">
        <f>T("2306")</f>
        <v>2306</v>
      </c>
      <c r="AH3959" t="str">
        <f>T("3")</f>
        <v>3</v>
      </c>
      <c r="AI3959" t="str">
        <f>T("25")</f>
        <v>25</v>
      </c>
      <c r="AK3959" t="str">
        <f>T("218")</f>
        <v>218</v>
      </c>
    </row>
    <row r="3960" spans="1:37" x14ac:dyDescent="0.3">
      <c r="A3960" t="s">
        <v>12350</v>
      </c>
      <c r="B3960" t="s">
        <v>12351</v>
      </c>
      <c r="C3960" t="s">
        <v>12352</v>
      </c>
      <c r="D3960" t="s">
        <v>12353</v>
      </c>
      <c r="E3960" t="str">
        <f>T("73.1")</f>
        <v>73.1</v>
      </c>
      <c r="K3960" t="str">
        <f>T("172.520")</f>
        <v>172.520</v>
      </c>
      <c r="L3960" t="str">
        <f>T("172.808")</f>
        <v>172.808</v>
      </c>
      <c r="M3960" t="str">
        <f>T("172.810")</f>
        <v>172.810</v>
      </c>
      <c r="N3960" t="str">
        <f>T("175.105")</f>
        <v>175.105</v>
      </c>
      <c r="O3960" t="str">
        <f>T("175.300")</f>
        <v>175.300</v>
      </c>
      <c r="P3960" t="str">
        <f>T("175.320")</f>
        <v>175.320</v>
      </c>
      <c r="Q3960" t="str">
        <f>T("176.170")</f>
        <v>176.170</v>
      </c>
      <c r="R3960" t="str">
        <f>T("176.180")</f>
        <v>176.180</v>
      </c>
      <c r="S3960" t="str">
        <f>T("176.210")</f>
        <v>176.210</v>
      </c>
      <c r="T3960" t="str">
        <f>T("177.1200")</f>
        <v>177.1200</v>
      </c>
      <c r="U3960" t="str">
        <f>T("177.2800")</f>
        <v>177.2800</v>
      </c>
      <c r="V3960" t="str">
        <f>T("178.1010")</f>
        <v>178.1010</v>
      </c>
      <c r="W3960" t="str">
        <f>T("178.3400")</f>
        <v>178.3400</v>
      </c>
      <c r="AF3960" t="s">
        <v>12354</v>
      </c>
    </row>
    <row r="3961" spans="1:37" x14ac:dyDescent="0.3">
      <c r="A3961" t="s">
        <v>12355</v>
      </c>
      <c r="B3961" t="s">
        <v>12356</v>
      </c>
      <c r="C3961" t="s">
        <v>12357</v>
      </c>
      <c r="D3961" t="s">
        <v>12358</v>
      </c>
      <c r="E3961" t="str">
        <f>T("73.1")</f>
        <v>73.1</v>
      </c>
      <c r="K3961" t="str">
        <f>T("172.120")</f>
        <v>172.120</v>
      </c>
      <c r="L3961" t="str">
        <f>T("172.135")</f>
        <v>172.135</v>
      </c>
      <c r="M3961" t="str">
        <f>T("175.105")</f>
        <v>175.105</v>
      </c>
      <c r="N3961" t="str">
        <f>T("176.170")</f>
        <v>176.170</v>
      </c>
      <c r="AF3961" t="s">
        <v>12359</v>
      </c>
    </row>
    <row r="3962" spans="1:37" x14ac:dyDescent="0.3">
      <c r="A3962" t="s">
        <v>12360</v>
      </c>
      <c r="B3962" t="s">
        <v>12361</v>
      </c>
      <c r="C3962" t="s">
        <v>12362</v>
      </c>
      <c r="D3962" t="s">
        <v>7</v>
      </c>
      <c r="E3962" t="str">
        <f>T("73.1")</f>
        <v>73.1</v>
      </c>
      <c r="K3962" t="str">
        <f>T("172.120")</f>
        <v>172.120</v>
      </c>
      <c r="L3962" t="str">
        <f>T("172.135")</f>
        <v>172.135</v>
      </c>
      <c r="M3962" t="str">
        <f>T("175.105")</f>
        <v>175.105</v>
      </c>
      <c r="N3962" t="str">
        <f>T("176.150")</f>
        <v>176.150</v>
      </c>
      <c r="O3962" t="str">
        <f>T("176.170")</f>
        <v>176.170</v>
      </c>
      <c r="P3962" t="str">
        <f>T("177.1200")</f>
        <v>177.1200</v>
      </c>
      <c r="Q3962" t="str">
        <f>T("178.1010")</f>
        <v>178.1010</v>
      </c>
      <c r="R3962" t="str">
        <f>T("178.3570")</f>
        <v>178.3570</v>
      </c>
      <c r="AF3962" t="s">
        <v>12363</v>
      </c>
    </row>
    <row r="3963" spans="1:37" x14ac:dyDescent="0.3">
      <c r="A3963" t="s">
        <v>12364</v>
      </c>
      <c r="B3963" t="s">
        <v>12365</v>
      </c>
      <c r="C3963" t="s">
        <v>12366</v>
      </c>
      <c r="D3963" t="s">
        <v>12367</v>
      </c>
      <c r="K3963" t="str">
        <f>T("175.300")</f>
        <v>175.300</v>
      </c>
      <c r="L3963" t="str">
        <f>T("176.170")</f>
        <v>176.170</v>
      </c>
      <c r="M3963" t="str">
        <f>T("184.1400")</f>
        <v>184.1400</v>
      </c>
      <c r="AF3963" t="s">
        <v>12368</v>
      </c>
    </row>
    <row r="3964" spans="1:37" x14ac:dyDescent="0.3">
      <c r="A3964" t="s">
        <v>12369</v>
      </c>
      <c r="B3964" t="s">
        <v>12370</v>
      </c>
      <c r="C3964" t="s">
        <v>12371</v>
      </c>
      <c r="D3964" t="s">
        <v>1949</v>
      </c>
      <c r="K3964" t="str">
        <f>T("182.20")</f>
        <v>182.20</v>
      </c>
      <c r="AF3964" t="s">
        <v>12372</v>
      </c>
    </row>
    <row r="3965" spans="1:37" x14ac:dyDescent="0.3">
      <c r="A3965" t="s">
        <v>12373</v>
      </c>
      <c r="B3965" t="s">
        <v>12374</v>
      </c>
      <c r="C3965" t="s">
        <v>12375</v>
      </c>
      <c r="D3965" t="s">
        <v>1949</v>
      </c>
      <c r="K3965" t="str">
        <f>T("182.20")</f>
        <v>182.20</v>
      </c>
      <c r="AF3965" t="s">
        <v>12376</v>
      </c>
    </row>
    <row r="3966" spans="1:37" x14ac:dyDescent="0.3">
      <c r="A3966" t="s">
        <v>12377</v>
      </c>
      <c r="B3966" t="s">
        <v>12378</v>
      </c>
      <c r="C3966" t="s">
        <v>12379</v>
      </c>
      <c r="D3966" t="s">
        <v>12380</v>
      </c>
      <c r="K3966" t="str">
        <f>T("184.1069")</f>
        <v>184.1069</v>
      </c>
      <c r="AF3966" t="s">
        <v>12381</v>
      </c>
      <c r="AG3966" t="str">
        <f>T("2655")</f>
        <v>2655</v>
      </c>
      <c r="AH3966" t="str">
        <f>T("3")</f>
        <v>3</v>
      </c>
      <c r="AI3966" t="str">
        <f>T("25")</f>
        <v>25</v>
      </c>
      <c r="AK3966" t="str">
        <f>T("619")</f>
        <v>619</v>
      </c>
    </row>
    <row r="3967" spans="1:37" x14ac:dyDescent="0.3">
      <c r="A3967" t="s">
        <v>12382</v>
      </c>
      <c r="B3967" t="s">
        <v>12383</v>
      </c>
      <c r="C3967" t="s">
        <v>12384</v>
      </c>
      <c r="D3967" t="s">
        <v>12385</v>
      </c>
      <c r="K3967" t="str">
        <f>T("172.320")</f>
        <v>172.320</v>
      </c>
      <c r="L3967" t="str">
        <f>T("182.1")</f>
        <v>182.1</v>
      </c>
      <c r="AF3967" t="s">
        <v>12386</v>
      </c>
      <c r="AG3967" t="str">
        <f>T("2756")</f>
        <v>2756</v>
      </c>
      <c r="AH3967" t="str">
        <f>T("3")</f>
        <v>3</v>
      </c>
    </row>
    <row r="3968" spans="1:37" x14ac:dyDescent="0.3">
      <c r="A3968" t="s">
        <v>12387</v>
      </c>
      <c r="B3968" t="s">
        <v>12388</v>
      </c>
      <c r="C3968" t="s">
        <v>12389</v>
      </c>
      <c r="D3968" t="s">
        <v>12390</v>
      </c>
      <c r="K3968" t="str">
        <f>T("177.1615")</f>
        <v>177.1615</v>
      </c>
      <c r="L3968" t="str">
        <f>T("184.1540")</f>
        <v>184.1540</v>
      </c>
      <c r="AF3968" t="s">
        <v>12391</v>
      </c>
    </row>
    <row r="3969" spans="1:37" x14ac:dyDescent="0.3">
      <c r="A3969" t="s">
        <v>12392</v>
      </c>
      <c r="B3969" t="s">
        <v>12393</v>
      </c>
      <c r="C3969" t="s">
        <v>12394</v>
      </c>
      <c r="D3969" t="s">
        <v>12395</v>
      </c>
      <c r="K3969" t="str">
        <f>T("172.818")</f>
        <v>172.818</v>
      </c>
      <c r="L3969" t="str">
        <f>T("173.340")</f>
        <v>173.340</v>
      </c>
      <c r="M3969" t="str">
        <f>T("176.170")</f>
        <v>176.170</v>
      </c>
      <c r="AF3969" t="s">
        <v>12391</v>
      </c>
    </row>
    <row r="3970" spans="1:37" x14ac:dyDescent="0.3">
      <c r="A3970" t="s">
        <v>12396</v>
      </c>
      <c r="B3970" t="s">
        <v>12397</v>
      </c>
      <c r="C3970" t="s">
        <v>12398</v>
      </c>
      <c r="D3970" t="s">
        <v>12399</v>
      </c>
      <c r="E3970" t="str">
        <f>T("73.85")</f>
        <v>73.85</v>
      </c>
      <c r="K3970" t="str">
        <f>T("172.854")</f>
        <v>172.854</v>
      </c>
      <c r="AF3970" t="s">
        <v>12381</v>
      </c>
      <c r="AG3970" t="str">
        <f>T("4201")</f>
        <v>4201</v>
      </c>
      <c r="AH3970" t="str">
        <f>T("22")</f>
        <v>22</v>
      </c>
    </row>
    <row r="3971" spans="1:37" x14ac:dyDescent="0.3">
      <c r="A3971" t="s">
        <v>12400</v>
      </c>
      <c r="B3971" t="s">
        <v>12401</v>
      </c>
      <c r="C3971" t="s">
        <v>12402</v>
      </c>
      <c r="D3971" t="s">
        <v>12403</v>
      </c>
      <c r="K3971" t="str">
        <f>T("172.177")</f>
        <v>172.177</v>
      </c>
      <c r="L3971" t="str">
        <f>T("172.430")</f>
        <v>172.430</v>
      </c>
      <c r="M3971" t="str">
        <f>T("172.490")</f>
        <v>172.490</v>
      </c>
      <c r="N3971" t="str">
        <f>T("172.840")</f>
        <v>172.840</v>
      </c>
      <c r="O3971" t="str">
        <f>T("172.861")</f>
        <v>172.861</v>
      </c>
      <c r="P3971" t="str">
        <f>T("182.1")</f>
        <v>182.1</v>
      </c>
      <c r="Q3971" t="str">
        <f>T("182.70")</f>
        <v>182.70</v>
      </c>
      <c r="R3971" t="str">
        <f>T("182.90")</f>
        <v>182.90</v>
      </c>
      <c r="AF3971" t="s">
        <v>12404</v>
      </c>
    </row>
    <row r="3972" spans="1:37" x14ac:dyDescent="0.3">
      <c r="A3972" t="s">
        <v>12405</v>
      </c>
      <c r="B3972" t="s">
        <v>12406</v>
      </c>
      <c r="C3972" t="s">
        <v>12407</v>
      </c>
      <c r="D3972" t="s">
        <v>12408</v>
      </c>
      <c r="K3972" t="str">
        <f>T("172.892")</f>
        <v>172.892</v>
      </c>
      <c r="L3972" t="str">
        <f>T("173.310")</f>
        <v>173.310</v>
      </c>
      <c r="M3972" t="str">
        <f>T("182.6769")</f>
        <v>182.6769</v>
      </c>
      <c r="AF3972" t="s">
        <v>3255</v>
      </c>
      <c r="AG3972" t="str">
        <f>T("3027")</f>
        <v>3027</v>
      </c>
      <c r="AH3972" t="str">
        <f>T("3")</f>
        <v>3</v>
      </c>
    </row>
    <row r="3973" spans="1:37" x14ac:dyDescent="0.3">
      <c r="B3973" t="s">
        <v>12409</v>
      </c>
      <c r="C3973" t="s">
        <v>12410</v>
      </c>
      <c r="D3973" t="s">
        <v>137</v>
      </c>
      <c r="K3973" t="str">
        <f>T("172.382")</f>
        <v>172.382</v>
      </c>
    </row>
    <row r="3974" spans="1:37" x14ac:dyDescent="0.3">
      <c r="A3974" t="s">
        <v>12411</v>
      </c>
      <c r="B3974" t="s">
        <v>12412</v>
      </c>
      <c r="C3974" t="s">
        <v>12413</v>
      </c>
      <c r="D3974" t="s">
        <v>606</v>
      </c>
      <c r="E3974" t="str">
        <f>T("73.520")</f>
        <v>73.520</v>
      </c>
    </row>
    <row r="3975" spans="1:37" x14ac:dyDescent="0.3">
      <c r="B3975" t="s">
        <v>12414</v>
      </c>
      <c r="C3975" t="s">
        <v>12415</v>
      </c>
      <c r="D3975" t="s">
        <v>606</v>
      </c>
      <c r="E3975" t="str">
        <f>T("73.69")</f>
        <v>73.69</v>
      </c>
    </row>
    <row r="3976" spans="1:37" x14ac:dyDescent="0.3">
      <c r="A3976" t="s">
        <v>12416</v>
      </c>
      <c r="B3976" t="s">
        <v>12417</v>
      </c>
      <c r="C3976" t="s">
        <v>12418</v>
      </c>
      <c r="D3976" t="s">
        <v>7</v>
      </c>
      <c r="AG3976" t="str">
        <f>T("4666")</f>
        <v>4666</v>
      </c>
      <c r="AH3976" t="str">
        <f>T("24")</f>
        <v>24</v>
      </c>
      <c r="AK3976" t="str">
        <f>T("2031")</f>
        <v>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FoodSubstances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Horn</dc:creator>
  <cp:lastModifiedBy>Connor Horn</cp:lastModifiedBy>
  <dcterms:created xsi:type="dcterms:W3CDTF">2023-11-04T17:56:05Z</dcterms:created>
  <dcterms:modified xsi:type="dcterms:W3CDTF">2023-11-04T19:32:03Z</dcterms:modified>
</cp:coreProperties>
</file>