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0" yWindow="2980" windowWidth="25600" windowHeight="16060" tabRatio="869"/>
  </bookViews>
  <sheets>
    <sheet name="EE BS BSMS" sheetId="44" r:id="rId1"/>
    <sheet name="Schedule" sheetId="39" r:id="rId2"/>
  </sheets>
  <definedNames>
    <definedName name="_xlnm.Print_Area" localSheetId="0">'EE BS BSMS'!$A$1:$AA$143</definedName>
    <definedName name="ValidBlocks" localSheetId="0">'EE BS BSMS'!$A$148:$A$175</definedName>
    <definedName name="ValidBlocks">#REF!</definedName>
    <definedName name="ValidDD" localSheetId="0">'EE BS BSMS'!$O$128:$O$130</definedName>
    <definedName name="ValidDD">#REF!</definedName>
    <definedName name="ValidQuarters" localSheetId="0">'EE BS BSMS'!$A$126:$A$142</definedName>
    <definedName name="ValidQuarters">#REF!</definedName>
    <definedName name="ValidSemesters" localSheetId="0">'EE BS BSMS'!$H$126:$H$138</definedName>
    <definedName name="ValidSemesters">#REF!</definedName>
    <definedName name="ValidStatus" localSheetId="0">'EE BS BSMS'!$H$140:$H$143</definedName>
    <definedName name="ValidStatus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44" l="1"/>
  <c r="B23" i="44"/>
  <c r="C23" i="44"/>
  <c r="I22" i="44"/>
  <c r="J22" i="44"/>
  <c r="C22" i="44"/>
  <c r="B81" i="44"/>
  <c r="J81" i="44"/>
  <c r="M81" i="44"/>
  <c r="F81" i="44"/>
  <c r="C81" i="44"/>
  <c r="U62" i="44"/>
  <c r="Q62" i="44"/>
  <c r="O62" i="44"/>
  <c r="I62" i="44"/>
  <c r="M62" i="44"/>
  <c r="W62" i="44"/>
  <c r="B65" i="44"/>
  <c r="I65" i="44"/>
  <c r="J65" i="44"/>
  <c r="S62" i="44"/>
  <c r="J62" i="44"/>
  <c r="Y62" i="44"/>
  <c r="C65" i="44"/>
  <c r="L103" i="44"/>
  <c r="L102" i="44"/>
  <c r="L101" i="44"/>
  <c r="K101" i="44"/>
  <c r="K103" i="44"/>
  <c r="K102" i="44"/>
  <c r="D102" i="44"/>
  <c r="D103" i="44"/>
  <c r="H103" i="44"/>
  <c r="H102" i="44"/>
  <c r="H101" i="44"/>
  <c r="A103" i="44"/>
  <c r="A102" i="44"/>
  <c r="B64" i="44"/>
  <c r="D126" i="44"/>
  <c r="E102" i="44"/>
  <c r="M126" i="44"/>
  <c r="K138" i="44"/>
  <c r="K137" i="44"/>
  <c r="K136" i="44"/>
  <c r="K135" i="44"/>
  <c r="K134" i="44"/>
  <c r="K133" i="44"/>
  <c r="K132" i="44"/>
  <c r="K131" i="44"/>
  <c r="K130" i="44"/>
  <c r="K129" i="44"/>
  <c r="K128" i="44"/>
  <c r="K127" i="44"/>
  <c r="K126" i="44"/>
  <c r="E103" i="44"/>
  <c r="M138" i="44"/>
  <c r="M137" i="44"/>
  <c r="M136" i="44"/>
  <c r="M135" i="44"/>
  <c r="M134" i="44"/>
  <c r="M133" i="44"/>
  <c r="M132" i="44"/>
  <c r="M131" i="44"/>
  <c r="M130" i="44"/>
  <c r="M128" i="44"/>
  <c r="F142" i="44"/>
  <c r="F141" i="44"/>
  <c r="F139" i="44"/>
  <c r="F137" i="44"/>
  <c r="F136" i="44"/>
  <c r="F135" i="44"/>
  <c r="F134" i="44"/>
  <c r="F133" i="44"/>
  <c r="F132" i="44"/>
  <c r="F131" i="44"/>
  <c r="F130" i="44"/>
  <c r="F129" i="44"/>
  <c r="F128" i="44"/>
  <c r="F127" i="44"/>
  <c r="F126" i="44"/>
  <c r="D141" i="44"/>
  <c r="D140" i="44"/>
  <c r="D139" i="44"/>
  <c r="D138" i="44"/>
  <c r="D137" i="44"/>
  <c r="D136" i="44"/>
  <c r="D135" i="44"/>
  <c r="D134" i="44"/>
  <c r="D133" i="44"/>
  <c r="D132" i="44"/>
  <c r="D131" i="44"/>
  <c r="D130" i="44"/>
  <c r="D129" i="44"/>
  <c r="D128" i="44"/>
  <c r="D127" i="44"/>
  <c r="I111" i="44"/>
  <c r="M111" i="44"/>
  <c r="B111" i="44"/>
  <c r="F111" i="44"/>
  <c r="B63" i="44"/>
  <c r="F63" i="44"/>
  <c r="F61" i="44"/>
  <c r="B61" i="44"/>
  <c r="B45" i="44"/>
  <c r="F45" i="44"/>
  <c r="F138" i="44"/>
  <c r="C64" i="44"/>
  <c r="I64" i="44"/>
  <c r="M64" i="44"/>
  <c r="M129" i="44"/>
  <c r="F64" i="44"/>
  <c r="C63" i="44"/>
  <c r="I63" i="44"/>
  <c r="M63" i="44"/>
  <c r="I45" i="44"/>
  <c r="M45" i="44"/>
  <c r="C45" i="44"/>
  <c r="W101" i="44"/>
  <c r="Q101" i="44"/>
  <c r="W102" i="44"/>
  <c r="U102" i="44"/>
  <c r="Q102" i="44"/>
  <c r="O102" i="44"/>
  <c r="W103" i="44"/>
  <c r="U103" i="44"/>
  <c r="Q103" i="44"/>
  <c r="O103" i="44"/>
  <c r="M127" i="44"/>
  <c r="J64" i="44"/>
  <c r="F23" i="44"/>
  <c r="Y103" i="44"/>
  <c r="S103" i="44"/>
  <c r="Y102" i="44"/>
  <c r="S102" i="44"/>
  <c r="J63" i="44"/>
  <c r="I23" i="44"/>
  <c r="J45" i="44"/>
  <c r="M23" i="44"/>
  <c r="M117" i="44"/>
  <c r="F117" i="44"/>
  <c r="Q72" i="44"/>
  <c r="W72" i="44"/>
  <c r="O72" i="44"/>
  <c r="U72" i="44"/>
  <c r="Y72" i="44"/>
  <c r="S72" i="44"/>
  <c r="U101" i="44"/>
  <c r="O101" i="44"/>
  <c r="I1" i="44"/>
  <c r="Y101" i="44"/>
  <c r="S101" i="44"/>
  <c r="G90" i="39"/>
  <c r="I90" i="39" a="1"/>
  <c r="I90" i="39"/>
  <c r="G82" i="39"/>
  <c r="G74" i="39"/>
  <c r="I74" i="39" a="1"/>
  <c r="I74" i="39"/>
  <c r="G66" i="39"/>
  <c r="I66" i="39" a="1"/>
  <c r="I66" i="39"/>
  <c r="G58" i="39"/>
  <c r="I58" i="39" a="1"/>
  <c r="I58" i="39"/>
  <c r="G50" i="39"/>
  <c r="I50" i="39" a="1"/>
  <c r="I50" i="39"/>
  <c r="G42" i="39"/>
  <c r="G34" i="39"/>
  <c r="I34" i="39" a="1"/>
  <c r="I34" i="39"/>
  <c r="G26" i="39"/>
  <c r="I26" i="39" a="1"/>
  <c r="I26" i="39"/>
  <c r="G18" i="39"/>
  <c r="G10" i="39"/>
  <c r="I10" i="39" a="1"/>
  <c r="I10" i="39"/>
  <c r="G2" i="39"/>
  <c r="I2" i="39" a="1"/>
  <c r="I2" i="39"/>
  <c r="G75" i="39"/>
  <c r="G51" i="39"/>
  <c r="G27" i="39"/>
  <c r="I27" i="39" a="1"/>
  <c r="I27" i="39"/>
  <c r="G11" i="39"/>
  <c r="G67" i="39"/>
  <c r="G3" i="39"/>
  <c r="G43" i="39"/>
  <c r="I43" i="39" a="1"/>
  <c r="I43" i="39"/>
  <c r="I42" i="39" a="1"/>
  <c r="I42" i="39"/>
  <c r="G76" i="39"/>
  <c r="I76" i="39" a="1"/>
  <c r="I76" i="39"/>
  <c r="I75" i="39" a="1"/>
  <c r="I75" i="39"/>
  <c r="G83" i="39"/>
  <c r="I83" i="39" a="1"/>
  <c r="I83" i="39"/>
  <c r="I82" i="39" a="1"/>
  <c r="I82" i="39"/>
  <c r="G19" i="39"/>
  <c r="I19" i="39" a="1"/>
  <c r="I19" i="39"/>
  <c r="I18" i="39" a="1"/>
  <c r="I18" i="39"/>
  <c r="G52" i="39"/>
  <c r="I52" i="39" a="1"/>
  <c r="I52" i="39"/>
  <c r="I51" i="39" a="1"/>
  <c r="I51" i="39"/>
  <c r="G12" i="39"/>
  <c r="I12" i="39" a="1"/>
  <c r="I12" i="39"/>
  <c r="I11" i="39" a="1"/>
  <c r="I11" i="39"/>
  <c r="G91" i="39"/>
  <c r="G35" i="39"/>
  <c r="I35" i="39" a="1"/>
  <c r="I35" i="39"/>
  <c r="G20" i="39"/>
  <c r="I20" i="39" a="1"/>
  <c r="I20" i="39"/>
  <c r="G77" i="39"/>
  <c r="I77" i="39" a="1"/>
  <c r="I77" i="39"/>
  <c r="G84" i="39"/>
  <c r="I84" i="39" a="1"/>
  <c r="I84" i="39"/>
  <c r="G59" i="39"/>
  <c r="I59" i="39" a="1"/>
  <c r="I59" i="39"/>
  <c r="G53" i="39"/>
  <c r="I53" i="39" a="1"/>
  <c r="I53" i="39"/>
  <c r="G44" i="39"/>
  <c r="I44" i="39" a="1"/>
  <c r="I44" i="39"/>
  <c r="G28" i="39"/>
  <c r="I28" i="39" a="1"/>
  <c r="I28" i="39"/>
  <c r="G13" i="39"/>
  <c r="I13" i="39" a="1"/>
  <c r="I13" i="39"/>
  <c r="G92" i="39"/>
  <c r="I91" i="39" a="1"/>
  <c r="I91" i="39"/>
  <c r="I3" i="39" a="1"/>
  <c r="I3" i="39"/>
  <c r="G4" i="39"/>
  <c r="I67" i="39" a="1"/>
  <c r="I67" i="39"/>
  <c r="G68" i="39"/>
  <c r="G85" i="39"/>
  <c r="I85" i="39" a="1"/>
  <c r="I85" i="39"/>
  <c r="G21" i="39"/>
  <c r="I21" i="39" a="1"/>
  <c r="I21" i="39"/>
  <c r="G60" i="39"/>
  <c r="I60" i="39" a="1"/>
  <c r="I60" i="39"/>
  <c r="G54" i="39"/>
  <c r="I54" i="39" a="1"/>
  <c r="I54" i="39"/>
  <c r="G36" i="39"/>
  <c r="I36" i="39" a="1"/>
  <c r="I36" i="39"/>
  <c r="G78" i="39"/>
  <c r="I78" i="39" a="1"/>
  <c r="I78" i="39"/>
  <c r="G45" i="39"/>
  <c r="I45" i="39" a="1"/>
  <c r="I45" i="39"/>
  <c r="G14" i="39"/>
  <c r="I14" i="39" a="1"/>
  <c r="I14" i="39"/>
  <c r="G29" i="39"/>
  <c r="I29" i="39" a="1"/>
  <c r="I29" i="39"/>
  <c r="G69" i="39"/>
  <c r="I68" i="39" a="1"/>
  <c r="I68" i="39"/>
  <c r="G5" i="39"/>
  <c r="I4" i="39" a="1"/>
  <c r="I4" i="39"/>
  <c r="I92" i="39" a="1"/>
  <c r="I92" i="39"/>
  <c r="G93" i="39"/>
  <c r="G61" i="39"/>
  <c r="I61" i="39" a="1"/>
  <c r="I61" i="39"/>
  <c r="G55" i="39"/>
  <c r="I55" i="39" a="1"/>
  <c r="I55" i="39"/>
  <c r="G46" i="39"/>
  <c r="I46" i="39" a="1"/>
  <c r="I46" i="39"/>
  <c r="G22" i="39"/>
  <c r="I22" i="39" a="1"/>
  <c r="I22" i="39"/>
  <c r="G15" i="39"/>
  <c r="I15" i="39" a="1"/>
  <c r="I15" i="39"/>
  <c r="G37" i="39"/>
  <c r="I37" i="39" a="1"/>
  <c r="I37" i="39"/>
  <c r="G86" i="39"/>
  <c r="I86" i="39" a="1"/>
  <c r="I86" i="39"/>
  <c r="G79" i="39"/>
  <c r="I79" i="39" a="1"/>
  <c r="I79" i="39"/>
  <c r="G30" i="39"/>
  <c r="I30" i="39" a="1"/>
  <c r="I30" i="39"/>
  <c r="I5" i="39" a="1"/>
  <c r="I5" i="39"/>
  <c r="G6" i="39"/>
  <c r="I93" i="39" a="1"/>
  <c r="I93" i="39"/>
  <c r="G94" i="39"/>
  <c r="I69" i="39" a="1"/>
  <c r="I69" i="39"/>
  <c r="G70" i="39"/>
  <c r="G87" i="39"/>
  <c r="I87" i="39" a="1"/>
  <c r="I87" i="39"/>
  <c r="G47" i="39"/>
  <c r="I47" i="39" a="1"/>
  <c r="I47" i="39"/>
  <c r="G38" i="39"/>
  <c r="I38" i="39" a="1"/>
  <c r="I38" i="39"/>
  <c r="G23" i="39"/>
  <c r="I23" i="39" a="1"/>
  <c r="I23" i="39"/>
  <c r="G62" i="39"/>
  <c r="I62" i="39" a="1"/>
  <c r="I62" i="39"/>
  <c r="G31" i="39"/>
  <c r="I31" i="39" a="1"/>
  <c r="I31" i="39"/>
  <c r="I70" i="39" a="1"/>
  <c r="I70" i="39"/>
  <c r="G71" i="39"/>
  <c r="I71" i="39" a="1"/>
  <c r="I71" i="39"/>
  <c r="I94" i="39" a="1"/>
  <c r="I94" i="39"/>
  <c r="G95" i="39"/>
  <c r="I95" i="39" a="1"/>
  <c r="I95" i="39"/>
  <c r="I6" i="39" a="1"/>
  <c r="I6" i="39"/>
  <c r="G7" i="39"/>
  <c r="I7" i="39" a="1"/>
  <c r="I7" i="39"/>
  <c r="G39" i="39"/>
  <c r="I39" i="39" a="1"/>
  <c r="I39" i="39"/>
  <c r="G63" i="39"/>
  <c r="I63" i="39" a="1"/>
  <c r="I63" i="39"/>
  <c r="B122" i="39"/>
  <c r="B114" i="39"/>
  <c r="B106" i="39"/>
  <c r="B98" i="39"/>
  <c r="D98" i="39" a="1"/>
  <c r="D98" i="39"/>
  <c r="B90" i="39"/>
  <c r="B82" i="39"/>
  <c r="B74" i="39"/>
  <c r="B66" i="39"/>
  <c r="B67" i="39"/>
  <c r="D66" i="39" a="1"/>
  <c r="D66" i="39"/>
  <c r="B58" i="39"/>
  <c r="B50" i="39"/>
  <c r="B42" i="39"/>
  <c r="B34" i="39"/>
  <c r="D34" i="39" a="1"/>
  <c r="D34" i="39"/>
  <c r="B26" i="39"/>
  <c r="B18" i="39"/>
  <c r="B10" i="39"/>
  <c r="B2" i="39"/>
  <c r="D2" i="39" a="1"/>
  <c r="D2" i="39"/>
  <c r="B83" i="39"/>
  <c r="D82" i="39" a="1"/>
  <c r="D82" i="39"/>
  <c r="B35" i="39"/>
  <c r="B91" i="39"/>
  <c r="D90" i="39" a="1"/>
  <c r="D90" i="39"/>
  <c r="B43" i="39"/>
  <c r="D42" i="39" a="1"/>
  <c r="D42" i="39"/>
  <c r="B19" i="39"/>
  <c r="D18" i="39" a="1"/>
  <c r="D18" i="39"/>
  <c r="B27" i="39"/>
  <c r="D26" i="39" a="1"/>
  <c r="D26" i="39"/>
  <c r="B51" i="39"/>
  <c r="D50" i="39" a="1"/>
  <c r="D50" i="39"/>
  <c r="B3" i="39"/>
  <c r="B59" i="39"/>
  <c r="D58" i="39" a="1"/>
  <c r="D58" i="39"/>
  <c r="B68" i="39"/>
  <c r="D67" i="39" a="1"/>
  <c r="D67" i="39"/>
  <c r="B75" i="39"/>
  <c r="D74" i="39" a="1"/>
  <c r="D74" i="39"/>
  <c r="B11" i="39"/>
  <c r="D10" i="39" a="1"/>
  <c r="D10" i="39"/>
  <c r="B123" i="39"/>
  <c r="D122" i="39" a="1"/>
  <c r="D122" i="39"/>
  <c r="B115" i="39"/>
  <c r="D114" i="39" a="1"/>
  <c r="D114" i="39"/>
  <c r="B107" i="39"/>
  <c r="D106" i="39" a="1"/>
  <c r="D106" i="39"/>
  <c r="B99" i="39"/>
  <c r="M97" i="44"/>
  <c r="F97" i="44"/>
  <c r="W93" i="44"/>
  <c r="U93" i="44"/>
  <c r="Q93" i="44"/>
  <c r="O93" i="44"/>
  <c r="W92" i="44"/>
  <c r="U92" i="44"/>
  <c r="Q92" i="44"/>
  <c r="O92" i="44"/>
  <c r="B20" i="39"/>
  <c r="D19" i="39" a="1"/>
  <c r="D19" i="39"/>
  <c r="B60" i="39"/>
  <c r="D59" i="39" a="1"/>
  <c r="D59" i="39"/>
  <c r="B52" i="39"/>
  <c r="D51" i="39" a="1"/>
  <c r="D51" i="39"/>
  <c r="B92" i="39"/>
  <c r="D91" i="39" a="1"/>
  <c r="D91" i="39"/>
  <c r="B76" i="39"/>
  <c r="D75" i="39" a="1"/>
  <c r="D75" i="39"/>
  <c r="B36" i="39"/>
  <c r="D35" i="39" a="1"/>
  <c r="D35" i="39"/>
  <c r="B4" i="39"/>
  <c r="D3" i="39" a="1"/>
  <c r="D3" i="39"/>
  <c r="B44" i="39"/>
  <c r="D43" i="39" a="1"/>
  <c r="D43" i="39"/>
  <c r="B12" i="39"/>
  <c r="D11" i="39" a="1"/>
  <c r="D11" i="39"/>
  <c r="B28" i="39"/>
  <c r="D27" i="39" a="1"/>
  <c r="D27" i="39"/>
  <c r="B69" i="39"/>
  <c r="D68" i="39" a="1"/>
  <c r="D68" i="39"/>
  <c r="B84" i="39"/>
  <c r="D83" i="39" a="1"/>
  <c r="D83" i="39"/>
  <c r="B124" i="39"/>
  <c r="D123" i="39" a="1"/>
  <c r="D123" i="39"/>
  <c r="B116" i="39"/>
  <c r="D115" i="39" a="1"/>
  <c r="D115" i="39"/>
  <c r="B108" i="39"/>
  <c r="D107" i="39" a="1"/>
  <c r="D107" i="39"/>
  <c r="B100" i="39"/>
  <c r="D99" i="39" a="1"/>
  <c r="D99" i="39"/>
  <c r="Y93" i="44"/>
  <c r="S93" i="44"/>
  <c r="S92" i="44"/>
  <c r="Y92" i="44"/>
  <c r="W87" i="44"/>
  <c r="U87" i="44"/>
  <c r="Y87" i="44"/>
  <c r="Q87" i="44"/>
  <c r="O87" i="44"/>
  <c r="W86" i="44"/>
  <c r="U86" i="44"/>
  <c r="Q86" i="44"/>
  <c r="O86" i="44"/>
  <c r="S86" i="44"/>
  <c r="W85" i="44"/>
  <c r="U85" i="44"/>
  <c r="Q85" i="44"/>
  <c r="O85" i="44"/>
  <c r="W84" i="44"/>
  <c r="U84" i="44"/>
  <c r="Q84" i="44"/>
  <c r="O84" i="44"/>
  <c r="S84" i="44"/>
  <c r="B85" i="39"/>
  <c r="D84" i="39" a="1"/>
  <c r="D84" i="39"/>
  <c r="B45" i="39"/>
  <c r="D44" i="39" a="1"/>
  <c r="D44" i="39"/>
  <c r="B93" i="39"/>
  <c r="D92" i="39" a="1"/>
  <c r="D92" i="39"/>
  <c r="B29" i="39"/>
  <c r="D28" i="39" a="1"/>
  <c r="D28" i="39"/>
  <c r="B37" i="39"/>
  <c r="D36" i="39" a="1"/>
  <c r="D36" i="39"/>
  <c r="B61" i="39"/>
  <c r="D60" i="39" a="1"/>
  <c r="D60" i="39"/>
  <c r="B70" i="39"/>
  <c r="D69" i="39" a="1"/>
  <c r="D69" i="39"/>
  <c r="B5" i="39"/>
  <c r="D4" i="39" a="1"/>
  <c r="D4" i="39"/>
  <c r="B53" i="39"/>
  <c r="D52" i="39" a="1"/>
  <c r="D52" i="39"/>
  <c r="B13" i="39"/>
  <c r="D12" i="39" a="1"/>
  <c r="D12" i="39"/>
  <c r="B77" i="39"/>
  <c r="D76" i="39" a="1"/>
  <c r="D76" i="39"/>
  <c r="B21" i="39"/>
  <c r="D20" i="39" a="1"/>
  <c r="D20" i="39"/>
  <c r="S85" i="44"/>
  <c r="B125" i="39"/>
  <c r="D124" i="39" a="1"/>
  <c r="D124" i="39"/>
  <c r="B117" i="39"/>
  <c r="D116" i="39" a="1"/>
  <c r="D116" i="39"/>
  <c r="B109" i="39"/>
  <c r="D108" i="39" a="1"/>
  <c r="D108" i="39"/>
  <c r="B101" i="39"/>
  <c r="D100" i="39" a="1"/>
  <c r="D100" i="39"/>
  <c r="Y85" i="44"/>
  <c r="S87" i="44"/>
  <c r="Y84" i="44"/>
  <c r="Y86" i="44"/>
  <c r="B22" i="39"/>
  <c r="D21" i="39" a="1"/>
  <c r="D21" i="39"/>
  <c r="B6" i="39"/>
  <c r="D5" i="39" a="1"/>
  <c r="D5" i="39"/>
  <c r="B30" i="39"/>
  <c r="D29" i="39" a="1"/>
  <c r="D29" i="39"/>
  <c r="B78" i="39"/>
  <c r="D77" i="39" a="1"/>
  <c r="D77" i="39"/>
  <c r="B71" i="39"/>
  <c r="D71" i="39" a="1"/>
  <c r="D71" i="39"/>
  <c r="D70" i="39" a="1"/>
  <c r="D70" i="39"/>
  <c r="B94" i="39"/>
  <c r="D93" i="39" a="1"/>
  <c r="D93" i="39"/>
  <c r="B14" i="39"/>
  <c r="D13" i="39" a="1"/>
  <c r="D13" i="39"/>
  <c r="B62" i="39"/>
  <c r="D61" i="39" a="1"/>
  <c r="D61" i="39"/>
  <c r="B46" i="39"/>
  <c r="D45" i="39" a="1"/>
  <c r="D45" i="39"/>
  <c r="B54" i="39"/>
  <c r="D53" i="39" a="1"/>
  <c r="D53" i="39"/>
  <c r="B38" i="39"/>
  <c r="D37" i="39" a="1"/>
  <c r="D37" i="39"/>
  <c r="B86" i="39"/>
  <c r="D85" i="39" a="1"/>
  <c r="D85" i="39"/>
  <c r="B126" i="39"/>
  <c r="D125" i="39" a="1"/>
  <c r="D125" i="39"/>
  <c r="B118" i="39"/>
  <c r="D117" i="39" a="1"/>
  <c r="D117" i="39"/>
  <c r="B110" i="39"/>
  <c r="D109" i="39" a="1"/>
  <c r="D109" i="39"/>
  <c r="B102" i="39"/>
  <c r="D101" i="39" a="1"/>
  <c r="D101" i="39"/>
  <c r="W110" i="44"/>
  <c r="U110" i="44"/>
  <c r="Q110" i="44"/>
  <c r="O110" i="44"/>
  <c r="S110" i="44"/>
  <c r="D142" i="44"/>
  <c r="W129" i="44"/>
  <c r="U129" i="44"/>
  <c r="W128" i="44"/>
  <c r="U128" i="44"/>
  <c r="W116" i="44"/>
  <c r="U116" i="44"/>
  <c r="Q116" i="44"/>
  <c r="O116" i="44"/>
  <c r="W115" i="44"/>
  <c r="U115" i="44"/>
  <c r="Q115" i="44"/>
  <c r="O115" i="44"/>
  <c r="W114" i="44"/>
  <c r="U114" i="44"/>
  <c r="Q114" i="44"/>
  <c r="O114" i="44"/>
  <c r="W113" i="44"/>
  <c r="U113" i="44"/>
  <c r="Q113" i="44"/>
  <c r="O113" i="44"/>
  <c r="W112" i="44"/>
  <c r="U112" i="44"/>
  <c r="Q112" i="44"/>
  <c r="O112" i="44"/>
  <c r="W111" i="44"/>
  <c r="U111" i="44"/>
  <c r="Q111" i="44"/>
  <c r="O111" i="44"/>
  <c r="W109" i="44"/>
  <c r="U109" i="44"/>
  <c r="Q109" i="44"/>
  <c r="O109" i="44"/>
  <c r="W108" i="44"/>
  <c r="U108" i="44"/>
  <c r="Q108" i="44"/>
  <c r="O108" i="44"/>
  <c r="W107" i="44"/>
  <c r="U107" i="44"/>
  <c r="Q107" i="44"/>
  <c r="O107" i="44"/>
  <c r="W106" i="44"/>
  <c r="U106" i="44"/>
  <c r="Q106" i="44"/>
  <c r="O106" i="44"/>
  <c r="W105" i="44"/>
  <c r="U105" i="44"/>
  <c r="Q105" i="44"/>
  <c r="O105" i="44"/>
  <c r="W104" i="44"/>
  <c r="U104" i="44"/>
  <c r="Q104" i="44"/>
  <c r="O104" i="44"/>
  <c r="W96" i="44"/>
  <c r="U96" i="44"/>
  <c r="Q96" i="44"/>
  <c r="O96" i="44"/>
  <c r="W95" i="44"/>
  <c r="U95" i="44"/>
  <c r="Q95" i="44"/>
  <c r="O95" i="44"/>
  <c r="W94" i="44"/>
  <c r="U94" i="44"/>
  <c r="Q94" i="44"/>
  <c r="O94" i="44"/>
  <c r="W91" i="44"/>
  <c r="U91" i="44"/>
  <c r="Q91" i="44"/>
  <c r="O91" i="44"/>
  <c r="W90" i="44"/>
  <c r="U90" i="44"/>
  <c r="Q90" i="44"/>
  <c r="O90" i="44"/>
  <c r="W89" i="44"/>
  <c r="U89" i="44"/>
  <c r="Q89" i="44"/>
  <c r="O89" i="44"/>
  <c r="W88" i="44"/>
  <c r="U88" i="44"/>
  <c r="Q88" i="44"/>
  <c r="O88" i="44"/>
  <c r="W83" i="44"/>
  <c r="U83" i="44"/>
  <c r="Q83" i="44"/>
  <c r="O83" i="44"/>
  <c r="W82" i="44"/>
  <c r="U82" i="44"/>
  <c r="Q82" i="44"/>
  <c r="O82" i="44"/>
  <c r="W81" i="44"/>
  <c r="U81" i="44"/>
  <c r="Q81" i="44"/>
  <c r="O81" i="44"/>
  <c r="W80" i="44"/>
  <c r="U80" i="44"/>
  <c r="Q80" i="44"/>
  <c r="O80" i="44"/>
  <c r="W79" i="44"/>
  <c r="U79" i="44"/>
  <c r="Q79" i="44"/>
  <c r="O79" i="44"/>
  <c r="W75" i="44"/>
  <c r="U75" i="44"/>
  <c r="Q75" i="44"/>
  <c r="O75" i="44"/>
  <c r="W74" i="44"/>
  <c r="U74" i="44"/>
  <c r="Q74" i="44"/>
  <c r="O74" i="44"/>
  <c r="W73" i="44"/>
  <c r="U73" i="44"/>
  <c r="Q73" i="44"/>
  <c r="O73" i="44"/>
  <c r="W71" i="44"/>
  <c r="U71" i="44"/>
  <c r="Q71" i="44"/>
  <c r="O71" i="44"/>
  <c r="W70" i="44"/>
  <c r="U70" i="44"/>
  <c r="Q70" i="44"/>
  <c r="O70" i="44"/>
  <c r="W69" i="44"/>
  <c r="U69" i="44"/>
  <c r="Q69" i="44"/>
  <c r="O69" i="44"/>
  <c r="W68" i="44"/>
  <c r="U68" i="44"/>
  <c r="Q68" i="44"/>
  <c r="O68" i="44"/>
  <c r="W67" i="44"/>
  <c r="U67" i="44"/>
  <c r="Q67" i="44"/>
  <c r="O67" i="44"/>
  <c r="W66" i="44"/>
  <c r="U66" i="44"/>
  <c r="Q66" i="44"/>
  <c r="O66" i="44"/>
  <c r="W65" i="44"/>
  <c r="U65" i="44"/>
  <c r="Q65" i="44"/>
  <c r="O65" i="44"/>
  <c r="W64" i="44"/>
  <c r="U64" i="44"/>
  <c r="Q64" i="44"/>
  <c r="O64" i="44"/>
  <c r="W63" i="44"/>
  <c r="U63" i="44"/>
  <c r="Q63" i="44"/>
  <c r="O63" i="44"/>
  <c r="W61" i="44"/>
  <c r="U61" i="44"/>
  <c r="Q61" i="44"/>
  <c r="O61" i="44"/>
  <c r="W60" i="44"/>
  <c r="U60" i="44"/>
  <c r="Q60" i="44"/>
  <c r="O60" i="44"/>
  <c r="W59" i="44"/>
  <c r="U59" i="44"/>
  <c r="Q59" i="44"/>
  <c r="O59" i="44"/>
  <c r="W58" i="44"/>
  <c r="U58" i="44"/>
  <c r="Q58" i="44"/>
  <c r="O58" i="44"/>
  <c r="W57" i="44"/>
  <c r="U57" i="44"/>
  <c r="Q57" i="44"/>
  <c r="O57" i="44"/>
  <c r="W56" i="44"/>
  <c r="U56" i="44"/>
  <c r="Q56" i="44"/>
  <c r="O56" i="44"/>
  <c r="W55" i="44"/>
  <c r="U55" i="44"/>
  <c r="Q55" i="44"/>
  <c r="O55" i="44"/>
  <c r="W54" i="44"/>
  <c r="U54" i="44"/>
  <c r="Q54" i="44"/>
  <c r="O54" i="44"/>
  <c r="W53" i="44"/>
  <c r="U53" i="44"/>
  <c r="Q53" i="44"/>
  <c r="O53" i="44"/>
  <c r="W52" i="44"/>
  <c r="U52" i="44"/>
  <c r="Q52" i="44"/>
  <c r="O52" i="44"/>
  <c r="W51" i="44"/>
  <c r="U51" i="44"/>
  <c r="Q51" i="44"/>
  <c r="O51" i="44"/>
  <c r="W50" i="44"/>
  <c r="U50" i="44"/>
  <c r="Q50" i="44"/>
  <c r="O50" i="44"/>
  <c r="W49" i="44"/>
  <c r="U49" i="44"/>
  <c r="Q49" i="44"/>
  <c r="O49" i="44"/>
  <c r="W48" i="44"/>
  <c r="U48" i="44"/>
  <c r="Q48" i="44"/>
  <c r="O48" i="44"/>
  <c r="W47" i="44"/>
  <c r="U47" i="44"/>
  <c r="Q47" i="44"/>
  <c r="O47" i="44"/>
  <c r="W46" i="44"/>
  <c r="Q46" i="44"/>
  <c r="O46" i="44"/>
  <c r="W45" i="44"/>
  <c r="U45" i="44"/>
  <c r="Q45" i="44"/>
  <c r="O45" i="44"/>
  <c r="W44" i="44"/>
  <c r="U44" i="44"/>
  <c r="Q44" i="44"/>
  <c r="O44" i="44"/>
  <c r="S44" i="44"/>
  <c r="W43" i="44"/>
  <c r="U43" i="44"/>
  <c r="Q43" i="44"/>
  <c r="O43" i="44"/>
  <c r="M38" i="44"/>
  <c r="F38" i="44"/>
  <c r="W37" i="44"/>
  <c r="U37" i="44"/>
  <c r="Q37" i="44"/>
  <c r="O37" i="44"/>
  <c r="W36" i="44"/>
  <c r="U36" i="44"/>
  <c r="Q36" i="44"/>
  <c r="O36" i="44"/>
  <c r="W35" i="44"/>
  <c r="U35" i="44"/>
  <c r="Q35" i="44"/>
  <c r="O35" i="44"/>
  <c r="W34" i="44"/>
  <c r="U34" i="44"/>
  <c r="Q34" i="44"/>
  <c r="O34" i="44"/>
  <c r="W33" i="44"/>
  <c r="U33" i="44"/>
  <c r="Y33" i="44"/>
  <c r="Q33" i="44"/>
  <c r="O33" i="44"/>
  <c r="W32" i="44"/>
  <c r="U32" i="44"/>
  <c r="Q32" i="44"/>
  <c r="O32" i="44"/>
  <c r="W31" i="44"/>
  <c r="U31" i="44"/>
  <c r="Y31" i="44"/>
  <c r="Q31" i="44"/>
  <c r="O31" i="44"/>
  <c r="W30" i="44"/>
  <c r="U30" i="44"/>
  <c r="Q30" i="44"/>
  <c r="O30" i="44"/>
  <c r="W29" i="44"/>
  <c r="U29" i="44"/>
  <c r="Q29" i="44"/>
  <c r="O29" i="44"/>
  <c r="W27" i="44"/>
  <c r="U27" i="44"/>
  <c r="Q27" i="44"/>
  <c r="O27" i="44"/>
  <c r="W23" i="44"/>
  <c r="U23" i="44"/>
  <c r="Q23" i="44"/>
  <c r="O23" i="44"/>
  <c r="W22" i="44"/>
  <c r="U22" i="44"/>
  <c r="Q22" i="44"/>
  <c r="O22" i="44"/>
  <c r="W21" i="44"/>
  <c r="U21" i="44"/>
  <c r="Q21" i="44"/>
  <c r="O21" i="44"/>
  <c r="W20" i="44"/>
  <c r="U20" i="44"/>
  <c r="Q20" i="44"/>
  <c r="O20" i="44"/>
  <c r="W19" i="44"/>
  <c r="U19" i="44"/>
  <c r="Q19" i="44"/>
  <c r="O19" i="44"/>
  <c r="W18" i="44"/>
  <c r="U18" i="44"/>
  <c r="Q18" i="44"/>
  <c r="O18" i="44"/>
  <c r="W17" i="44"/>
  <c r="U17" i="44"/>
  <c r="Q17" i="44"/>
  <c r="O17" i="44"/>
  <c r="W15" i="44"/>
  <c r="U15" i="44"/>
  <c r="Q15" i="44"/>
  <c r="O15" i="44"/>
  <c r="W14" i="44"/>
  <c r="U14" i="44"/>
  <c r="Q14" i="44"/>
  <c r="O14" i="44"/>
  <c r="W13" i="44"/>
  <c r="U13" i="44"/>
  <c r="Q13" i="44"/>
  <c r="O13" i="44"/>
  <c r="W12" i="44"/>
  <c r="U12" i="44"/>
  <c r="Q12" i="44"/>
  <c r="O12" i="44"/>
  <c r="W11" i="44"/>
  <c r="U11" i="44"/>
  <c r="Q11" i="44"/>
  <c r="O11" i="44"/>
  <c r="W10" i="44"/>
  <c r="U10" i="44"/>
  <c r="Q10" i="44"/>
  <c r="O10" i="44"/>
  <c r="W9" i="44"/>
  <c r="U9" i="44"/>
  <c r="Q9" i="44"/>
  <c r="O9" i="44"/>
  <c r="W8" i="44"/>
  <c r="U8" i="44"/>
  <c r="Q8" i="44"/>
  <c r="O8" i="44"/>
  <c r="W7" i="44"/>
  <c r="U7" i="44"/>
  <c r="Q7" i="44"/>
  <c r="O7" i="44"/>
  <c r="Y110" i="44"/>
  <c r="W117" i="44"/>
  <c r="Q117" i="44"/>
  <c r="U117" i="44"/>
  <c r="Y37" i="44"/>
  <c r="Y35" i="44"/>
  <c r="B39" i="39"/>
  <c r="D39" i="39" a="1"/>
  <c r="D39" i="39"/>
  <c r="D38" i="39" a="1"/>
  <c r="D38" i="39"/>
  <c r="B31" i="39"/>
  <c r="D31" i="39" a="1"/>
  <c r="D31" i="39"/>
  <c r="D30" i="39" a="1"/>
  <c r="D30" i="39"/>
  <c r="B63" i="39"/>
  <c r="D63" i="39" a="1"/>
  <c r="D63" i="39"/>
  <c r="D62" i="39" a="1"/>
  <c r="D62" i="39"/>
  <c r="B15" i="39"/>
  <c r="D15" i="39" a="1"/>
  <c r="D15" i="39"/>
  <c r="D14" i="39" a="1"/>
  <c r="D14" i="39"/>
  <c r="B55" i="39"/>
  <c r="D55" i="39" a="1"/>
  <c r="D55" i="39"/>
  <c r="D54" i="39" a="1"/>
  <c r="D54" i="39"/>
  <c r="B95" i="39"/>
  <c r="D95" i="39" a="1"/>
  <c r="D95" i="39"/>
  <c r="D94" i="39" a="1"/>
  <c r="D94" i="39"/>
  <c r="B7" i="39"/>
  <c r="D7" i="39" a="1"/>
  <c r="D7" i="39"/>
  <c r="D6" i="39" a="1"/>
  <c r="D6" i="39"/>
  <c r="B79" i="39"/>
  <c r="D79" i="39" a="1"/>
  <c r="D79" i="39"/>
  <c r="D78" i="39" a="1"/>
  <c r="D78" i="39"/>
  <c r="B87" i="39"/>
  <c r="D87" i="39" a="1"/>
  <c r="D87" i="39"/>
  <c r="D86" i="39" a="1"/>
  <c r="D86" i="39"/>
  <c r="B47" i="39"/>
  <c r="D47" i="39" a="1"/>
  <c r="D47" i="39"/>
  <c r="D46" i="39" a="1"/>
  <c r="D46" i="39"/>
  <c r="B23" i="39"/>
  <c r="D23" i="39" a="1"/>
  <c r="D23" i="39"/>
  <c r="D22" i="39" a="1"/>
  <c r="D22" i="39"/>
  <c r="Y47" i="44"/>
  <c r="Y49" i="44"/>
  <c r="Y51" i="44"/>
  <c r="Y53" i="44"/>
  <c r="Y55" i="44"/>
  <c r="Y57" i="44"/>
  <c r="Y70" i="44"/>
  <c r="Y75" i="44"/>
  <c r="Y80" i="44"/>
  <c r="Y88" i="44"/>
  <c r="Y90" i="44"/>
  <c r="Y10" i="44"/>
  <c r="Y12" i="44"/>
  <c r="Y17" i="44"/>
  <c r="Y19" i="44"/>
  <c r="Y21" i="44"/>
  <c r="O117" i="44"/>
  <c r="Y82" i="44"/>
  <c r="Y68" i="44"/>
  <c r="Y59" i="44"/>
  <c r="Y73" i="44"/>
  <c r="Y14" i="44"/>
  <c r="D56" i="39"/>
  <c r="B127" i="39"/>
  <c r="D127" i="39" a="1"/>
  <c r="D127" i="39"/>
  <c r="D126" i="39" a="1"/>
  <c r="D126" i="39"/>
  <c r="B119" i="39"/>
  <c r="D119" i="39" a="1"/>
  <c r="D119" i="39"/>
  <c r="D118" i="39" a="1"/>
  <c r="D118" i="39"/>
  <c r="B111" i="39"/>
  <c r="D111" i="39" a="1"/>
  <c r="D111" i="39"/>
  <c r="D110" i="39" a="1"/>
  <c r="D110" i="39"/>
  <c r="B103" i="39"/>
  <c r="D103" i="39" a="1"/>
  <c r="D103" i="39"/>
  <c r="D102" i="39" a="1"/>
  <c r="D102" i="39"/>
  <c r="D104" i="39"/>
  <c r="D88" i="39"/>
  <c r="D16" i="39"/>
  <c r="D72" i="39"/>
  <c r="D112" i="39"/>
  <c r="D96" i="39"/>
  <c r="D64" i="39"/>
  <c r="D24" i="39"/>
  <c r="D48" i="39"/>
  <c r="Y66" i="44"/>
  <c r="Q97" i="44"/>
  <c r="W97" i="44"/>
  <c r="O97" i="44"/>
  <c r="U97" i="44"/>
  <c r="S23" i="44"/>
  <c r="Y7" i="44"/>
  <c r="Y9" i="44"/>
  <c r="Y11" i="44"/>
  <c r="Y13" i="44"/>
  <c r="Y15" i="44"/>
  <c r="Y18" i="44"/>
  <c r="Y20" i="44"/>
  <c r="S27" i="44"/>
  <c r="Y30" i="44"/>
  <c r="Y32" i="44"/>
  <c r="Y34" i="44"/>
  <c r="Y36" i="44"/>
  <c r="S43" i="44"/>
  <c r="Y48" i="44"/>
  <c r="Y50" i="44"/>
  <c r="Y52" i="44"/>
  <c r="Y54" i="44"/>
  <c r="Y56" i="44"/>
  <c r="Y58" i="44"/>
  <c r="Y60" i="44"/>
  <c r="Y67" i="44"/>
  <c r="Y69" i="44"/>
  <c r="Y71" i="44"/>
  <c r="Y74" i="44"/>
  <c r="Y81" i="44"/>
  <c r="Y83" i="44"/>
  <c r="Y89" i="44"/>
  <c r="Y91" i="44"/>
  <c r="Y45" i="44"/>
  <c r="Q38" i="44"/>
  <c r="Y94" i="44"/>
  <c r="Y96" i="44"/>
  <c r="Y113" i="44"/>
  <c r="Y115" i="44"/>
  <c r="Y105" i="44"/>
  <c r="Y107" i="44"/>
  <c r="Y109" i="44"/>
  <c r="Y112" i="44"/>
  <c r="Y114" i="44"/>
  <c r="Y116" i="44"/>
  <c r="Y79" i="44"/>
  <c r="Y22" i="44"/>
  <c r="S7" i="44"/>
  <c r="S9" i="44"/>
  <c r="S11" i="44"/>
  <c r="S13" i="44"/>
  <c r="S15" i="44"/>
  <c r="S18" i="44"/>
  <c r="S20" i="44"/>
  <c r="S30" i="44"/>
  <c r="S32" i="44"/>
  <c r="S34" i="44"/>
  <c r="S36" i="44"/>
  <c r="Y44" i="44"/>
  <c r="S48" i="44"/>
  <c r="S50" i="44"/>
  <c r="S52" i="44"/>
  <c r="S54" i="44"/>
  <c r="S56" i="44"/>
  <c r="S58" i="44"/>
  <c r="S60" i="44"/>
  <c r="S67" i="44"/>
  <c r="S69" i="44"/>
  <c r="S71" i="44"/>
  <c r="S74" i="44"/>
  <c r="S79" i="44"/>
  <c r="S81" i="44"/>
  <c r="S83" i="44"/>
  <c r="S113" i="44"/>
  <c r="S115" i="44"/>
  <c r="S89" i="44"/>
  <c r="S91" i="44"/>
  <c r="Y95" i="44"/>
  <c r="Y106" i="44"/>
  <c r="Y108" i="44"/>
  <c r="Y111" i="44"/>
  <c r="S95" i="44"/>
  <c r="S106" i="44"/>
  <c r="S108" i="44"/>
  <c r="S111" i="44"/>
  <c r="Y104" i="44"/>
  <c r="S10" i="44"/>
  <c r="S12" i="44"/>
  <c r="S14" i="44"/>
  <c r="S17" i="44"/>
  <c r="S19" i="44"/>
  <c r="S21" i="44"/>
  <c r="Y27" i="44"/>
  <c r="S29" i="44"/>
  <c r="O38" i="44"/>
  <c r="S31" i="44"/>
  <c r="S33" i="44"/>
  <c r="S35" i="44"/>
  <c r="S37" i="44"/>
  <c r="Y43" i="44"/>
  <c r="S45" i="44"/>
  <c r="S47" i="44"/>
  <c r="S49" i="44"/>
  <c r="S51" i="44"/>
  <c r="S53" i="44"/>
  <c r="S55" i="44"/>
  <c r="S57" i="44"/>
  <c r="S59" i="44"/>
  <c r="S66" i="44"/>
  <c r="S68" i="44"/>
  <c r="S70" i="44"/>
  <c r="S73" i="44"/>
  <c r="S75" i="44"/>
  <c r="S80" i="44"/>
  <c r="S82" i="44"/>
  <c r="S88" i="44"/>
  <c r="S90" i="44"/>
  <c r="S94" i="44"/>
  <c r="S96" i="44"/>
  <c r="S105" i="44"/>
  <c r="S107" i="44"/>
  <c r="S109" i="44"/>
  <c r="S112" i="44"/>
  <c r="S114" i="44"/>
  <c r="S116" i="44"/>
  <c r="Y29" i="44"/>
  <c r="U38" i="44"/>
  <c r="W38" i="44"/>
  <c r="S104" i="44"/>
  <c r="Q24" i="44"/>
  <c r="W24" i="44"/>
  <c r="Y23" i="44"/>
  <c r="S46" i="44"/>
  <c r="S22" i="44"/>
  <c r="Y65" i="44"/>
  <c r="S65" i="44"/>
  <c r="S64" i="44"/>
  <c r="Y64" i="44"/>
  <c r="Q76" i="44"/>
  <c r="Y63" i="44"/>
  <c r="S63" i="44"/>
  <c r="Y61" i="44"/>
  <c r="W76" i="44"/>
  <c r="S61" i="44"/>
  <c r="O76" i="44"/>
  <c r="U24" i="44"/>
  <c r="Y8" i="44"/>
  <c r="S8" i="44"/>
  <c r="O24" i="44"/>
  <c r="K139" i="44"/>
  <c r="F24" i="44"/>
  <c r="F40" i="44"/>
  <c r="Y128" i="44"/>
  <c r="Y129" i="44"/>
  <c r="M139" i="44"/>
  <c r="D143" i="44"/>
  <c r="Y117" i="44"/>
  <c r="O40" i="44"/>
  <c r="O98" i="44"/>
  <c r="H2" i="44"/>
  <c r="W40" i="44"/>
  <c r="W98" i="44"/>
  <c r="W119" i="44"/>
  <c r="Q40" i="44"/>
  <c r="Q98" i="44"/>
  <c r="Q119" i="44"/>
  <c r="D128" i="39"/>
  <c r="U40" i="44"/>
  <c r="S117" i="44"/>
  <c r="F76" i="44"/>
  <c r="F98" i="44"/>
  <c r="F119" i="44"/>
  <c r="F140" i="44"/>
  <c r="F143" i="44"/>
  <c r="U46" i="44"/>
  <c r="D8" i="39"/>
  <c r="D80" i="39"/>
  <c r="D32" i="39"/>
  <c r="D40" i="39"/>
  <c r="M76" i="44"/>
  <c r="D120" i="39"/>
  <c r="I8" i="39"/>
  <c r="Y97" i="44"/>
  <c r="Y38" i="44"/>
  <c r="M24" i="44"/>
  <c r="M40" i="44"/>
  <c r="S97" i="44"/>
  <c r="S38" i="44"/>
  <c r="S24" i="44"/>
  <c r="Y24" i="44"/>
  <c r="S76" i="44"/>
  <c r="Y130" i="44"/>
  <c r="Y118" i="44"/>
  <c r="S40" i="44"/>
  <c r="S98" i="44"/>
  <c r="S119" i="44"/>
  <c r="O119" i="44"/>
  <c r="Y40" i="44"/>
  <c r="Y46" i="44"/>
  <c r="Y76" i="44"/>
  <c r="U76" i="44"/>
  <c r="U98" i="44"/>
  <c r="U119" i="44"/>
  <c r="M98" i="44"/>
  <c r="M119" i="44"/>
  <c r="I64" i="39"/>
  <c r="I16" i="39"/>
  <c r="I88" i="39"/>
  <c r="I56" i="39"/>
  <c r="I40" i="39"/>
  <c r="I80" i="39"/>
  <c r="I32" i="39"/>
  <c r="I48" i="39"/>
  <c r="I24" i="39"/>
  <c r="I72" i="39"/>
  <c r="I96" i="39"/>
  <c r="Y25" i="44"/>
  <c r="Y98" i="44"/>
  <c r="Y119" i="44"/>
  <c r="Y120" i="44"/>
  <c r="Y77" i="44"/>
  <c r="Y41" i="44"/>
  <c r="Y99" i="44"/>
</calcChain>
</file>

<file path=xl/sharedStrings.xml><?xml version="1.0" encoding="utf-8"?>
<sst xmlns="http://schemas.openxmlformats.org/spreadsheetml/2006/main" count="624" uniqueCount="365">
  <si>
    <t xml:space="preserve"> </t>
  </si>
  <si>
    <t>(SCH)</t>
  </si>
  <si>
    <t xml:space="preserve">Course </t>
  </si>
  <si>
    <t>{QCH)</t>
  </si>
  <si>
    <t>+</t>
  </si>
  <si>
    <t>=</t>
  </si>
  <si>
    <t>Science Topics</t>
  </si>
  <si>
    <t>Math Topics</t>
  </si>
  <si>
    <t>Calculus I</t>
  </si>
  <si>
    <t>Calculus II</t>
  </si>
  <si>
    <t>Math &amp; Sci Subtotal</t>
  </si>
  <si>
    <t>COLA Topics</t>
  </si>
  <si>
    <t>Writing</t>
  </si>
  <si>
    <t>COLA Subtotal</t>
  </si>
  <si>
    <t>Engineering Topics</t>
  </si>
  <si>
    <t>Engineering Subtotal</t>
  </si>
  <si>
    <t>General Education Subtotal</t>
  </si>
  <si>
    <t>1011-208</t>
  </si>
  <si>
    <t>1016-305</t>
  </si>
  <si>
    <t>1016-306</t>
  </si>
  <si>
    <t>Differential Equations</t>
  </si>
  <si>
    <t>University Physics I</t>
  </si>
  <si>
    <t>University Physics II</t>
  </si>
  <si>
    <t>Co-Op</t>
  </si>
  <si>
    <t>Co-Op  Preparation Course</t>
  </si>
  <si>
    <t>Summer Co-Op</t>
  </si>
  <si>
    <t>AY Co-Op</t>
  </si>
  <si>
    <t>0301-381</t>
  </si>
  <si>
    <t>EEEE-281</t>
  </si>
  <si>
    <t>LA Conc. II</t>
  </si>
  <si>
    <t>LA Conc. III</t>
  </si>
  <si>
    <t>1017-313</t>
  </si>
  <si>
    <t>FYE II  OR Pathways</t>
  </si>
  <si>
    <t>QUARTERS</t>
  </si>
  <si>
    <t>SEMESTERS</t>
  </si>
  <si>
    <t xml:space="preserve">B.S. Degree Completion Checklist </t>
  </si>
  <si>
    <t>COURSES COMPLETED UNDER QUARTERS</t>
  </si>
  <si>
    <t>COURSES COMPLETED UNDER SEMESTERS</t>
  </si>
  <si>
    <t>Fr. Sem. OR FYE I  OR Discovery</t>
  </si>
  <si>
    <t xml:space="preserve">GRAND TOTAL FOR ALL COURSES </t>
  </si>
  <si>
    <t>University Arts &amp; Sciences Immersion</t>
  </si>
  <si>
    <t>UAS Subtotal</t>
  </si>
  <si>
    <t>Semester</t>
  </si>
  <si>
    <t>Quarter</t>
  </si>
  <si>
    <t>COMPLETED 
Semester Equivalent 
Degree Requirements</t>
  </si>
  <si>
    <t>PENDING
Semester Equivalent 
Degree Requirements</t>
  </si>
  <si>
    <t>First Year Requirement</t>
  </si>
  <si>
    <t>Description</t>
  </si>
  <si>
    <t>Acad. Year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</si>
  <si>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</si>
  <si>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</si>
  <si>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</si>
  <si>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</si>
  <si>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</si>
  <si>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</si>
  <si>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</si>
  <si>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</si>
  <si>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</si>
  <si>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</si>
  <si>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</si>
  <si>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</si>
  <si>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Fall Semester</t>
  </si>
  <si>
    <t>Spring Semester</t>
  </si>
  <si>
    <t>AY2013-14</t>
  </si>
  <si>
    <t>AY2014-15</t>
  </si>
  <si>
    <t>AY2015-16</t>
  </si>
  <si>
    <t>AY2016-17</t>
  </si>
  <si>
    <t>AY2009-10</t>
  </si>
  <si>
    <t>AY2010-11</t>
  </si>
  <si>
    <t>AY2011-12</t>
  </si>
  <si>
    <t>AY2012-13</t>
  </si>
  <si>
    <t>Fall Quarter</t>
  </si>
  <si>
    <t>Winter Quarter</t>
  </si>
  <si>
    <t>Spring Quarter</t>
  </si>
  <si>
    <t>Summer Quarter</t>
  </si>
  <si>
    <t>LEGEND</t>
  </si>
  <si>
    <t>Equiv SUM</t>
  </si>
  <si>
    <t>Status</t>
  </si>
  <si>
    <t>D</t>
  </si>
  <si>
    <t>P</t>
  </si>
  <si>
    <t>Meaning</t>
  </si>
  <si>
    <t>Done</t>
  </si>
  <si>
    <t>Pending</t>
  </si>
  <si>
    <t>This course has been completed</t>
  </si>
  <si>
    <t>This course has not been planned for</t>
  </si>
  <si>
    <t>(Blank)</t>
  </si>
  <si>
    <t># Courses</t>
  </si>
  <si>
    <t>Not yet planned</t>
  </si>
  <si>
    <t>Use these columns to track status</t>
  </si>
  <si>
    <t>Double Count</t>
  </si>
  <si>
    <t xml:space="preserve">ABET requirement &gt;= 48:   </t>
  </si>
  <si>
    <t xml:space="preserve">NYS requirement &gt;= 60:   </t>
  </si>
  <si>
    <t xml:space="preserve">ABET requirement &gt;= 32:    </t>
  </si>
  <si>
    <t xml:space="preserve">Equiv </t>
  </si>
  <si>
    <t>Y</t>
  </si>
  <si>
    <t>Used for 2 degrees</t>
  </si>
  <si>
    <t>Used for 1 degree</t>
  </si>
  <si>
    <t>N</t>
  </si>
  <si>
    <t>*</t>
  </si>
  <si>
    <t>**</t>
  </si>
  <si>
    <r>
      <t xml:space="preserve">** Second B.S. Degree need at least 40 SCH </t>
    </r>
    <r>
      <rPr>
        <b/>
        <sz val="10"/>
        <rFont val="Arial"/>
        <family val="2"/>
      </rPr>
      <t>MIN</t>
    </r>
  </si>
  <si>
    <r>
      <t xml:space="preserve">* B.S./M.Eng. Students may double count 9 SCH </t>
    </r>
    <r>
      <rPr>
        <b/>
        <sz val="10"/>
        <rFont val="Arial"/>
        <family val="2"/>
      </rPr>
      <t>MAX</t>
    </r>
  </si>
  <si>
    <r>
      <t xml:space="preserve">* B.S./M.Sci. Students may double count 9 SCH </t>
    </r>
    <r>
      <rPr>
        <b/>
        <sz val="10"/>
        <rFont val="Arial"/>
        <family val="2"/>
      </rPr>
      <t>MAX</t>
    </r>
  </si>
  <si>
    <t xml:space="preserve">Student Name:  </t>
  </si>
  <si>
    <t>Estimated Graduation Term</t>
  </si>
  <si>
    <t>This course has a completion plan</t>
  </si>
  <si>
    <t>Double Counting for Multiple Degrees</t>
  </si>
  <si>
    <t>Current Co-op Block Rotation</t>
  </si>
  <si>
    <t>University Arts &amp; Sciences Topics</t>
  </si>
  <si>
    <t>Free Elective, Wellness, Honors, ROTC, Minor, and Other</t>
  </si>
  <si>
    <t>Subtotal Free and Other</t>
  </si>
  <si>
    <t>Wv</t>
  </si>
  <si>
    <t>Waiver</t>
  </si>
  <si>
    <t>SUM</t>
  </si>
  <si>
    <t>=Sum=</t>
  </si>
  <si>
    <t>1016-271</t>
  </si>
  <si>
    <t>Calculus I/B (All)</t>
  </si>
  <si>
    <t>Calculus II/C (All)</t>
  </si>
  <si>
    <t>1016-283</t>
  </si>
  <si>
    <t>Calculus III (All)</t>
  </si>
  <si>
    <t>1016-328</t>
  </si>
  <si>
    <t>Differential Equations (All)</t>
  </si>
  <si>
    <t>1016-420</t>
  </si>
  <si>
    <t>Complex Variables (F,W,Su)</t>
  </si>
  <si>
    <t>1016-345</t>
  </si>
  <si>
    <t>Prob &amp; Stats for Engr (F,W,S)</t>
  </si>
  <si>
    <t>MultiVariable &amp; Vector Calculus</t>
  </si>
  <si>
    <t>Complex Variables</t>
  </si>
  <si>
    <t>Probability &amp; Statistics I</t>
  </si>
  <si>
    <t>Other Gen Ed</t>
  </si>
  <si>
    <t>4001-211</t>
  </si>
  <si>
    <t>MATLAB &amp; C Programming (F,W,S)</t>
  </si>
  <si>
    <t>College Chemistry (F,W,S)</t>
  </si>
  <si>
    <t>University Physics II w/o Optics</t>
  </si>
  <si>
    <t>University Physics III (F,W,S)</t>
  </si>
  <si>
    <t>Computational Problem Solving</t>
  </si>
  <si>
    <t>0301-205</t>
  </si>
  <si>
    <t>Freshman Practicum (F,W)</t>
  </si>
  <si>
    <t>Digital Systems (F,W,S)</t>
  </si>
  <si>
    <t>0301-360</t>
  </si>
  <si>
    <t>Semiconductor Devices (W,S)</t>
  </si>
  <si>
    <t>Circuits I (All)</t>
  </si>
  <si>
    <t>0301-382</t>
  </si>
  <si>
    <t>0301-365</t>
  </si>
  <si>
    <t>Microcomputers (S)</t>
  </si>
  <si>
    <t>0301-453</t>
  </si>
  <si>
    <r>
      <t xml:space="preserve">Linear Systems I (F,W)                                   </t>
    </r>
    <r>
      <rPr>
        <sz val="7"/>
        <rFont val="Arial"/>
        <family val="2"/>
      </rPr>
      <t xml:space="preserve">   Note: If Linear I &amp; II Sequence can't be completed under quarters, wait to complete in semesters</t>
    </r>
  </si>
  <si>
    <t>0301-554</t>
  </si>
  <si>
    <t>Linear Systems II (S,Su)</t>
  </si>
  <si>
    <t>0301-473</t>
  </si>
  <si>
    <r>
      <t>Em Fields I</t>
    </r>
    <r>
      <rPr>
        <sz val="7"/>
        <rFont val="Arial"/>
        <family val="2"/>
      </rPr>
      <t xml:space="preserve"> </t>
    </r>
    <r>
      <rPr>
        <sz val="10"/>
        <rFont val="Arial"/>
      </rPr>
      <t xml:space="preserve">(F,W) </t>
    </r>
    <r>
      <rPr>
        <sz val="7"/>
        <rFont val="Arial"/>
        <family val="2"/>
      </rPr>
      <t xml:space="preserve">                                                            Note:</t>
    </r>
    <r>
      <rPr>
        <sz val="10"/>
        <rFont val="Arial"/>
      </rPr>
      <t xml:space="preserve"> </t>
    </r>
    <r>
      <rPr>
        <sz val="7"/>
        <rFont val="Arial"/>
        <family val="2"/>
      </rPr>
      <t>If Fields I &amp; II Sequence can't be completed under quarters, wait to complete in semesters</t>
    </r>
  </si>
  <si>
    <t>0301-474</t>
  </si>
  <si>
    <t>Em Fields II (S,Su)</t>
  </si>
  <si>
    <t>0301-481</t>
  </si>
  <si>
    <t>Electronics I (All)</t>
  </si>
  <si>
    <t>0301-482</t>
  </si>
  <si>
    <r>
      <t xml:space="preserve">Electronics II (All)            </t>
    </r>
    <r>
      <rPr>
        <sz val="7"/>
        <rFont val="Arial"/>
        <family val="2"/>
      </rPr>
      <t xml:space="preserve">                                         Note: If Elec. II &amp; Digital Elec. can't be completed in quarters, wait to complete Elec. II in semesters</t>
    </r>
  </si>
  <si>
    <t>0301-545</t>
  </si>
  <si>
    <t>Digital Electronics (F,W)</t>
  </si>
  <si>
    <t>0301-514</t>
  </si>
  <si>
    <t>Control Systems Design (S,Su)</t>
  </si>
  <si>
    <t>0301-531</t>
  </si>
  <si>
    <t>Mechatronics (F,W,S)</t>
  </si>
  <si>
    <t>0301-534</t>
  </si>
  <si>
    <t>Communication Systems (S,Su)</t>
  </si>
  <si>
    <t>0301-697</t>
  </si>
  <si>
    <t>Senior Design Project I (F,W)</t>
  </si>
  <si>
    <t>0301-698</t>
  </si>
  <si>
    <t>Senior Design Project II (W,S)</t>
  </si>
  <si>
    <t>0301-6xx</t>
  </si>
  <si>
    <t>Professional Elective</t>
  </si>
  <si>
    <t>Co-Op Preparation Course</t>
  </si>
  <si>
    <t>0301-499</t>
  </si>
  <si>
    <t>EEEE-105</t>
  </si>
  <si>
    <t>Freshman Practicum</t>
  </si>
  <si>
    <t>EEEE-120</t>
  </si>
  <si>
    <t>Digital System I</t>
  </si>
  <si>
    <t>EEEE-260</t>
  </si>
  <si>
    <t>Semiconductor Devices</t>
  </si>
  <si>
    <t>Circuits I</t>
  </si>
  <si>
    <t>EEEE-282</t>
  </si>
  <si>
    <t>Circuits II</t>
  </si>
  <si>
    <t>Embedded Systems Design</t>
  </si>
  <si>
    <t>EEEE-353</t>
  </si>
  <si>
    <t>Linear Systems</t>
  </si>
  <si>
    <t>EEEE-374</t>
  </si>
  <si>
    <t>EM Fields &amp; Transmission Lines</t>
  </si>
  <si>
    <t>EEEE-381</t>
  </si>
  <si>
    <t>Electronics I</t>
  </si>
  <si>
    <t>EEEE-482</t>
  </si>
  <si>
    <t>Electronics II</t>
  </si>
  <si>
    <t>EEEE-414</t>
  </si>
  <si>
    <t>Control Systems Design</t>
  </si>
  <si>
    <t>EEEE-483</t>
  </si>
  <si>
    <t>Mechatronics</t>
  </si>
  <si>
    <t>EEEE-484</t>
  </si>
  <si>
    <t>Communication Systems</t>
  </si>
  <si>
    <t>EEEE-497</t>
  </si>
  <si>
    <t>Senior Design Project I</t>
  </si>
  <si>
    <t>EEEE-498</t>
  </si>
  <si>
    <t>Senior Design Project II</t>
  </si>
  <si>
    <t>EEEE-5xx</t>
  </si>
  <si>
    <t>RIT ELECTRICAL ENGINEERING - BACHELOR OF SCIENCE - SEMESTER CONVERSION CHECKLIST</t>
  </si>
  <si>
    <t>EEEE-420</t>
  </si>
  <si>
    <t>Graduate Work</t>
  </si>
  <si>
    <t>0301-702</t>
  </si>
  <si>
    <t>Random Signals &amp; Noise</t>
  </si>
  <si>
    <t>0301-703</t>
  </si>
  <si>
    <t>Matrix Methods</t>
  </si>
  <si>
    <t>0301-7xx</t>
  </si>
  <si>
    <t>0301-7XX</t>
  </si>
  <si>
    <t>0301-889</t>
  </si>
  <si>
    <t>Graduate Seminar</t>
  </si>
  <si>
    <t>0301-890</t>
  </si>
  <si>
    <t>Thesis/Grad Paper</t>
  </si>
  <si>
    <t>EEEE-602</t>
  </si>
  <si>
    <t>EEEE-603</t>
  </si>
  <si>
    <t>Matrix Methods in EE</t>
  </si>
  <si>
    <t>EEEE-7xx</t>
  </si>
  <si>
    <t>EEEE-795</t>
  </si>
  <si>
    <t>EEEE-790</t>
  </si>
  <si>
    <t>Calculus A (All) - Use as free elective</t>
  </si>
  <si>
    <t>Summer Term</t>
  </si>
  <si>
    <t>QCH</t>
  </si>
  <si>
    <t>SCH</t>
  </si>
  <si>
    <t>FOR PLANNING PURPOSES ONLY</t>
  </si>
  <si>
    <t>Program Code:</t>
  </si>
  <si>
    <t>Entry Year:</t>
  </si>
  <si>
    <t>EE Options, Quarters:</t>
  </si>
  <si>
    <t>EE Options, Semesters</t>
  </si>
  <si>
    <t>1017-311/369</t>
  </si>
  <si>
    <r>
      <t>University Physics I/Ia (F,W,S)</t>
    </r>
    <r>
      <rPr>
        <sz val="7"/>
        <rFont val="Arial"/>
        <family val="2"/>
      </rPr>
      <t xml:space="preserve">                               Note: If taking in 20122, continue to U. Physics II w/o Optics in 20123</t>
    </r>
  </si>
  <si>
    <t>1017-312/389</t>
  </si>
  <si>
    <t>University Physics II/IIa (All)</t>
  </si>
  <si>
    <t xml:space="preserve">Student Email:   </t>
  </si>
  <si>
    <t>0502-227</t>
  </si>
  <si>
    <t>General Chemistry for Engr</t>
  </si>
  <si>
    <t>1016-281/272</t>
  </si>
  <si>
    <t>1016-282/273</t>
  </si>
  <si>
    <t>EEEE-220</t>
  </si>
  <si>
    <t>0301-347</t>
  </si>
  <si>
    <t>Computer Architecture (F,W)</t>
  </si>
  <si>
    <t>Digital System II</t>
  </si>
  <si>
    <t>Subtotal Graduate Work</t>
  </si>
  <si>
    <t>TOTAL FOR ALL BS COURSES</t>
  </si>
  <si>
    <t xml:space="preserve"> TOTAL FOR ALL BS COURSES</t>
  </si>
  <si>
    <t xml:space="preserve">BS NYS requirement  &gt;=  129:   </t>
  </si>
  <si>
    <t xml:space="preserve">BSMS requirement  &gt;=  150:   </t>
  </si>
  <si>
    <t>Sem</t>
  </si>
  <si>
    <t>Semester Course</t>
  </si>
  <si>
    <t>Qtr</t>
  </si>
  <si>
    <t>Quarter Course</t>
  </si>
  <si>
    <t>EEEE</t>
  </si>
  <si>
    <t>EEEM</t>
  </si>
  <si>
    <t>EEEC</t>
  </si>
  <si>
    <t>EEER</t>
  </si>
  <si>
    <t>EEEB</t>
  </si>
  <si>
    <t>RIT ELECTRICAL ENGINEERING - DUAL DEGREE BSMS - SEMESTER CONVERSION CHECKLIST</t>
  </si>
  <si>
    <t>EEEB-Biomed</t>
  </si>
  <si>
    <t>EEEB-Computer</t>
  </si>
  <si>
    <t>EEEB-Robotics</t>
  </si>
  <si>
    <t>Co-op</t>
  </si>
  <si>
    <t>Professional Elective (from BS above)</t>
  </si>
  <si>
    <t>4003-440</t>
  </si>
  <si>
    <t>Operating Systems I (All) (Computer)</t>
  </si>
  <si>
    <t>CSCI-352</t>
  </si>
  <si>
    <t>0301-346</t>
  </si>
  <si>
    <t>Adv. C Prog. (F) (Computer/Robotics)</t>
  </si>
  <si>
    <t>EEEE-346</t>
  </si>
  <si>
    <t>Adv. Programming (Computer/Robotics)</t>
  </si>
  <si>
    <t>0301-497</t>
  </si>
  <si>
    <t>Individual Design Experience (F,W,S)</t>
  </si>
  <si>
    <t>0301-585</t>
  </si>
  <si>
    <t>Robotic Systems (S) (Robotics)</t>
  </si>
  <si>
    <t>EEEE-485</t>
  </si>
  <si>
    <t>Robotic Systems (Robotics)</t>
  </si>
  <si>
    <t>Principles of Robotics (F,W) (Robotics)</t>
  </si>
  <si>
    <t>Electrophysiology (S) (Biomedical)</t>
  </si>
  <si>
    <t>EEEE-585</t>
  </si>
  <si>
    <t>Principles of Robotics (Robotics)</t>
  </si>
  <si>
    <t>EEEE-532</t>
  </si>
  <si>
    <t>Fund. Electrophysiology (Biomedical)</t>
  </si>
  <si>
    <t>0301-895</t>
  </si>
  <si>
    <t>0301-630</t>
  </si>
  <si>
    <t>Advanced Robotics (S) (Robotics)</t>
  </si>
  <si>
    <t>Bioinstrumentation (W) (Biomedical)</t>
  </si>
  <si>
    <t>EEEE-784</t>
  </si>
  <si>
    <t>EEEE-530</t>
  </si>
  <si>
    <t>Advanced Robotics (Robotics)</t>
  </si>
  <si>
    <t>Bioinstrumentation (Biomedical)</t>
  </si>
  <si>
    <t>GR 7xx</t>
  </si>
  <si>
    <t>Optional Grad Elective (Paper)</t>
  </si>
  <si>
    <t>Wellness</t>
  </si>
  <si>
    <t>Writing Exam</t>
  </si>
  <si>
    <t>1026-350</t>
  </si>
  <si>
    <t>1026-360</t>
  </si>
  <si>
    <t>Anatomy &amp; Phys II (W) (Biomedical)</t>
  </si>
  <si>
    <t>Anatomy &amp; Phys (F) (Biomedical)</t>
  </si>
  <si>
    <t>Restricted Science Elective</t>
  </si>
  <si>
    <t>xxxx-xxx</t>
  </si>
  <si>
    <t>MEDS-250</t>
  </si>
  <si>
    <t>MEDS-251</t>
  </si>
  <si>
    <t>Human Anatomy &amp; Phys II (Biomedical)</t>
  </si>
  <si>
    <t>Human Anatomy &amp; Phys I (Biomedical)</t>
  </si>
  <si>
    <t>0301-685</t>
  </si>
  <si>
    <t>0301-632</t>
  </si>
  <si>
    <t>FOR PLANNING PURPOSES ONLY - STUDENTS WHO ENTER PRIOR TO 20121 FOLLOW QUARTER COURSE REQUIREMENTS, ALL OTHERS FOLLOW SEMESTERS</t>
  </si>
  <si>
    <t>Department approval for co-op or other</t>
  </si>
  <si>
    <t>0301-650</t>
  </si>
  <si>
    <t>Design of Digital Systems</t>
  </si>
  <si>
    <t>EEEE-520</t>
  </si>
  <si>
    <t>EEEE-521</t>
  </si>
  <si>
    <t>Design of Computer Systems</t>
  </si>
  <si>
    <t>CMPR-271</t>
  </si>
  <si>
    <t>CHMG-131</t>
  </si>
  <si>
    <t>PHYS-211</t>
  </si>
  <si>
    <t xml:space="preserve">MATH-251 </t>
  </si>
  <si>
    <t>MATH-381</t>
  </si>
  <si>
    <t>MATH-231</t>
  </si>
  <si>
    <t>MATH-221</t>
  </si>
  <si>
    <t>MATH-182</t>
  </si>
  <si>
    <t>MATH-181</t>
  </si>
  <si>
    <t>PHYS-212</t>
  </si>
  <si>
    <t>0301-240/ 0306-341</t>
  </si>
  <si>
    <t>MATH-221 replaces 1016-305, portions of 1016-328 &amp; 1016-410</t>
  </si>
  <si>
    <t>PHYS-211 replaces 1017-311 &amp; portions of 1017-312         PHYS-212 replaces 1017-313 &amp; portions of 1017-312</t>
  </si>
  <si>
    <t>EEEE-353 replaces 0301-453 &amp; 0301-554</t>
  </si>
  <si>
    <t>EEEE-374 replaces 0301-473 &amp; 0301-474</t>
  </si>
  <si>
    <t>EEEE-482 replaces 0301-482 &amp; 0301-545</t>
  </si>
  <si>
    <t>MATH-181 replaces 1016-281 &amp; portions of 1016-282              MATH-182 replaces 1016-283 &amp; portions of 1016-282</t>
  </si>
  <si>
    <t>1017-312T</t>
  </si>
  <si>
    <t>Restrictive EE/CE/CS Elec. (Computer)</t>
  </si>
  <si>
    <t>MultiVariable Calculus (All)-</t>
  </si>
  <si>
    <t>Engineering Math (F,S,Su)-</t>
  </si>
  <si>
    <t>Circuits II (All)</t>
  </si>
  <si>
    <t>1720-052</t>
  </si>
  <si>
    <t>1720-05x</t>
  </si>
  <si>
    <t xml:space="preserve">Subtotal Graduate &gt;= 30: </t>
  </si>
  <si>
    <t xml:space="preserve">Grad Elective </t>
  </si>
  <si>
    <t>Grad Independent Study 1-3 SCH</t>
  </si>
  <si>
    <t>Goldberg, Connor</t>
  </si>
  <si>
    <t>cjg3259</t>
  </si>
  <si>
    <t>d</t>
  </si>
  <si>
    <t>Writing: Eng 101</t>
  </si>
  <si>
    <t>Gen Ed. Elective</t>
  </si>
  <si>
    <t xml:space="preserve">Ethical </t>
  </si>
  <si>
    <t xml:space="preserve">Global </t>
  </si>
  <si>
    <t xml:space="preserve">Social </t>
  </si>
  <si>
    <t>Artistic</t>
  </si>
  <si>
    <t>Global: ENG 102 LA Socail Sci Elective</t>
  </si>
  <si>
    <t>Ethical: AHIS 101 LA Humanities Elec</t>
  </si>
  <si>
    <t xml:space="preserve">Artistic: AHIS 100 </t>
  </si>
  <si>
    <t xml:space="preserve">Social: Themes in US History </t>
  </si>
  <si>
    <t>0507-305</t>
  </si>
  <si>
    <t>Eng. Exploration Seminar</t>
  </si>
  <si>
    <t>p</t>
  </si>
  <si>
    <t>Wellness: Varsity Swimming</t>
  </si>
  <si>
    <t>4003-241</t>
  </si>
  <si>
    <t>Problem-Based Intro to CS</t>
  </si>
  <si>
    <t>Spanish Language Minor Course</t>
  </si>
  <si>
    <t>Gen Ed Elective: General Biology I</t>
  </si>
  <si>
    <t>General Biology II &amp; Labs TR Credit</t>
  </si>
  <si>
    <t>0500-402</t>
  </si>
  <si>
    <t>ASPN 103, Int. Spanish, sub per Sheila Oakden</t>
  </si>
  <si>
    <t>is taking EEEE-346 Computer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</si>
</sst>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\(0\)"/>
    <numFmt numFmtId="165" formatCode="\{0\}"/>
    <numFmt numFmtId="166" formatCode="0;[Red]0"/>
    <numFmt numFmtId="167" formatCode="\(0.000\)"/>
    <numFmt numFmtId="168" formatCode="00000\-0000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7030A0"/>
      <name val="Arial"/>
      <family val="2"/>
    </font>
    <font>
      <b/>
      <sz val="22"/>
      <name val="Arial"/>
      <family val="2"/>
    </font>
    <font>
      <b/>
      <sz val="10"/>
      <color theme="5" tint="-0.249977111117893"/>
      <name val="Arial"/>
      <family val="2"/>
    </font>
    <font>
      <sz val="10"/>
      <color theme="5" tint="-0.249977111117893"/>
      <name val="Arial"/>
      <family val="2"/>
    </font>
    <font>
      <sz val="10"/>
      <color theme="0" tint="-0.249977111117893"/>
      <name val="Arial"/>
      <family val="2"/>
    </font>
    <font>
      <sz val="7"/>
      <name val="Arial"/>
      <family val="2"/>
    </font>
    <font>
      <b/>
      <sz val="10"/>
      <color theme="0" tint="-0.249977111117893"/>
      <name val="Arial"/>
      <family val="2"/>
    </font>
    <font>
      <sz val="10"/>
      <color theme="0" tint="-0.1499984740745262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color theme="0" tint="-0.14999847407452621"/>
      <name val="Arial"/>
      <family val="2"/>
    </font>
    <font>
      <b/>
      <sz val="10"/>
      <color theme="0" tint="-0.14999847407452621"/>
      <name val="Arial"/>
      <family val="2"/>
    </font>
    <font>
      <b/>
      <sz val="9"/>
      <name val="Arial"/>
      <family val="2"/>
    </font>
    <font>
      <sz val="10"/>
      <color rgb="FF777777"/>
      <name val="Arial"/>
      <family val="2"/>
    </font>
    <font>
      <sz val="10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D8EEC0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E1F7FF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rgb="FFFFE1F7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ECD9C6"/>
        <bgColor indexed="64"/>
      </patternFill>
    </fill>
    <fill>
      <patternFill patternType="solid">
        <fgColor rgb="FFFFE7F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14996795556505021"/>
        <bgColor indexed="64"/>
      </patternFill>
    </fill>
  </fills>
  <borders count="6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auto="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auto="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auto="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/>
      <right style="thin">
        <color theme="0" tint="-0.14996795556505021"/>
      </right>
      <top style="medium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medium">
        <color auto="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0691854609822"/>
      </top>
      <bottom style="medium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medium">
        <color auto="1"/>
      </bottom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medium">
        <color auto="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auto="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auto="1"/>
      </top>
      <bottom style="thick">
        <color auto="1"/>
      </bottom>
      <diagonal/>
    </border>
    <border>
      <left/>
      <right style="thin">
        <color theme="0" tint="-0.1499679555650502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96795556505021"/>
      </right>
      <top style="thin">
        <color theme="0" tint="-0.14990691854609822"/>
      </top>
      <bottom style="medium">
        <color auto="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6795556505021"/>
      </left>
      <right/>
      <top style="medium">
        <color auto="1"/>
      </top>
      <bottom/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1"/>
    <xf numFmtId="43" fontId="1" fillId="0" borderId="0" applyFont="0" applyFill="0" applyBorder="0" applyAlignment="0" applyProtection="0"/>
  </cellStyleXfs>
  <cellXfs count="656">
    <xf numFmtId="0" fontId="0" fillId="0" borderId="1" xfId="0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readingOrder="1"/>
    </xf>
    <xf numFmtId="164" fontId="2" fillId="4" borderId="0" xfId="0" applyNumberFormat="1" applyFont="1" applyFill="1" applyBorder="1" applyAlignment="1">
      <alignment horizontal="center" vertical="center"/>
    </xf>
    <xf numFmtId="164" fontId="2" fillId="4" borderId="0" xfId="0" applyNumberFormat="1" applyFont="1" applyFill="1" applyBorder="1" applyAlignment="1">
      <alignment horizontal="center" readingOrder="1"/>
    </xf>
    <xf numFmtId="0" fontId="1" fillId="0" borderId="0" xfId="0" applyFont="1" applyBorder="1"/>
    <xf numFmtId="167" fontId="2" fillId="0" borderId="0" xfId="0" applyNumberFormat="1" applyFont="1" applyBorder="1"/>
    <xf numFmtId="0" fontId="2" fillId="6" borderId="9" xfId="0" applyFont="1" applyFill="1" applyBorder="1"/>
    <xf numFmtId="0" fontId="7" fillId="0" borderId="0" xfId="0" applyFont="1" applyBorder="1"/>
    <xf numFmtId="0" fontId="8" fillId="0" borderId="0" xfId="0" applyFont="1" applyBorder="1"/>
    <xf numFmtId="0" fontId="2" fillId="0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164" fontId="1" fillId="0" borderId="17" xfId="0" applyNumberFormat="1" applyFont="1" applyFill="1" applyBorder="1" applyAlignment="1">
      <alignment horizontal="center"/>
    </xf>
    <xf numFmtId="164" fontId="1" fillId="2" borderId="17" xfId="0" applyNumberFormat="1" applyFont="1" applyFill="1" applyBorder="1" applyAlignment="1">
      <alignment horizontal="center"/>
    </xf>
    <xf numFmtId="164" fontId="1" fillId="2" borderId="24" xfId="0" applyNumberFormat="1" applyFont="1" applyFill="1" applyBorder="1" applyAlignment="1">
      <alignment horizontal="center"/>
    </xf>
    <xf numFmtId="164" fontId="1" fillId="0" borderId="30" xfId="0" applyNumberFormat="1" applyFont="1" applyFill="1" applyBorder="1" applyAlignment="1">
      <alignment horizontal="center"/>
    </xf>
    <xf numFmtId="164" fontId="2" fillId="0" borderId="33" xfId="0" applyNumberFormat="1" applyFont="1" applyFill="1" applyBorder="1" applyAlignment="1">
      <alignment horizontal="center" vertical="center"/>
    </xf>
    <xf numFmtId="164" fontId="2" fillId="0" borderId="24" xfId="0" applyNumberFormat="1" applyFont="1" applyFill="1" applyBorder="1" applyAlignment="1">
      <alignment horizontal="center" vertical="center"/>
    </xf>
    <xf numFmtId="0" fontId="2" fillId="2" borderId="24" xfId="0" applyFont="1" applyFill="1" applyBorder="1"/>
    <xf numFmtId="164" fontId="1" fillId="0" borderId="23" xfId="0" applyNumberFormat="1" applyFont="1" applyFill="1" applyBorder="1" applyAlignment="1">
      <alignment horizontal="center"/>
    </xf>
    <xf numFmtId="164" fontId="1" fillId="0" borderId="24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 applyProtection="1">
      <protection locked="0"/>
    </xf>
    <xf numFmtId="0" fontId="1" fillId="0" borderId="2" xfId="0" applyFont="1" applyFill="1" applyBorder="1" applyAlignment="1" applyProtection="1">
      <protection locked="0"/>
    </xf>
    <xf numFmtId="0" fontId="1" fillId="2" borderId="29" xfId="0" applyFont="1" applyFill="1" applyBorder="1" applyAlignment="1" applyProtection="1">
      <alignment readingOrder="1"/>
      <protection locked="0"/>
    </xf>
    <xf numFmtId="0" fontId="1" fillId="2" borderId="17" xfId="0" applyFont="1" applyFill="1" applyBorder="1" applyAlignment="1" applyProtection="1">
      <alignment readingOrder="1"/>
      <protection locked="0"/>
    </xf>
    <xf numFmtId="0" fontId="1" fillId="0" borderId="0" xfId="0" applyFont="1" applyFill="1" applyBorder="1" applyAlignment="1" applyProtection="1">
      <alignment readingOrder="1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horizontal="center" vertical="center" wrapText="1" readingOrder="1"/>
      <protection locked="0"/>
    </xf>
    <xf numFmtId="0" fontId="1" fillId="0" borderId="2" xfId="0" applyFont="1" applyFill="1" applyBorder="1" applyAlignment="1" applyProtection="1">
      <alignment horizontal="center" vertical="center" wrapText="1" readingOrder="1"/>
      <protection locked="0"/>
    </xf>
    <xf numFmtId="0" fontId="2" fillId="2" borderId="15" xfId="0" applyFont="1" applyFill="1" applyBorder="1" applyAlignment="1" applyProtection="1">
      <alignment horizontal="center" vertical="center" wrapText="1" readingOrder="1"/>
      <protection locked="0"/>
    </xf>
    <xf numFmtId="165" fontId="1" fillId="2" borderId="23" xfId="0" applyNumberFormat="1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 applyProtection="1">
      <alignment horizontal="center" vertical="top" wrapText="1"/>
      <protection locked="0"/>
    </xf>
    <xf numFmtId="165" fontId="1" fillId="2" borderId="24" xfId="0" applyNumberFormat="1" applyFont="1" applyFill="1" applyBorder="1" applyAlignment="1" applyProtection="1">
      <alignment horizontal="center" vertical="top"/>
      <protection locked="0"/>
    </xf>
    <xf numFmtId="0" fontId="11" fillId="2" borderId="17" xfId="0" applyFont="1" applyFill="1" applyBorder="1" applyAlignment="1" applyProtection="1">
      <alignment horizontal="center" vertical="center" wrapText="1" readingOrder="1"/>
      <protection locked="0"/>
    </xf>
    <xf numFmtId="165" fontId="9" fillId="2" borderId="24" xfId="0" applyNumberFormat="1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 applyProtection="1">
      <alignment horizontal="center" vertical="center" wrapText="1" readingOrder="1"/>
      <protection locked="0"/>
    </xf>
    <xf numFmtId="165" fontId="1" fillId="2" borderId="22" xfId="0" applyNumberFormat="1" applyFont="1" applyFill="1" applyBorder="1" applyAlignment="1" applyProtection="1">
      <alignment horizontal="center"/>
      <protection locked="0"/>
    </xf>
    <xf numFmtId="0" fontId="1" fillId="2" borderId="29" xfId="0" applyFont="1" applyFill="1" applyBorder="1" applyAlignment="1" applyProtection="1">
      <alignment horizontal="center" vertical="center" wrapText="1" readingOrder="1"/>
      <protection locked="0"/>
    </xf>
    <xf numFmtId="166" fontId="1" fillId="2" borderId="29" xfId="0" applyNumberFormat="1" applyFont="1" applyFill="1" applyBorder="1" applyAlignment="1" applyProtection="1">
      <alignment horizontal="center" vertical="center" readingOrder="1"/>
      <protection locked="0"/>
    </xf>
    <xf numFmtId="0" fontId="1" fillId="2" borderId="17" xfId="0" applyFont="1" applyFill="1" applyBorder="1" applyAlignment="1" applyProtection="1">
      <alignment horizontal="center" vertical="center" wrapText="1" readingOrder="1"/>
      <protection locked="0"/>
    </xf>
    <xf numFmtId="166" fontId="1" fillId="2" borderId="17" xfId="0" applyNumberFormat="1" applyFont="1" applyFill="1" applyBorder="1" applyAlignment="1" applyProtection="1">
      <alignment horizontal="center" vertical="center" readingOrder="1"/>
      <protection locked="0"/>
    </xf>
    <xf numFmtId="0" fontId="1" fillId="0" borderId="17" xfId="0" applyFont="1" applyFill="1" applyBorder="1" applyAlignment="1" applyProtection="1">
      <alignment horizontal="center" vertical="center" wrapText="1" readingOrder="1"/>
      <protection locked="0"/>
    </xf>
    <xf numFmtId="166" fontId="1" fillId="0" borderId="17" xfId="0" applyNumberFormat="1" applyFont="1" applyFill="1" applyBorder="1" applyAlignment="1" applyProtection="1">
      <alignment horizontal="center" vertical="center" readingOrder="1"/>
      <protection locked="0"/>
    </xf>
    <xf numFmtId="166" fontId="1" fillId="0" borderId="0" xfId="0" applyNumberFormat="1" applyFont="1" applyFill="1" applyBorder="1" applyAlignment="1" applyProtection="1">
      <alignment horizontal="center" vertical="center" readingOrder="1"/>
      <protection locked="0"/>
    </xf>
    <xf numFmtId="0" fontId="2" fillId="2" borderId="15" xfId="0" applyFont="1" applyFill="1" applyBorder="1" applyAlignment="1" applyProtection="1">
      <alignment horizontal="center"/>
      <protection locked="0"/>
    </xf>
    <xf numFmtId="165" fontId="1" fillId="2" borderId="15" xfId="0" applyNumberFormat="1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/>
      <protection locked="0"/>
    </xf>
    <xf numFmtId="165" fontId="1" fillId="2" borderId="17" xfId="0" applyNumberFormat="1" applyFont="1" applyFill="1" applyBorder="1" applyAlignment="1" applyProtection="1">
      <alignment horizontal="center" vertical="center"/>
      <protection locked="0"/>
    </xf>
    <xf numFmtId="0" fontId="2" fillId="0" borderId="17" xfId="0" applyFont="1" applyFill="1" applyBorder="1" applyAlignment="1" applyProtection="1">
      <alignment horizontal="center"/>
      <protection locked="0"/>
    </xf>
    <xf numFmtId="165" fontId="1" fillId="0" borderId="17" xfId="0" applyNumberFormat="1" applyFont="1" applyFill="1" applyBorder="1" applyAlignment="1" applyProtection="1">
      <alignment horizontal="center" vertical="center"/>
      <protection locked="0"/>
    </xf>
    <xf numFmtId="0" fontId="2" fillId="0" borderId="17" xfId="0" applyFont="1" applyFill="1" applyBorder="1" applyAlignment="1" applyProtection="1">
      <alignment horizontal="center" vertical="top"/>
      <protection locked="0"/>
    </xf>
    <xf numFmtId="165" fontId="1" fillId="0" borderId="17" xfId="0" applyNumberFormat="1" applyFont="1" applyFill="1" applyBorder="1" applyAlignment="1" applyProtection="1">
      <alignment horizontal="center" vertical="top"/>
      <protection locked="0"/>
    </xf>
    <xf numFmtId="0" fontId="1" fillId="2" borderId="28" xfId="0" applyFont="1" applyFill="1" applyBorder="1" applyAlignment="1" applyProtection="1">
      <protection locked="0"/>
    </xf>
    <xf numFmtId="0" fontId="1" fillId="2" borderId="22" xfId="0" applyFont="1" applyFill="1" applyBorder="1" applyAlignment="1" applyProtection="1">
      <protection locked="0"/>
    </xf>
    <xf numFmtId="0" fontId="1" fillId="2" borderId="31" xfId="0" applyFont="1" applyFill="1" applyBorder="1" applyAlignment="1" applyProtection="1">
      <protection locked="0"/>
    </xf>
    <xf numFmtId="0" fontId="1" fillId="0" borderId="17" xfId="0" applyFont="1" applyFill="1" applyBorder="1" applyAlignment="1" applyProtection="1">
      <alignment wrapText="1" readingOrder="1"/>
      <protection locked="0"/>
    </xf>
    <xf numFmtId="0" fontId="2" fillId="0" borderId="15" xfId="0" applyFont="1" applyFill="1" applyBorder="1" applyAlignment="1" applyProtection="1">
      <alignment horizontal="center" vertical="center"/>
      <protection locked="0"/>
    </xf>
    <xf numFmtId="164" fontId="1" fillId="0" borderId="15" xfId="0" applyNumberFormat="1" applyFont="1" applyFill="1" applyBorder="1" applyAlignment="1" applyProtection="1">
      <alignment horizontal="center"/>
      <protection locked="0"/>
    </xf>
    <xf numFmtId="0" fontId="2" fillId="0" borderId="17" xfId="0" applyFont="1" applyFill="1" applyBorder="1" applyAlignment="1" applyProtection="1">
      <alignment horizontal="center" vertical="center"/>
      <protection locked="0"/>
    </xf>
    <xf numFmtId="164" fontId="1" fillId="0" borderId="17" xfId="0" applyNumberFormat="1" applyFont="1" applyFill="1" applyBorder="1" applyAlignment="1" applyProtection="1">
      <alignment horizontal="center"/>
      <protection locked="0"/>
    </xf>
    <xf numFmtId="0" fontId="2" fillId="0" borderId="19" xfId="0" applyFont="1" applyFill="1" applyBorder="1" applyAlignment="1" applyProtection="1">
      <alignment horizontal="center" vertical="center"/>
      <protection locked="0"/>
    </xf>
    <xf numFmtId="164" fontId="1" fillId="0" borderId="19" xfId="0" applyNumberFormat="1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 vertical="center"/>
      <protection locked="0"/>
    </xf>
    <xf numFmtId="164" fontId="1" fillId="2" borderId="23" xfId="0" applyNumberFormat="1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 applyProtection="1">
      <alignment horizontal="center" vertical="top"/>
      <protection locked="0"/>
    </xf>
    <xf numFmtId="164" fontId="1" fillId="2" borderId="24" xfId="0" applyNumberFormat="1" applyFont="1" applyFill="1" applyBorder="1" applyAlignment="1" applyProtection="1">
      <alignment horizontal="center" vertical="top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164" fontId="1" fillId="2" borderId="24" xfId="0" applyNumberFormat="1" applyFont="1" applyFill="1" applyBorder="1" applyAlignment="1" applyProtection="1">
      <alignment horizontal="center"/>
      <protection locked="0"/>
    </xf>
    <xf numFmtId="0" fontId="1" fillId="5" borderId="0" xfId="0" applyFont="1" applyFill="1" applyBorder="1" applyAlignment="1" applyProtection="1">
      <alignment horizontal="center" vertical="center" wrapText="1" readingOrder="1"/>
      <protection locked="0"/>
    </xf>
    <xf numFmtId="0" fontId="1" fillId="5" borderId="0" xfId="0" applyFont="1" applyFill="1" applyBorder="1" applyAlignment="1" applyProtection="1">
      <alignment horizontal="center" vertical="center"/>
      <protection locked="0"/>
    </xf>
    <xf numFmtId="164" fontId="1" fillId="2" borderId="15" xfId="0" applyNumberFormat="1" applyFont="1" applyFill="1" applyBorder="1" applyAlignment="1" applyProtection="1">
      <alignment horizontal="center" vertical="center"/>
      <protection locked="0"/>
    </xf>
    <xf numFmtId="164" fontId="1" fillId="2" borderId="17" xfId="0" applyNumberFormat="1" applyFont="1" applyFill="1" applyBorder="1" applyAlignment="1" applyProtection="1">
      <alignment horizontal="center" vertical="center"/>
      <protection locked="0"/>
    </xf>
    <xf numFmtId="164" fontId="1" fillId="0" borderId="17" xfId="0" applyNumberFormat="1" applyFont="1" applyFill="1" applyBorder="1" applyAlignment="1" applyProtection="1">
      <alignment horizontal="center" vertical="center"/>
      <protection locked="0"/>
    </xf>
    <xf numFmtId="164" fontId="1" fillId="2" borderId="17" xfId="0" applyNumberFormat="1" applyFont="1" applyFill="1" applyBorder="1" applyAlignment="1" applyProtection="1">
      <alignment horizontal="center" vertical="top"/>
      <protection locked="0"/>
    </xf>
    <xf numFmtId="164" fontId="1" fillId="0" borderId="17" xfId="0" applyNumberFormat="1" applyFont="1" applyFill="1" applyBorder="1" applyAlignment="1" applyProtection="1">
      <alignment horizontal="center" vertical="top"/>
      <protection locked="0"/>
    </xf>
    <xf numFmtId="164" fontId="1" fillId="2" borderId="24" xfId="0" applyNumberFormat="1" applyFont="1" applyFill="1" applyBorder="1" applyAlignment="1" applyProtection="1">
      <alignment horizontal="center" vertical="center"/>
      <protection locked="0"/>
    </xf>
    <xf numFmtId="0" fontId="1" fillId="2" borderId="15" xfId="0" applyFont="1" applyFill="1" applyBorder="1" applyAlignment="1" applyProtection="1">
      <alignment vertical="center"/>
      <protection locked="0"/>
    </xf>
    <xf numFmtId="0" fontId="1" fillId="2" borderId="15" xfId="0" applyFont="1" applyFill="1" applyBorder="1" applyAlignment="1" applyProtection="1">
      <alignment horizontal="center" vertical="center" wrapText="1" readingOrder="1"/>
      <protection locked="0"/>
    </xf>
    <xf numFmtId="0" fontId="1" fillId="2" borderId="15" xfId="0" applyFont="1" applyFill="1" applyBorder="1" applyAlignment="1" applyProtection="1">
      <alignment horizontal="center" vertical="center"/>
      <protection locked="0"/>
    </xf>
    <xf numFmtId="0" fontId="2" fillId="2" borderId="15" xfId="0" applyFont="1" applyFill="1" applyBorder="1" applyAlignment="1" applyProtection="1">
      <alignment vertical="center"/>
      <protection locked="0"/>
    </xf>
    <xf numFmtId="0" fontId="1" fillId="2" borderId="17" xfId="0" applyFont="1" applyFill="1" applyBorder="1" applyAlignment="1" applyProtection="1">
      <alignment vertical="center"/>
      <protection locked="0"/>
    </xf>
    <xf numFmtId="0" fontId="1" fillId="2" borderId="17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/>
      <protection locked="0"/>
    </xf>
    <xf numFmtId="0" fontId="1" fillId="0" borderId="16" xfId="0" applyFont="1" applyFill="1" applyBorder="1" applyAlignment="1" applyProtection="1">
      <alignment vertical="center"/>
      <protection locked="0"/>
    </xf>
    <xf numFmtId="0" fontId="1" fillId="0" borderId="17" xfId="0" applyFont="1" applyFill="1" applyBorder="1" applyAlignment="1" applyProtection="1">
      <alignment vertical="center"/>
      <protection locked="0"/>
    </xf>
    <xf numFmtId="0" fontId="1" fillId="0" borderId="17" xfId="0" applyFont="1" applyFill="1" applyBorder="1" applyAlignment="1" applyProtection="1">
      <alignment horizontal="center" vertical="center"/>
      <protection locked="0"/>
    </xf>
    <xf numFmtId="0" fontId="2" fillId="0" borderId="17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165" fontId="1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Protection="1">
      <protection locked="0"/>
    </xf>
    <xf numFmtId="0" fontId="1" fillId="0" borderId="20" xfId="0" applyFont="1" applyFill="1" applyBorder="1" applyAlignment="1" applyProtection="1">
      <alignment vertical="center"/>
      <protection locked="0"/>
    </xf>
    <xf numFmtId="0" fontId="1" fillId="5" borderId="0" xfId="0" applyFont="1" applyFill="1" applyBorder="1" applyAlignment="1" applyProtection="1">
      <alignment vertical="center"/>
      <protection locked="0"/>
    </xf>
    <xf numFmtId="165" fontId="1" fillId="0" borderId="0" xfId="0" applyNumberFormat="1" applyFont="1" applyFill="1" applyBorder="1" applyAlignment="1" applyProtection="1">
      <alignment horizontal="center" vertical="center"/>
    </xf>
    <xf numFmtId="0" fontId="1" fillId="0" borderId="21" xfId="0" applyFont="1" applyFill="1" applyBorder="1" applyAlignment="1" applyProtection="1">
      <alignment vertical="center"/>
    </xf>
    <xf numFmtId="0" fontId="1" fillId="5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2" borderId="0" xfId="0" applyFont="1" applyFill="1" applyBorder="1" applyProtection="1"/>
    <xf numFmtId="0" fontId="1" fillId="0" borderId="2" xfId="0" applyFont="1" applyBorder="1" applyAlignment="1" applyProtection="1">
      <protection locked="0"/>
    </xf>
    <xf numFmtId="168" fontId="1" fillId="0" borderId="5" xfId="0" applyNumberFormat="1" applyFont="1" applyBorder="1" applyAlignment="1" applyProtection="1">
      <protection locked="0"/>
    </xf>
    <xf numFmtId="0" fontId="1" fillId="0" borderId="38" xfId="0" applyFont="1" applyFill="1" applyBorder="1" applyAlignment="1" applyProtection="1">
      <alignment vertical="center"/>
      <protection locked="0"/>
    </xf>
    <xf numFmtId="0" fontId="1" fillId="0" borderId="39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Protection="1">
      <protection locked="0"/>
    </xf>
    <xf numFmtId="0" fontId="1" fillId="5" borderId="2" xfId="0" applyFont="1" applyFill="1" applyBorder="1" applyAlignment="1" applyProtection="1">
      <alignment horizontal="center" vertical="center" wrapText="1" readingOrder="1"/>
      <protection locked="0"/>
    </xf>
    <xf numFmtId="0" fontId="1" fillId="5" borderId="2" xfId="0" applyFont="1" applyFill="1" applyBorder="1" applyAlignment="1" applyProtection="1">
      <alignment horizontal="center" vertical="center"/>
      <protection locked="0"/>
    </xf>
    <xf numFmtId="0" fontId="1" fillId="0" borderId="39" xfId="0" applyFont="1" applyFill="1" applyBorder="1" applyAlignment="1" applyProtection="1">
      <alignment horizontal="center" vertical="center" wrapText="1" readingOrder="1"/>
      <protection locked="0"/>
    </xf>
    <xf numFmtId="0" fontId="1" fillId="0" borderId="39" xfId="0" applyFont="1" applyFill="1" applyBorder="1" applyAlignment="1" applyProtection="1">
      <alignment horizontal="center" vertical="center"/>
      <protection locked="0"/>
    </xf>
    <xf numFmtId="0" fontId="1" fillId="0" borderId="38" xfId="0" applyFont="1" applyFill="1" applyBorder="1" applyAlignment="1" applyProtection="1">
      <alignment horizontal="center" vertical="center" wrapText="1" readingOrder="1"/>
      <protection locked="0"/>
    </xf>
    <xf numFmtId="0" fontId="1" fillId="0" borderId="38" xfId="0" applyFont="1" applyFill="1" applyBorder="1" applyAlignment="1" applyProtection="1">
      <alignment horizontal="center" vertical="center"/>
      <protection locked="0"/>
    </xf>
    <xf numFmtId="164" fontId="1" fillId="0" borderId="38" xfId="0" applyNumberFormat="1" applyFont="1" applyFill="1" applyBorder="1" applyAlignment="1" applyProtection="1">
      <alignment horizontal="center" vertical="center"/>
      <protection locked="0"/>
    </xf>
    <xf numFmtId="164" fontId="1" fillId="0" borderId="0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>
      <alignment horizont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37" xfId="0" applyFont="1" applyFill="1" applyBorder="1" applyAlignment="1" applyProtection="1">
      <alignment horizontal="center" vertical="center" wrapText="1" readingOrder="1"/>
      <protection locked="0"/>
    </xf>
    <xf numFmtId="165" fontId="1" fillId="2" borderId="27" xfId="0" applyNumberFormat="1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 wrapText="1" readingOrder="1"/>
      <protection locked="0"/>
    </xf>
    <xf numFmtId="165" fontId="1" fillId="2" borderId="47" xfId="0" applyNumberFormat="1" applyFont="1" applyFill="1" applyBorder="1" applyAlignment="1" applyProtection="1">
      <alignment horizontal="center"/>
      <protection locked="0"/>
    </xf>
    <xf numFmtId="0" fontId="1" fillId="0" borderId="15" xfId="0" applyFont="1" applyFill="1" applyBorder="1" applyAlignment="1" applyProtection="1">
      <protection locked="0"/>
    </xf>
    <xf numFmtId="0" fontId="1" fillId="0" borderId="15" xfId="0" applyFont="1" applyFill="1" applyBorder="1" applyAlignment="1" applyProtection="1">
      <alignment horizontal="center" vertical="center"/>
      <protection locked="0"/>
    </xf>
    <xf numFmtId="0" fontId="1" fillId="2" borderId="29" xfId="0" applyFont="1" applyFill="1" applyBorder="1" applyAlignment="1" applyProtection="1">
      <alignment vertical="center"/>
      <protection locked="0"/>
    </xf>
    <xf numFmtId="0" fontId="1" fillId="3" borderId="0" xfId="0" applyFont="1" applyFill="1" applyBorder="1" applyProtection="1"/>
    <xf numFmtId="0" fontId="1" fillId="4" borderId="0" xfId="0" applyFont="1" applyFill="1" applyBorder="1" applyProtection="1"/>
    <xf numFmtId="165" fontId="1" fillId="3" borderId="0" xfId="0" applyNumberFormat="1" applyFont="1" applyFill="1" applyBorder="1" applyAlignment="1" applyProtection="1">
      <alignment horizontal="center" vertical="center"/>
    </xf>
    <xf numFmtId="165" fontId="1" fillId="5" borderId="0" xfId="0" applyNumberFormat="1" applyFont="1" applyFill="1" applyBorder="1" applyAlignment="1" applyProtection="1">
      <alignment horizontal="center" vertical="center"/>
    </xf>
    <xf numFmtId="0" fontId="2" fillId="2" borderId="0" xfId="0" applyFont="1" applyFill="1" applyBorder="1" applyProtection="1"/>
    <xf numFmtId="0" fontId="2" fillId="2" borderId="0" xfId="0" applyFont="1" applyFill="1" applyBorder="1" applyAlignment="1" applyProtection="1">
      <alignment horizontal="right"/>
    </xf>
    <xf numFmtId="0" fontId="1" fillId="0" borderId="0" xfId="0" applyFont="1" applyBorder="1" applyAlignment="1" applyProtection="1"/>
    <xf numFmtId="0" fontId="2" fillId="2" borderId="0" xfId="0" applyFont="1" applyFill="1" applyBorder="1" applyAlignment="1" applyProtection="1"/>
    <xf numFmtId="168" fontId="1" fillId="0" borderId="0" xfId="0" applyNumberFormat="1" applyFont="1" applyBorder="1" applyAlignment="1" applyProtection="1"/>
    <xf numFmtId="0" fontId="2" fillId="2" borderId="2" xfId="0" applyFont="1" applyFill="1" applyBorder="1" applyProtection="1"/>
    <xf numFmtId="0" fontId="2" fillId="2" borderId="2" xfId="0" applyFont="1" applyFill="1" applyBorder="1" applyAlignment="1" applyProtection="1">
      <alignment wrapText="1"/>
    </xf>
    <xf numFmtId="0" fontId="3" fillId="2" borderId="0" xfId="0" applyFont="1" applyFill="1" applyBorder="1" applyAlignment="1" applyProtection="1">
      <alignment horizontal="left" vertical="center" wrapText="1" readingOrder="1"/>
    </xf>
    <xf numFmtId="0" fontId="2" fillId="2" borderId="0" xfId="0" applyFont="1" applyFill="1" applyBorder="1" applyAlignment="1" applyProtection="1">
      <alignment wrapText="1"/>
    </xf>
    <xf numFmtId="165" fontId="3" fillId="2" borderId="0" xfId="0" applyNumberFormat="1" applyFont="1" applyFill="1" applyBorder="1" applyAlignment="1" applyProtection="1">
      <alignment horizontal="center" vertical="center" wrapText="1" readingOrder="1"/>
    </xf>
    <xf numFmtId="0" fontId="3" fillId="2" borderId="0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left" vertical="center" wrapText="1" readingOrder="1"/>
    </xf>
    <xf numFmtId="0" fontId="2" fillId="2" borderId="2" xfId="0" applyFont="1" applyFill="1" applyBorder="1" applyAlignment="1" applyProtection="1">
      <alignment vertical="center" wrapText="1"/>
    </xf>
    <xf numFmtId="165" fontId="2" fillId="2" borderId="2" xfId="0" applyNumberFormat="1" applyFont="1" applyFill="1" applyBorder="1" applyAlignment="1" applyProtection="1">
      <alignment horizontal="center" vertical="center" wrapText="1" readingOrder="1"/>
    </xf>
    <xf numFmtId="0" fontId="1" fillId="2" borderId="2" xfId="0" applyFont="1" applyFill="1" applyBorder="1" applyProtection="1"/>
    <xf numFmtId="164" fontId="2" fillId="2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 readingOrder="1"/>
    </xf>
    <xf numFmtId="0" fontId="3" fillId="2" borderId="0" xfId="0" applyFont="1" applyFill="1" applyBorder="1" applyAlignment="1" applyProtection="1">
      <alignment horizontal="center" vertical="center" wrapText="1" readingOrder="1"/>
    </xf>
    <xf numFmtId="0" fontId="3" fillId="2" borderId="2" xfId="0" applyFont="1" applyFill="1" applyBorder="1" applyAlignment="1" applyProtection="1">
      <alignment horizontal="center" vertical="center" wrapText="1"/>
    </xf>
    <xf numFmtId="167" fontId="3" fillId="2" borderId="2" xfId="0" applyNumberFormat="1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left" wrapText="1" readingOrder="1"/>
    </xf>
    <xf numFmtId="0" fontId="2" fillId="4" borderId="5" xfId="0" applyFont="1" applyFill="1" applyBorder="1" applyAlignment="1" applyProtection="1">
      <alignment wrapText="1"/>
    </xf>
    <xf numFmtId="0" fontId="1" fillId="4" borderId="5" xfId="0" applyFont="1" applyFill="1" applyBorder="1" applyAlignment="1" applyProtection="1">
      <alignment horizontal="center" vertical="center" wrapText="1" readingOrder="1"/>
    </xf>
    <xf numFmtId="165" fontId="2" fillId="4" borderId="5" xfId="0" applyNumberFormat="1" applyFont="1" applyFill="1" applyBorder="1" applyAlignment="1" applyProtection="1">
      <alignment horizontal="center" wrapText="1" readingOrder="1"/>
    </xf>
    <xf numFmtId="0" fontId="1" fillId="4" borderId="5" xfId="0" applyFont="1" applyFill="1" applyBorder="1" applyAlignment="1" applyProtection="1">
      <alignment horizontal="center" vertical="center"/>
    </xf>
    <xf numFmtId="164" fontId="2" fillId="4" borderId="5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/>
    <xf numFmtId="0" fontId="9" fillId="0" borderId="14" xfId="0" applyFont="1" applyFill="1" applyBorder="1" applyAlignment="1" applyProtection="1"/>
    <xf numFmtId="0" fontId="9" fillId="0" borderId="15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 vertical="center" wrapText="1" readingOrder="1"/>
    </xf>
    <xf numFmtId="165" fontId="12" fillId="0" borderId="0" xfId="0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0" fontId="2" fillId="5" borderId="0" xfId="0" applyFont="1" applyFill="1" applyBorder="1" applyProtection="1"/>
    <xf numFmtId="164" fontId="1" fillId="5" borderId="0" xfId="0" applyNumberFormat="1" applyFont="1" applyFill="1" applyBorder="1" applyAlignment="1" applyProtection="1">
      <alignment horizontal="center"/>
    </xf>
    <xf numFmtId="0" fontId="2" fillId="0" borderId="0" xfId="0" applyFont="1" applyFill="1" applyBorder="1" applyProtection="1"/>
    <xf numFmtId="165" fontId="1" fillId="0" borderId="0" xfId="0" applyNumberFormat="1" applyFont="1" applyFill="1" applyBorder="1" applyAlignment="1" applyProtection="1">
      <alignment horizontal="center"/>
    </xf>
    <xf numFmtId="167" fontId="1" fillId="0" borderId="0" xfId="0" applyNumberFormat="1" applyFont="1" applyFill="1" applyBorder="1" applyAlignment="1" applyProtection="1">
      <alignment horizontal="center"/>
    </xf>
    <xf numFmtId="164" fontId="1" fillId="0" borderId="0" xfId="0" applyNumberFormat="1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/>
    <xf numFmtId="0" fontId="1" fillId="0" borderId="15" xfId="0" applyFont="1" applyFill="1" applyBorder="1" applyAlignment="1" applyProtection="1"/>
    <xf numFmtId="164" fontId="1" fillId="0" borderId="15" xfId="0" applyNumberFormat="1" applyFont="1" applyFill="1" applyBorder="1" applyAlignment="1" applyProtection="1">
      <alignment horizontal="center"/>
    </xf>
    <xf numFmtId="0" fontId="1" fillId="0" borderId="16" xfId="0" applyFont="1" applyFill="1" applyBorder="1" applyAlignment="1" applyProtection="1"/>
    <xf numFmtId="0" fontId="1" fillId="0" borderId="17" xfId="0" applyFont="1" applyFill="1" applyBorder="1" applyAlignment="1" applyProtection="1"/>
    <xf numFmtId="164" fontId="1" fillId="0" borderId="17" xfId="0" applyNumberFormat="1" applyFont="1" applyFill="1" applyBorder="1" applyAlignment="1" applyProtection="1">
      <alignment horizontal="center"/>
    </xf>
    <xf numFmtId="0" fontId="1" fillId="0" borderId="18" xfId="0" applyFont="1" applyFill="1" applyBorder="1" applyAlignment="1" applyProtection="1"/>
    <xf numFmtId="0" fontId="1" fillId="0" borderId="19" xfId="0" applyFont="1" applyFill="1" applyBorder="1" applyAlignment="1" applyProtection="1"/>
    <xf numFmtId="165" fontId="1" fillId="0" borderId="2" xfId="0" applyNumberFormat="1" applyFont="1" applyFill="1" applyBorder="1" applyAlignment="1" applyProtection="1">
      <alignment horizontal="center"/>
    </xf>
    <xf numFmtId="164" fontId="1" fillId="0" borderId="2" xfId="0" applyNumberFormat="1" applyFont="1" applyFill="1" applyBorder="1" applyAlignment="1" applyProtection="1">
      <alignment horizontal="center"/>
    </xf>
    <xf numFmtId="0" fontId="1" fillId="4" borderId="2" xfId="0" applyFont="1" applyFill="1" applyBorder="1" applyAlignment="1" applyProtection="1"/>
    <xf numFmtId="0" fontId="2" fillId="4" borderId="2" xfId="0" applyFont="1" applyFill="1" applyBorder="1" applyAlignment="1" applyProtection="1">
      <alignment wrapText="1"/>
    </xf>
    <xf numFmtId="165" fontId="1" fillId="4" borderId="5" xfId="0" applyNumberFormat="1" applyFont="1" applyFill="1" applyBorder="1" applyAlignment="1" applyProtection="1">
      <alignment horizontal="center"/>
    </xf>
    <xf numFmtId="164" fontId="1" fillId="4" borderId="2" xfId="0" applyNumberFormat="1" applyFont="1" applyFill="1" applyBorder="1" applyAlignment="1" applyProtection="1">
      <alignment horizontal="center"/>
    </xf>
    <xf numFmtId="164" fontId="1" fillId="2" borderId="0" xfId="0" applyNumberFormat="1" applyFont="1" applyFill="1" applyBorder="1" applyAlignment="1" applyProtection="1">
      <alignment horizontal="center"/>
    </xf>
    <xf numFmtId="0" fontId="1" fillId="2" borderId="25" xfId="0" applyFont="1" applyFill="1" applyBorder="1" applyAlignment="1" applyProtection="1"/>
    <xf numFmtId="0" fontId="1" fillId="2" borderId="14" xfId="0" applyFont="1" applyFill="1" applyBorder="1" applyAlignment="1" applyProtection="1"/>
    <xf numFmtId="165" fontId="1" fillId="2" borderId="27" xfId="0" applyNumberFormat="1" applyFont="1" applyFill="1" applyBorder="1" applyAlignment="1" applyProtection="1">
      <alignment horizontal="center"/>
    </xf>
    <xf numFmtId="0" fontId="1" fillId="2" borderId="15" xfId="0" applyFont="1" applyFill="1" applyBorder="1" applyAlignment="1" applyProtection="1"/>
    <xf numFmtId="164" fontId="1" fillId="2" borderId="29" xfId="0" applyNumberFormat="1" applyFont="1" applyFill="1" applyBorder="1" applyAlignment="1" applyProtection="1">
      <alignment horizontal="center"/>
    </xf>
    <xf numFmtId="165" fontId="1" fillId="2" borderId="14" xfId="0" applyNumberFormat="1" applyFont="1" applyFill="1" applyBorder="1" applyAlignment="1" applyProtection="1">
      <alignment horizontal="center"/>
    </xf>
    <xf numFmtId="165" fontId="1" fillId="2" borderId="15" xfId="0" applyNumberFormat="1" applyFont="1" applyFill="1" applyBorder="1" applyAlignment="1" applyProtection="1">
      <alignment horizontal="center"/>
    </xf>
    <xf numFmtId="0" fontId="2" fillId="2" borderId="15" xfId="0" applyFont="1" applyFill="1" applyBorder="1" applyProtection="1"/>
    <xf numFmtId="164" fontId="1" fillId="2" borderId="15" xfId="0" applyNumberFormat="1" applyFont="1" applyFill="1" applyBorder="1" applyAlignment="1" applyProtection="1">
      <alignment horizontal="center"/>
    </xf>
    <xf numFmtId="0" fontId="1" fillId="2" borderId="26" xfId="0" applyFont="1" applyFill="1" applyBorder="1" applyAlignment="1" applyProtection="1">
      <alignment vertical="top"/>
    </xf>
    <xf numFmtId="0" fontId="1" fillId="2" borderId="16" xfId="0" applyFont="1" applyFill="1" applyBorder="1" applyAlignment="1" applyProtection="1">
      <alignment vertical="top" wrapText="1"/>
    </xf>
    <xf numFmtId="165" fontId="1" fillId="2" borderId="22" xfId="0" applyNumberFormat="1" applyFont="1" applyFill="1" applyBorder="1" applyAlignment="1" applyProtection="1">
      <alignment horizontal="center" vertical="top"/>
    </xf>
    <xf numFmtId="0" fontId="1" fillId="2" borderId="16" xfId="0" applyFont="1" applyFill="1" applyBorder="1" applyAlignment="1" applyProtection="1">
      <alignment vertical="top"/>
    </xf>
    <xf numFmtId="0" fontId="1" fillId="2" borderId="17" xfId="0" applyFont="1" applyFill="1" applyBorder="1" applyAlignment="1" applyProtection="1">
      <alignment vertical="top"/>
    </xf>
    <xf numFmtId="164" fontId="1" fillId="2" borderId="17" xfId="0" applyNumberFormat="1" applyFont="1" applyFill="1" applyBorder="1" applyAlignment="1" applyProtection="1">
      <alignment horizontal="center" vertical="top"/>
    </xf>
    <xf numFmtId="0" fontId="2" fillId="2" borderId="0" xfId="0" applyFont="1" applyFill="1" applyBorder="1" applyAlignment="1" applyProtection="1">
      <alignment vertical="top"/>
    </xf>
    <xf numFmtId="165" fontId="1" fillId="2" borderId="16" xfId="0" applyNumberFormat="1" applyFont="1" applyFill="1" applyBorder="1" applyAlignment="1" applyProtection="1">
      <alignment horizontal="center" vertical="top"/>
    </xf>
    <xf numFmtId="165" fontId="1" fillId="2" borderId="17" xfId="0" applyNumberFormat="1" applyFont="1" applyFill="1" applyBorder="1" applyAlignment="1" applyProtection="1">
      <alignment horizontal="center" vertical="top"/>
    </xf>
    <xf numFmtId="0" fontId="2" fillId="2" borderId="17" xfId="0" applyFont="1" applyFill="1" applyBorder="1" applyAlignment="1" applyProtection="1">
      <alignment vertical="top"/>
    </xf>
    <xf numFmtId="0" fontId="9" fillId="2" borderId="26" xfId="0" applyFont="1" applyFill="1" applyBorder="1" applyAlignment="1" applyProtection="1"/>
    <xf numFmtId="0" fontId="9" fillId="2" borderId="16" xfId="0" applyFont="1" applyFill="1" applyBorder="1" applyAlignment="1" applyProtection="1"/>
    <xf numFmtId="165" fontId="12" fillId="2" borderId="22" xfId="0" applyNumberFormat="1" applyFont="1" applyFill="1" applyBorder="1" applyAlignment="1" applyProtection="1">
      <alignment horizontal="center"/>
    </xf>
    <xf numFmtId="165" fontId="1" fillId="2" borderId="16" xfId="0" applyNumberFormat="1" applyFont="1" applyFill="1" applyBorder="1" applyAlignment="1" applyProtection="1">
      <alignment horizontal="center"/>
    </xf>
    <xf numFmtId="165" fontId="1" fillId="2" borderId="17" xfId="0" applyNumberFormat="1" applyFont="1" applyFill="1" applyBorder="1" applyAlignment="1" applyProtection="1">
      <alignment horizontal="center"/>
    </xf>
    <xf numFmtId="167" fontId="1" fillId="2" borderId="17" xfId="0" applyNumberFormat="1" applyFont="1" applyFill="1" applyBorder="1" applyAlignment="1" applyProtection="1">
      <alignment horizontal="center"/>
    </xf>
    <xf numFmtId="0" fontId="2" fillId="2" borderId="17" xfId="0" applyFont="1" applyFill="1" applyBorder="1" applyProtection="1"/>
    <xf numFmtId="164" fontId="1" fillId="2" borderId="17" xfId="0" applyNumberFormat="1" applyFont="1" applyFill="1" applyBorder="1" applyAlignment="1" applyProtection="1">
      <alignment horizontal="center"/>
    </xf>
    <xf numFmtId="0" fontId="1" fillId="2" borderId="26" xfId="0" applyFont="1" applyFill="1" applyBorder="1" applyAlignment="1" applyProtection="1"/>
    <xf numFmtId="0" fontId="1" fillId="2" borderId="16" xfId="0" applyFont="1" applyFill="1" applyBorder="1" applyAlignment="1" applyProtection="1"/>
    <xf numFmtId="165" fontId="1" fillId="2" borderId="22" xfId="0" applyNumberFormat="1" applyFont="1" applyFill="1" applyBorder="1" applyAlignment="1" applyProtection="1">
      <alignment horizontal="center"/>
    </xf>
    <xf numFmtId="0" fontId="1" fillId="2" borderId="17" xfId="0" applyFont="1" applyFill="1" applyBorder="1" applyAlignment="1" applyProtection="1"/>
    <xf numFmtId="0" fontId="1" fillId="2" borderId="38" xfId="0" applyFont="1" applyFill="1" applyBorder="1" applyAlignment="1" applyProtection="1"/>
    <xf numFmtId="165" fontId="1" fillId="2" borderId="31" xfId="0" applyNumberFormat="1" applyFont="1" applyFill="1" applyBorder="1" applyAlignment="1" applyProtection="1">
      <alignment horizontal="center"/>
    </xf>
    <xf numFmtId="0" fontId="1" fillId="5" borderId="0" xfId="0" applyFont="1" applyFill="1" applyBorder="1" applyAlignment="1" applyProtection="1"/>
    <xf numFmtId="164" fontId="1" fillId="0" borderId="21" xfId="0" applyNumberFormat="1" applyFont="1" applyFill="1" applyBorder="1" applyAlignment="1" applyProtection="1">
      <alignment horizontal="center"/>
    </xf>
    <xf numFmtId="165" fontId="1" fillId="2" borderId="20" xfId="0" applyNumberFormat="1" applyFont="1" applyFill="1" applyBorder="1" applyAlignment="1" applyProtection="1">
      <alignment horizontal="center"/>
    </xf>
    <xf numFmtId="165" fontId="1" fillId="2" borderId="21" xfId="0" applyNumberFormat="1" applyFont="1" applyFill="1" applyBorder="1" applyAlignment="1" applyProtection="1">
      <alignment horizontal="center"/>
    </xf>
    <xf numFmtId="0" fontId="2" fillId="2" borderId="21" xfId="0" applyFont="1" applyFill="1" applyBorder="1" applyProtection="1"/>
    <xf numFmtId="164" fontId="1" fillId="2" borderId="21" xfId="0" applyNumberFormat="1" applyFont="1" applyFill="1" applyBorder="1" applyAlignment="1" applyProtection="1">
      <alignment horizontal="center"/>
    </xf>
    <xf numFmtId="0" fontId="4" fillId="4" borderId="5" xfId="0" applyFont="1" applyFill="1" applyBorder="1" applyAlignment="1" applyProtection="1">
      <alignment horizontal="left" vertical="center" wrapText="1" readingOrder="1"/>
    </xf>
    <xf numFmtId="0" fontId="2" fillId="4" borderId="5" xfId="0" applyFont="1" applyFill="1" applyBorder="1" applyAlignment="1" applyProtection="1">
      <alignment vertical="center"/>
    </xf>
    <xf numFmtId="165" fontId="2" fillId="4" borderId="5" xfId="0" applyNumberFormat="1" applyFont="1" applyFill="1" applyBorder="1" applyAlignment="1" applyProtection="1">
      <alignment horizontal="center" vertical="center" wrapText="1" readingOrder="1"/>
    </xf>
    <xf numFmtId="164" fontId="2" fillId="4" borderId="5" xfId="0" applyNumberFormat="1" applyFont="1" applyFill="1" applyBorder="1" applyAlignment="1" applyProtection="1">
      <alignment horizontal="center" vertical="center"/>
    </xf>
    <xf numFmtId="0" fontId="2" fillId="4" borderId="0" xfId="0" applyFont="1" applyFill="1" applyBorder="1" applyAlignment="1" applyProtection="1">
      <alignment vertical="center"/>
    </xf>
    <xf numFmtId="165" fontId="2" fillId="4" borderId="0" xfId="0" applyNumberFormat="1" applyFont="1" applyFill="1" applyBorder="1" applyAlignment="1" applyProtection="1">
      <alignment horizontal="center" vertical="center" wrapText="1" readingOrder="1"/>
    </xf>
    <xf numFmtId="164" fontId="2" fillId="4" borderId="0" xfId="0" applyNumberFormat="1" applyFont="1" applyFill="1" applyBorder="1" applyAlignment="1" applyProtection="1">
      <alignment horizontal="center" vertical="center"/>
    </xf>
    <xf numFmtId="167" fontId="2" fillId="4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 readingOrder="1"/>
    </xf>
    <xf numFmtId="0" fontId="2" fillId="0" borderId="0" xfId="0" applyFont="1" applyFill="1" applyBorder="1" applyAlignment="1" applyProtection="1">
      <alignment vertical="center"/>
    </xf>
    <xf numFmtId="165" fontId="2" fillId="0" borderId="0" xfId="0" applyNumberFormat="1" applyFont="1" applyFill="1" applyBorder="1" applyAlignment="1" applyProtection="1">
      <alignment horizontal="center" vertical="center" wrapText="1" readingOrder="1"/>
    </xf>
    <xf numFmtId="164" fontId="2" fillId="0" borderId="0" xfId="0" applyNumberFormat="1" applyFont="1" applyFill="1" applyBorder="1" applyAlignment="1" applyProtection="1">
      <alignment horizontal="center" vertical="center"/>
    </xf>
    <xf numFmtId="164" fontId="2" fillId="6" borderId="5" xfId="0" applyNumberFormat="1" applyFont="1" applyFill="1" applyBorder="1" applyAlignment="1" applyProtection="1">
      <alignment horizontal="center" vertical="center"/>
    </xf>
    <xf numFmtId="0" fontId="1" fillId="4" borderId="5" xfId="0" applyFont="1" applyFill="1" applyBorder="1" applyAlignment="1" applyProtection="1"/>
    <xf numFmtId="164" fontId="1" fillId="4" borderId="5" xfId="0" applyNumberFormat="1" applyFont="1" applyFill="1" applyBorder="1" applyAlignment="1" applyProtection="1">
      <alignment horizontal="center"/>
    </xf>
    <xf numFmtId="165" fontId="2" fillId="0" borderId="32" xfId="0" applyNumberFormat="1" applyFont="1" applyFill="1" applyBorder="1" applyAlignment="1" applyProtection="1">
      <alignment horizontal="center" vertical="center" wrapText="1" readingOrder="1"/>
    </xf>
    <xf numFmtId="0" fontId="2" fillId="0" borderId="29" xfId="0" applyFont="1" applyFill="1" applyBorder="1" applyAlignment="1" applyProtection="1">
      <alignment vertical="center"/>
    </xf>
    <xf numFmtId="164" fontId="2" fillId="0" borderId="29" xfId="0" applyNumberFormat="1" applyFont="1" applyFill="1" applyBorder="1" applyAlignment="1" applyProtection="1">
      <alignment horizontal="center" vertical="center"/>
    </xf>
    <xf numFmtId="167" fontId="2" fillId="0" borderId="29" xfId="0" applyNumberFormat="1" applyFont="1" applyFill="1" applyBorder="1" applyAlignment="1" applyProtection="1">
      <alignment horizontal="center" vertical="center"/>
    </xf>
    <xf numFmtId="165" fontId="2" fillId="0" borderId="29" xfId="0" applyNumberFormat="1" applyFont="1" applyFill="1" applyBorder="1" applyAlignment="1" applyProtection="1">
      <alignment horizontal="center" vertical="center" wrapText="1" readingOrder="1"/>
    </xf>
    <xf numFmtId="0" fontId="1" fillId="0" borderId="14" xfId="0" applyFont="1" applyFill="1" applyBorder="1" applyAlignment="1" applyProtection="1">
      <alignment wrapText="1"/>
    </xf>
    <xf numFmtId="165" fontId="1" fillId="0" borderId="15" xfId="0" applyNumberFormat="1" applyFont="1" applyFill="1" applyBorder="1" applyAlignment="1" applyProtection="1">
      <alignment horizontal="center"/>
    </xf>
    <xf numFmtId="0" fontId="1" fillId="0" borderId="15" xfId="0" applyFont="1" applyFill="1" applyBorder="1" applyProtection="1"/>
    <xf numFmtId="0" fontId="1" fillId="0" borderId="15" xfId="0" applyFont="1" applyFill="1" applyBorder="1" applyAlignment="1" applyProtection="1">
      <alignment wrapText="1"/>
    </xf>
    <xf numFmtId="164" fontId="1" fillId="0" borderId="23" xfId="0" applyNumberFormat="1" applyFont="1" applyFill="1" applyBorder="1" applyAlignment="1" applyProtection="1">
      <alignment horizontal="center"/>
    </xf>
    <xf numFmtId="165" fontId="1" fillId="0" borderId="21" xfId="0" applyNumberFormat="1" applyFont="1" applyFill="1" applyBorder="1" applyAlignment="1" applyProtection="1">
      <alignment horizontal="center"/>
    </xf>
    <xf numFmtId="0" fontId="2" fillId="4" borderId="5" xfId="0" applyFont="1" applyFill="1" applyBorder="1" applyAlignment="1" applyProtection="1">
      <alignment wrapText="1" readingOrder="1"/>
    </xf>
    <xf numFmtId="165" fontId="1" fillId="4" borderId="5" xfId="0" applyNumberFormat="1" applyFont="1" applyFill="1" applyBorder="1" applyAlignment="1" applyProtection="1">
      <alignment horizontal="center" wrapText="1" readingOrder="1"/>
    </xf>
    <xf numFmtId="164" fontId="1" fillId="4" borderId="5" xfId="0" applyNumberFormat="1" applyFont="1" applyFill="1" applyBorder="1" applyAlignment="1" applyProtection="1">
      <alignment horizontal="center" readingOrder="1"/>
    </xf>
    <xf numFmtId="0" fontId="2" fillId="2" borderId="16" xfId="0" applyFont="1" applyFill="1" applyBorder="1" applyProtection="1"/>
    <xf numFmtId="165" fontId="1" fillId="2" borderId="29" xfId="0" applyNumberFormat="1" applyFont="1" applyFill="1" applyBorder="1" applyAlignment="1" applyProtection="1">
      <alignment horizontal="center" readingOrder="1"/>
    </xf>
    <xf numFmtId="164" fontId="1" fillId="2" borderId="0" xfId="0" applyNumberFormat="1" applyFont="1" applyFill="1" applyBorder="1" applyAlignment="1" applyProtection="1">
      <alignment horizontal="center" readingOrder="1"/>
    </xf>
    <xf numFmtId="164" fontId="1" fillId="2" borderId="29" xfId="0" applyNumberFormat="1" applyFont="1" applyFill="1" applyBorder="1" applyAlignment="1" applyProtection="1">
      <alignment horizontal="center" readingOrder="1"/>
    </xf>
    <xf numFmtId="164" fontId="1" fillId="2" borderId="17" xfId="0" applyNumberFormat="1" applyFont="1" applyFill="1" applyBorder="1" applyAlignment="1" applyProtection="1">
      <alignment horizontal="center" readingOrder="1"/>
    </xf>
    <xf numFmtId="165" fontId="1" fillId="0" borderId="17" xfId="0" applyNumberFormat="1" applyFont="1" applyFill="1" applyBorder="1" applyAlignment="1" applyProtection="1">
      <alignment horizontal="center" readingOrder="1"/>
    </xf>
    <xf numFmtId="164" fontId="1" fillId="0" borderId="0" xfId="0" applyNumberFormat="1" applyFont="1" applyFill="1" applyBorder="1" applyAlignment="1" applyProtection="1">
      <alignment horizontal="center" readingOrder="1"/>
    </xf>
    <xf numFmtId="164" fontId="1" fillId="0" borderId="17" xfId="0" applyNumberFormat="1" applyFont="1" applyFill="1" applyBorder="1" applyAlignment="1" applyProtection="1">
      <alignment horizontal="center" readingOrder="1"/>
    </xf>
    <xf numFmtId="165" fontId="1" fillId="0" borderId="20" xfId="0" applyNumberFormat="1" applyFont="1" applyFill="1" applyBorder="1" applyAlignment="1" applyProtection="1">
      <alignment horizontal="center"/>
    </xf>
    <xf numFmtId="0" fontId="2" fillId="0" borderId="21" xfId="0" applyFont="1" applyFill="1" applyBorder="1" applyProtection="1"/>
    <xf numFmtId="165" fontId="1" fillId="0" borderId="0" xfId="0" applyNumberFormat="1" applyFont="1" applyFill="1" applyBorder="1" applyAlignment="1" applyProtection="1">
      <alignment horizontal="center" readingOrder="1"/>
    </xf>
    <xf numFmtId="0" fontId="2" fillId="2" borderId="0" xfId="0" applyFont="1" applyFill="1" applyBorder="1" applyAlignment="1" applyProtection="1">
      <alignment readingOrder="1"/>
    </xf>
    <xf numFmtId="165" fontId="2" fillId="2" borderId="0" xfId="0" applyNumberFormat="1" applyFont="1" applyFill="1" applyBorder="1" applyAlignment="1" applyProtection="1">
      <alignment horizontal="center" readingOrder="1"/>
    </xf>
    <xf numFmtId="164" fontId="2" fillId="2" borderId="0" xfId="0" applyNumberFormat="1" applyFont="1" applyFill="1" applyBorder="1" applyAlignment="1" applyProtection="1">
      <alignment horizontal="center" readingOrder="1"/>
    </xf>
    <xf numFmtId="167" fontId="2" fillId="2" borderId="0" xfId="0" applyNumberFormat="1" applyFont="1" applyFill="1" applyBorder="1" applyAlignment="1" applyProtection="1">
      <alignment horizontal="center" readingOrder="1"/>
    </xf>
    <xf numFmtId="165" fontId="2" fillId="2" borderId="2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7" fontId="2" fillId="2" borderId="2" xfId="0" applyNumberFormat="1" applyFont="1" applyFill="1" applyBorder="1" applyProtection="1"/>
    <xf numFmtId="0" fontId="2" fillId="4" borderId="5" xfId="0" applyFont="1" applyFill="1" applyBorder="1" applyProtection="1"/>
    <xf numFmtId="165" fontId="2" fillId="4" borderId="5" xfId="0" applyNumberFormat="1" applyFont="1" applyFill="1" applyBorder="1" applyAlignment="1" applyProtection="1">
      <alignment horizontal="center" readingOrder="1"/>
    </xf>
    <xf numFmtId="164" fontId="2" fillId="4" borderId="5" xfId="0" applyNumberFormat="1" applyFont="1" applyFill="1" applyBorder="1" applyAlignment="1" applyProtection="1">
      <alignment horizontal="center" readingOrder="1"/>
    </xf>
    <xf numFmtId="0" fontId="2" fillId="4" borderId="0" xfId="0" applyFont="1" applyFill="1" applyBorder="1" applyProtection="1"/>
    <xf numFmtId="165" fontId="2" fillId="4" borderId="0" xfId="0" applyNumberFormat="1" applyFont="1" applyFill="1" applyBorder="1" applyAlignment="1" applyProtection="1">
      <alignment horizontal="center" readingOrder="1"/>
    </xf>
    <xf numFmtId="164" fontId="2" fillId="4" borderId="0" xfId="0" applyNumberFormat="1" applyFont="1" applyFill="1" applyBorder="1" applyAlignment="1" applyProtection="1">
      <alignment horizontal="center" readingOrder="1"/>
    </xf>
    <xf numFmtId="167" fontId="2" fillId="4" borderId="0" xfId="0" applyNumberFormat="1" applyFont="1" applyFill="1" applyBorder="1" applyAlignment="1" applyProtection="1">
      <alignment horizontal="center" readingOrder="1"/>
    </xf>
    <xf numFmtId="0" fontId="2" fillId="4" borderId="5" xfId="0" applyFont="1" applyFill="1" applyBorder="1" applyAlignment="1" applyProtection="1">
      <alignment vertical="center" wrapText="1"/>
    </xf>
    <xf numFmtId="165" fontId="2" fillId="4" borderId="5" xfId="0" applyNumberFormat="1" applyFont="1" applyFill="1" applyBorder="1" applyAlignment="1" applyProtection="1">
      <alignment horizontal="center" vertical="center"/>
    </xf>
    <xf numFmtId="167" fontId="2" fillId="2" borderId="0" xfId="0" applyNumberFormat="1" applyFont="1" applyFill="1" applyBorder="1" applyProtection="1"/>
    <xf numFmtId="0" fontId="1" fillId="2" borderId="29" xfId="0" applyFont="1" applyFill="1" applyBorder="1" applyAlignment="1" applyProtection="1">
      <alignment vertical="center"/>
    </xf>
    <xf numFmtId="165" fontId="1" fillId="2" borderId="49" xfId="0" applyNumberFormat="1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vertical="center"/>
    </xf>
    <xf numFmtId="0" fontId="1" fillId="2" borderId="15" xfId="0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horizontal="center" vertical="center"/>
    </xf>
    <xf numFmtId="0" fontId="1" fillId="2" borderId="17" xfId="0" applyFont="1" applyFill="1" applyBorder="1" applyAlignment="1" applyProtection="1">
      <alignment vertical="center"/>
    </xf>
    <xf numFmtId="165" fontId="1" fillId="2" borderId="50" xfId="0" applyNumberFormat="1" applyFont="1" applyFill="1" applyBorder="1" applyAlignment="1" applyProtection="1">
      <alignment horizontal="center" vertical="center"/>
    </xf>
    <xf numFmtId="165" fontId="1" fillId="0" borderId="17" xfId="0" applyNumberFormat="1" applyFont="1" applyFill="1" applyBorder="1" applyAlignment="1" applyProtection="1">
      <alignment horizontal="center" vertical="center"/>
    </xf>
    <xf numFmtId="165" fontId="1" fillId="0" borderId="48" xfId="0" applyNumberFormat="1" applyFont="1" applyFill="1" applyBorder="1" applyAlignment="1" applyProtection="1">
      <alignment horizontal="center" vertical="center"/>
    </xf>
    <xf numFmtId="0" fontId="1" fillId="0" borderId="16" xfId="0" applyFont="1" applyFill="1" applyBorder="1" applyAlignment="1" applyProtection="1">
      <alignment vertical="center"/>
    </xf>
    <xf numFmtId="0" fontId="1" fillId="0" borderId="17" xfId="0" applyFont="1" applyFill="1" applyBorder="1" applyAlignment="1" applyProtection="1">
      <alignment vertical="center"/>
    </xf>
    <xf numFmtId="0" fontId="1" fillId="0" borderId="16" xfId="0" applyFont="1" applyFill="1" applyBorder="1" applyAlignment="1" applyProtection="1">
      <alignment vertical="top"/>
    </xf>
    <xf numFmtId="0" fontId="1" fillId="0" borderId="17" xfId="0" applyFont="1" applyFill="1" applyBorder="1" applyAlignment="1" applyProtection="1">
      <alignment vertical="top" wrapText="1"/>
    </xf>
    <xf numFmtId="164" fontId="1" fillId="0" borderId="0" xfId="0" applyNumberFormat="1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>
      <alignment vertical="top"/>
    </xf>
    <xf numFmtId="165" fontId="1" fillId="0" borderId="0" xfId="0" applyNumberFormat="1" applyFont="1" applyFill="1" applyBorder="1" applyAlignment="1" applyProtection="1">
      <alignment horizontal="center" vertical="top"/>
    </xf>
    <xf numFmtId="167" fontId="1" fillId="0" borderId="0" xfId="0" applyNumberFormat="1" applyFont="1" applyFill="1" applyBorder="1" applyAlignment="1" applyProtection="1">
      <alignment horizontal="center" vertical="top"/>
    </xf>
    <xf numFmtId="164" fontId="1" fillId="5" borderId="0" xfId="0" applyNumberFormat="1" applyFont="1" applyFill="1" applyBorder="1" applyAlignment="1" applyProtection="1">
      <alignment horizontal="center" vertical="center"/>
    </xf>
    <xf numFmtId="0" fontId="1" fillId="0" borderId="17" xfId="0" applyFont="1" applyFill="1" applyBorder="1" applyAlignment="1" applyProtection="1">
      <alignment vertical="top"/>
    </xf>
    <xf numFmtId="165" fontId="1" fillId="0" borderId="17" xfId="0" applyNumberFormat="1" applyFont="1" applyFill="1" applyBorder="1" applyAlignment="1" applyProtection="1">
      <alignment horizontal="center"/>
    </xf>
    <xf numFmtId="0" fontId="2" fillId="0" borderId="17" xfId="0" applyFont="1" applyFill="1" applyBorder="1" applyProtection="1"/>
    <xf numFmtId="164" fontId="1" fillId="2" borderId="36" xfId="0" applyNumberFormat="1" applyFont="1" applyFill="1" applyBorder="1" applyAlignment="1" applyProtection="1">
      <alignment horizontal="center" vertical="center"/>
    </xf>
    <xf numFmtId="0" fontId="1" fillId="5" borderId="0" xfId="0" applyFont="1" applyFill="1" applyBorder="1" applyAlignment="1" applyProtection="1">
      <alignment vertical="center" wrapText="1"/>
    </xf>
    <xf numFmtId="165" fontId="1" fillId="5" borderId="0" xfId="0" applyNumberFormat="1" applyFont="1" applyFill="1" applyBorder="1" applyAlignment="1" applyProtection="1">
      <alignment horizontal="center"/>
    </xf>
    <xf numFmtId="167" fontId="1" fillId="5" borderId="0" xfId="0" applyNumberFormat="1" applyFont="1" applyFill="1" applyBorder="1" applyAlignment="1" applyProtection="1">
      <alignment horizontal="center"/>
    </xf>
    <xf numFmtId="0" fontId="1" fillId="5" borderId="2" xfId="0" applyFont="1" applyFill="1" applyBorder="1" applyAlignment="1" applyProtection="1">
      <alignment vertical="center"/>
    </xf>
    <xf numFmtId="0" fontId="1" fillId="5" borderId="2" xfId="0" applyFont="1" applyFill="1" applyBorder="1" applyAlignment="1" applyProtection="1">
      <alignment horizontal="center" vertical="center" wrapText="1" readingOrder="1"/>
    </xf>
    <xf numFmtId="0" fontId="1" fillId="5" borderId="2" xfId="0" applyFont="1" applyFill="1" applyBorder="1" applyAlignment="1" applyProtection="1">
      <alignment horizontal="center" vertical="center"/>
    </xf>
    <xf numFmtId="165" fontId="1" fillId="5" borderId="2" xfId="0" applyNumberFormat="1" applyFont="1" applyFill="1" applyBorder="1" applyAlignment="1" applyProtection="1">
      <alignment horizontal="center" vertical="center"/>
    </xf>
    <xf numFmtId="0" fontId="1" fillId="5" borderId="2" xfId="0" applyFont="1" applyFill="1" applyBorder="1" applyAlignment="1" applyProtection="1">
      <alignment vertical="center" wrapText="1"/>
    </xf>
    <xf numFmtId="164" fontId="1" fillId="5" borderId="2" xfId="0" applyNumberFormat="1" applyFont="1" applyFill="1" applyBorder="1" applyAlignment="1" applyProtection="1">
      <alignment horizontal="center" vertical="center"/>
    </xf>
    <xf numFmtId="0" fontId="2" fillId="0" borderId="38" xfId="0" applyFont="1" applyFill="1" applyBorder="1" applyProtection="1"/>
    <xf numFmtId="165" fontId="1" fillId="0" borderId="16" xfId="0" applyNumberFormat="1" applyFont="1" applyFill="1" applyBorder="1" applyAlignment="1" applyProtection="1">
      <alignment horizontal="center"/>
    </xf>
    <xf numFmtId="0" fontId="2" fillId="0" borderId="39" xfId="0" applyFont="1" applyFill="1" applyBorder="1" applyProtection="1"/>
    <xf numFmtId="0" fontId="1" fillId="2" borderId="0" xfId="0" applyFont="1" applyFill="1" applyBorder="1" applyAlignment="1" applyProtection="1">
      <alignment horizontal="center"/>
    </xf>
    <xf numFmtId="165" fontId="1" fillId="2" borderId="0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164" fontId="1" fillId="2" borderId="0" xfId="0" applyNumberFormat="1" applyFont="1" applyFill="1" applyBorder="1" applyAlignment="1" applyProtection="1">
      <alignment horizontal="center" vertical="center"/>
    </xf>
    <xf numFmtId="0" fontId="2" fillId="2" borderId="3" xfId="0" applyFont="1" applyFill="1" applyBorder="1" applyProtection="1"/>
    <xf numFmtId="0" fontId="2" fillId="2" borderId="3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2" fillId="4" borderId="7" xfId="0" applyFont="1" applyFill="1" applyBorder="1" applyProtection="1"/>
    <xf numFmtId="0" fontId="2" fillId="4" borderId="7" xfId="0" applyFont="1" applyFill="1" applyBorder="1" applyAlignment="1" applyProtection="1">
      <alignment horizontal="center"/>
    </xf>
    <xf numFmtId="0" fontId="2" fillId="5" borderId="2" xfId="0" applyFont="1" applyFill="1" applyBorder="1" applyAlignment="1" applyProtection="1">
      <alignment horizontal="left" vertical="center" wrapText="1" readingOrder="1"/>
    </xf>
    <xf numFmtId="0" fontId="2" fillId="5" borderId="2" xfId="0" applyFont="1" applyFill="1" applyBorder="1" applyProtection="1"/>
    <xf numFmtId="165" fontId="2" fillId="5" borderId="2" xfId="0" applyNumberFormat="1" applyFont="1" applyFill="1" applyBorder="1" applyAlignment="1" applyProtection="1">
      <alignment horizontal="center" vertical="center" wrapText="1" readingOrder="1"/>
    </xf>
    <xf numFmtId="164" fontId="2" fillId="5" borderId="2" xfId="0" applyNumberFormat="1" applyFont="1" applyFill="1" applyBorder="1" applyAlignment="1" applyProtection="1">
      <alignment horizontal="center" vertical="center" wrapText="1"/>
    </xf>
    <xf numFmtId="0" fontId="1" fillId="3" borderId="0" xfId="0" applyFont="1" applyFill="1" applyBorder="1" applyAlignment="1" applyProtection="1">
      <alignment horizontal="center"/>
    </xf>
    <xf numFmtId="0" fontId="2" fillId="3" borderId="0" xfId="0" applyFont="1" applyFill="1" applyBorder="1" applyProtection="1"/>
    <xf numFmtId="164" fontId="1" fillId="3" borderId="0" xfId="0" applyNumberFormat="1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 vertical="center"/>
    </xf>
    <xf numFmtId="165" fontId="1" fillId="2" borderId="0" xfId="0" applyNumberFormat="1" applyFont="1" applyFill="1" applyBorder="1" applyAlignment="1" applyProtection="1">
      <alignment horizontal="center"/>
    </xf>
    <xf numFmtId="167" fontId="1" fillId="2" borderId="0" xfId="0" applyNumberFormat="1" applyFont="1" applyFill="1" applyBorder="1" applyAlignment="1" applyProtection="1">
      <alignment horizontal="center"/>
    </xf>
    <xf numFmtId="0" fontId="1" fillId="3" borderId="2" xfId="0" applyFont="1" applyFill="1" applyBorder="1" applyProtection="1"/>
    <xf numFmtId="0" fontId="1" fillId="3" borderId="2" xfId="0" applyFont="1" applyFill="1" applyBorder="1" applyAlignment="1" applyProtection="1">
      <alignment horizontal="center"/>
    </xf>
    <xf numFmtId="0" fontId="2" fillId="3" borderId="2" xfId="0" applyFont="1" applyFill="1" applyBorder="1" applyProtection="1"/>
    <xf numFmtId="165" fontId="1" fillId="3" borderId="2" xfId="0" applyNumberFormat="1" applyFont="1" applyFill="1" applyBorder="1" applyAlignment="1" applyProtection="1">
      <alignment horizontal="center" vertical="center"/>
    </xf>
    <xf numFmtId="167" fontId="1" fillId="2" borderId="3" xfId="0" applyNumberFormat="1" applyFont="1" applyFill="1" applyBorder="1" applyAlignment="1" applyProtection="1">
      <alignment horizontal="center"/>
    </xf>
    <xf numFmtId="164" fontId="1" fillId="3" borderId="2" xfId="0" applyNumberFormat="1" applyFont="1" applyFill="1" applyBorder="1" applyAlignment="1" applyProtection="1">
      <alignment horizontal="center" vertical="center"/>
    </xf>
    <xf numFmtId="0" fontId="1" fillId="2" borderId="0" xfId="0" quotePrefix="1" applyFont="1" applyFill="1" applyBorder="1" applyProtection="1"/>
    <xf numFmtId="0" fontId="1" fillId="2" borderId="13" xfId="0" applyFont="1" applyFill="1" applyBorder="1" applyAlignment="1" applyProtection="1">
      <alignment horizontal="center"/>
    </xf>
    <xf numFmtId="0" fontId="2" fillId="2" borderId="13" xfId="0" applyFont="1" applyFill="1" applyBorder="1" applyProtection="1"/>
    <xf numFmtId="164" fontId="1" fillId="2" borderId="13" xfId="0" applyNumberFormat="1" applyFont="1" applyFill="1" applyBorder="1" applyAlignment="1" applyProtection="1">
      <alignment horizontal="center" vertical="center"/>
    </xf>
    <xf numFmtId="0" fontId="2" fillId="5" borderId="2" xfId="0" applyFont="1" applyFill="1" applyBorder="1" applyAlignment="1" applyProtection="1">
      <alignment horizontal="center"/>
    </xf>
    <xf numFmtId="0" fontId="2" fillId="2" borderId="0" xfId="0" quotePrefix="1" applyFont="1" applyFill="1" applyBorder="1" applyProtection="1"/>
    <xf numFmtId="167" fontId="2" fillId="5" borderId="2" xfId="0" applyNumberFormat="1" applyFont="1" applyFill="1" applyBorder="1" applyProtection="1"/>
    <xf numFmtId="165" fontId="1" fillId="2" borderId="13" xfId="0" applyNumberFormat="1" applyFont="1" applyFill="1" applyBorder="1" applyAlignment="1" applyProtection="1">
      <alignment horizontal="center" vertical="center"/>
    </xf>
    <xf numFmtId="0" fontId="2" fillId="0" borderId="0" xfId="0" applyFont="1" applyBorder="1" applyProtection="1"/>
    <xf numFmtId="0" fontId="2" fillId="0" borderId="0" xfId="0" applyFont="1" applyBorder="1" applyAlignment="1" applyProtection="1">
      <alignment horizontal="center"/>
    </xf>
    <xf numFmtId="167" fontId="2" fillId="0" borderId="0" xfId="0" applyNumberFormat="1" applyFont="1" applyBorder="1" applyProtection="1"/>
    <xf numFmtId="0" fontId="7" fillId="0" borderId="0" xfId="0" applyFont="1" applyBorder="1" applyProtection="1"/>
    <xf numFmtId="0" fontId="1" fillId="0" borderId="0" xfId="0" applyFont="1" applyBorder="1" applyAlignment="1" applyProtection="1">
      <alignment horizontal="center"/>
    </xf>
    <xf numFmtId="0" fontId="7" fillId="0" borderId="0" xfId="0" applyFont="1" applyFill="1" applyBorder="1" applyProtection="1"/>
    <xf numFmtId="0" fontId="1" fillId="2" borderId="20" xfId="0" applyFont="1" applyFill="1" applyBorder="1" applyAlignment="1" applyProtection="1"/>
    <xf numFmtId="0" fontId="8" fillId="0" borderId="0" xfId="0" applyFont="1" applyBorder="1" applyProtection="1"/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left"/>
    </xf>
    <xf numFmtId="165" fontId="1" fillId="0" borderId="21" xfId="0" applyNumberFormat="1" applyFont="1" applyFill="1" applyBorder="1" applyAlignment="1" applyProtection="1">
      <alignment horizontal="center" vertical="center"/>
    </xf>
    <xf numFmtId="0" fontId="2" fillId="0" borderId="38" xfId="0" applyFont="1" applyFill="1" applyBorder="1" applyAlignment="1" applyProtection="1">
      <alignment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2" fillId="0" borderId="40" xfId="0" applyFont="1" applyFill="1" applyBorder="1" applyProtection="1"/>
    <xf numFmtId="0" fontId="2" fillId="0" borderId="15" xfId="0" applyFont="1" applyFill="1" applyBorder="1" applyProtection="1"/>
    <xf numFmtId="0" fontId="1" fillId="0" borderId="0" xfId="0" applyFont="1" applyBorder="1" applyAlignment="1">
      <alignment horizontal="center"/>
    </xf>
    <xf numFmtId="0" fontId="1" fillId="0" borderId="38" xfId="0" applyFont="1" applyFill="1" applyBorder="1" applyAlignment="1" applyProtection="1">
      <alignment horizontal="left" vertical="center"/>
    </xf>
    <xf numFmtId="167" fontId="1" fillId="2" borderId="19" xfId="0" applyNumberFormat="1" applyFont="1" applyFill="1" applyBorder="1" applyAlignment="1" applyProtection="1">
      <alignment horizontal="center"/>
    </xf>
    <xf numFmtId="0" fontId="2" fillId="0" borderId="4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2" borderId="24" xfId="0" applyFont="1" applyFill="1" applyBorder="1" applyAlignment="1" applyProtection="1">
      <alignment vertical="center"/>
    </xf>
    <xf numFmtId="0" fontId="1" fillId="0" borderId="16" xfId="0" applyFont="1" applyBorder="1" applyAlignment="1" applyProtection="1"/>
    <xf numFmtId="0" fontId="1" fillId="2" borderId="52" xfId="0" applyFont="1" applyFill="1" applyBorder="1" applyAlignment="1" applyProtection="1">
      <alignment vertical="center"/>
    </xf>
    <xf numFmtId="0" fontId="1" fillId="0" borderId="38" xfId="0" applyFont="1" applyBorder="1" applyAlignment="1" applyProtection="1"/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2" xfId="0" applyFont="1" applyFill="1" applyBorder="1" applyAlignment="1" applyProtection="1">
      <alignment horizontal="center"/>
      <protection locked="0"/>
    </xf>
    <xf numFmtId="0" fontId="2" fillId="0" borderId="17" xfId="0" applyFont="1" applyFill="1" applyBorder="1" applyAlignment="1" applyProtection="1">
      <alignment vertical="center"/>
    </xf>
    <xf numFmtId="0" fontId="2" fillId="0" borderId="39" xfId="0" applyFont="1" applyFill="1" applyBorder="1" applyAlignment="1" applyProtection="1">
      <alignment vertical="center"/>
    </xf>
    <xf numFmtId="0" fontId="1" fillId="0" borderId="38" xfId="0" applyFont="1" applyFill="1" applyBorder="1" applyAlignment="1" applyProtection="1">
      <alignment vertical="center"/>
    </xf>
    <xf numFmtId="164" fontId="1" fillId="0" borderId="35" xfId="0" applyNumberFormat="1" applyFont="1" applyFill="1" applyBorder="1" applyAlignment="1" applyProtection="1">
      <alignment horizontal="center" vertical="center"/>
    </xf>
    <xf numFmtId="0" fontId="1" fillId="0" borderId="2" xfId="0" applyFont="1" applyFill="1" applyBorder="1" applyProtection="1"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165" fontId="1" fillId="0" borderId="18" xfId="0" applyNumberFormat="1" applyFont="1" applyFill="1" applyBorder="1" applyAlignment="1" applyProtection="1">
      <alignment horizontal="center"/>
    </xf>
    <xf numFmtId="165" fontId="1" fillId="0" borderId="19" xfId="0" applyNumberFormat="1" applyFont="1" applyFill="1" applyBorder="1" applyAlignment="1" applyProtection="1">
      <alignment horizontal="center"/>
    </xf>
    <xf numFmtId="167" fontId="1" fillId="0" borderId="51" xfId="0" applyNumberFormat="1" applyFont="1" applyFill="1" applyBorder="1" applyAlignment="1" applyProtection="1">
      <alignment horizontal="center"/>
    </xf>
    <xf numFmtId="164" fontId="1" fillId="0" borderId="19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>
      <alignment horizontal="center"/>
    </xf>
    <xf numFmtId="165" fontId="1" fillId="0" borderId="2" xfId="0" applyNumberFormat="1" applyFont="1" applyFill="1" applyBorder="1" applyAlignment="1" applyProtection="1">
      <alignment horizontal="center" vertical="center"/>
      <protection locked="0"/>
    </xf>
    <xf numFmtId="164" fontId="1" fillId="0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17" xfId="0" applyFont="1" applyFill="1" applyBorder="1" applyAlignment="1" applyProtection="1">
      <alignment horizontal="center" vertical="center" wrapText="1" readingOrder="1"/>
      <protection locked="0"/>
    </xf>
    <xf numFmtId="0" fontId="2" fillId="0" borderId="15" xfId="0" applyFont="1" applyFill="1" applyBorder="1" applyAlignment="1" applyProtection="1">
      <alignment vertical="center"/>
    </xf>
    <xf numFmtId="0" fontId="1" fillId="0" borderId="40" xfId="0" applyFont="1" applyFill="1" applyBorder="1" applyAlignment="1" applyProtection="1">
      <alignment horizontal="center" vertical="center" wrapText="1" readingOrder="1"/>
      <protection locked="0"/>
    </xf>
    <xf numFmtId="0" fontId="1" fillId="0" borderId="40" xfId="0" applyFont="1" applyFill="1" applyBorder="1" applyAlignment="1" applyProtection="1">
      <alignment horizontal="center" vertical="center"/>
      <protection locked="0"/>
    </xf>
    <xf numFmtId="164" fontId="1" fillId="0" borderId="40" xfId="0" applyNumberFormat="1" applyFont="1" applyFill="1" applyBorder="1" applyAlignment="1" applyProtection="1">
      <alignment horizontal="center" vertical="center"/>
    </xf>
    <xf numFmtId="167" fontId="2" fillId="0" borderId="0" xfId="0" applyNumberFormat="1" applyFont="1" applyFill="1" applyBorder="1" applyAlignment="1" applyProtection="1">
      <alignment horizontal="center" readingOrder="1"/>
    </xf>
    <xf numFmtId="164" fontId="2" fillId="0" borderId="0" xfId="0" applyNumberFormat="1" applyFont="1" applyFill="1" applyBorder="1" applyAlignment="1" applyProtection="1">
      <alignment horizontal="center" readingOrder="1"/>
    </xf>
    <xf numFmtId="167" fontId="1" fillId="0" borderId="40" xfId="0" applyNumberFormat="1" applyFont="1" applyFill="1" applyBorder="1" applyAlignment="1" applyProtection="1">
      <alignment horizontal="center"/>
    </xf>
    <xf numFmtId="167" fontId="1" fillId="0" borderId="14" xfId="0" applyNumberFormat="1" applyFont="1" applyFill="1" applyBorder="1" applyAlignment="1" applyProtection="1">
      <alignment horizontal="center"/>
    </xf>
    <xf numFmtId="0" fontId="2" fillId="0" borderId="21" xfId="0" applyFont="1" applyFill="1" applyBorder="1" applyAlignment="1" applyProtection="1">
      <alignment vertical="center"/>
    </xf>
    <xf numFmtId="164" fontId="1" fillId="0" borderId="39" xfId="0" applyNumberFormat="1" applyFont="1" applyFill="1" applyBorder="1" applyAlignment="1" applyProtection="1">
      <alignment horizontal="center" vertical="center"/>
    </xf>
    <xf numFmtId="0" fontId="1" fillId="0" borderId="53" xfId="0" applyFont="1" applyFill="1" applyBorder="1" applyAlignment="1" applyProtection="1">
      <alignment vertical="center"/>
    </xf>
    <xf numFmtId="0" fontId="2" fillId="0" borderId="53" xfId="0" applyFont="1" applyFill="1" applyBorder="1" applyAlignment="1" applyProtection="1">
      <alignment vertical="center"/>
    </xf>
    <xf numFmtId="165" fontId="2" fillId="0" borderId="53" xfId="0" applyNumberFormat="1" applyFont="1" applyFill="1" applyBorder="1" applyAlignment="1" applyProtection="1">
      <alignment horizontal="center" vertical="center"/>
    </xf>
    <xf numFmtId="0" fontId="2" fillId="0" borderId="54" xfId="0" applyFont="1" applyFill="1" applyBorder="1" applyAlignment="1" applyProtection="1">
      <alignment vertical="center"/>
    </xf>
    <xf numFmtId="164" fontId="2" fillId="0" borderId="54" xfId="0" applyNumberFormat="1" applyFont="1" applyFill="1" applyBorder="1" applyAlignment="1" applyProtection="1">
      <alignment horizontal="center" vertical="center"/>
    </xf>
    <xf numFmtId="164" fontId="2" fillId="0" borderId="10" xfId="0" applyNumberFormat="1" applyFont="1" applyFill="1" applyBorder="1" applyAlignment="1" applyProtection="1">
      <alignment horizontal="center"/>
    </xf>
    <xf numFmtId="165" fontId="2" fillId="0" borderId="10" xfId="0" applyNumberFormat="1" applyFont="1" applyFill="1" applyBorder="1" applyAlignment="1" applyProtection="1">
      <alignment horizontal="center"/>
    </xf>
    <xf numFmtId="167" fontId="2" fillId="0" borderId="10" xfId="0" applyNumberFormat="1" applyFont="1" applyFill="1" applyBorder="1" applyAlignment="1" applyProtection="1">
      <alignment horizontal="center"/>
    </xf>
    <xf numFmtId="0" fontId="2" fillId="0" borderId="10" xfId="0" applyFont="1" applyFill="1" applyBorder="1" applyProtection="1"/>
    <xf numFmtId="167" fontId="2" fillId="2" borderId="10" xfId="0" applyNumberFormat="1" applyFont="1" applyFill="1" applyBorder="1" applyAlignment="1" applyProtection="1">
      <alignment horizontal="center" readingOrder="1"/>
    </xf>
    <xf numFmtId="164" fontId="2" fillId="4" borderId="56" xfId="0" applyNumberFormat="1" applyFont="1" applyFill="1" applyBorder="1" applyAlignment="1" applyProtection="1">
      <alignment horizontal="center" readingOrder="1"/>
    </xf>
    <xf numFmtId="165" fontId="2" fillId="0" borderId="56" xfId="0" applyNumberFormat="1" applyFont="1" applyFill="1" applyBorder="1" applyAlignment="1" applyProtection="1">
      <alignment horizontal="center"/>
    </xf>
    <xf numFmtId="167" fontId="2" fillId="4" borderId="56" xfId="0" applyNumberFormat="1" applyFont="1" applyFill="1" applyBorder="1" applyAlignment="1" applyProtection="1">
      <alignment horizontal="center" readingOrder="1"/>
    </xf>
    <xf numFmtId="0" fontId="2" fillId="0" borderId="56" xfId="0" applyFont="1" applyFill="1" applyBorder="1" applyProtection="1"/>
    <xf numFmtId="167" fontId="2" fillId="4" borderId="55" xfId="0" applyNumberFormat="1" applyFont="1" applyFill="1" applyBorder="1" applyAlignment="1" applyProtection="1">
      <alignment horizontal="center" readingOrder="1"/>
    </xf>
    <xf numFmtId="0" fontId="2" fillId="0" borderId="57" xfId="0" applyFont="1" applyFill="1" applyBorder="1" applyAlignment="1" applyProtection="1">
      <alignment vertical="center"/>
    </xf>
    <xf numFmtId="0" fontId="2" fillId="0" borderId="53" xfId="0" applyFont="1" applyFill="1" applyBorder="1" applyAlignment="1" applyProtection="1">
      <alignment horizontal="center" vertical="center" wrapText="1" readingOrder="1"/>
    </xf>
    <xf numFmtId="0" fontId="2" fillId="0" borderId="53" xfId="0" applyFont="1" applyFill="1" applyBorder="1" applyAlignment="1" applyProtection="1">
      <alignment horizontal="center" vertical="center"/>
    </xf>
    <xf numFmtId="0" fontId="2" fillId="0" borderId="54" xfId="0" applyFont="1" applyFill="1" applyBorder="1" applyAlignment="1" applyProtection="1">
      <alignment horizontal="center" vertical="center" wrapText="1" readingOrder="1"/>
    </xf>
    <xf numFmtId="0" fontId="2" fillId="0" borderId="54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40" xfId="0" applyFont="1" applyFill="1" applyBorder="1" applyAlignment="1" applyProtection="1">
      <alignment horizontal="center" vertical="center" wrapText="1" readingOrder="1"/>
    </xf>
    <xf numFmtId="0" fontId="1" fillId="0" borderId="40" xfId="0" applyFont="1" applyFill="1" applyBorder="1" applyAlignment="1" applyProtection="1">
      <alignment horizontal="center" vertical="center"/>
    </xf>
    <xf numFmtId="0" fontId="1" fillId="0" borderId="38" xfId="0" applyFont="1" applyFill="1" applyBorder="1" applyAlignment="1" applyProtection="1">
      <alignment horizontal="center" vertical="center" wrapText="1" readingOrder="1"/>
    </xf>
    <xf numFmtId="0" fontId="1" fillId="0" borderId="38" xfId="0" applyFont="1" applyFill="1" applyBorder="1" applyAlignment="1" applyProtection="1">
      <alignment horizontal="center" vertical="center"/>
    </xf>
    <xf numFmtId="0" fontId="1" fillId="0" borderId="34" xfId="0" applyFont="1" applyFill="1" applyBorder="1" applyAlignment="1" applyProtection="1">
      <alignment vertical="center"/>
    </xf>
    <xf numFmtId="0" fontId="0" fillId="0" borderId="0" xfId="0" applyBorder="1"/>
    <xf numFmtId="0" fontId="14" fillId="0" borderId="0" xfId="0" applyFont="1" applyBorder="1" applyAlignment="1" applyProtection="1">
      <alignment horizontal="right"/>
    </xf>
    <xf numFmtId="0" fontId="14" fillId="0" borderId="0" xfId="0" applyFont="1" applyBorder="1" applyAlignment="1" applyProtection="1">
      <alignment horizontal="center"/>
    </xf>
    <xf numFmtId="0" fontId="13" fillId="0" borderId="2" xfId="0" applyFont="1" applyBorder="1" applyAlignment="1" applyProtection="1">
      <alignment horizontal="right" shrinkToFit="1"/>
    </xf>
    <xf numFmtId="0" fontId="14" fillId="0" borderId="2" xfId="0" applyFont="1" applyBorder="1" applyAlignment="1" applyProtection="1">
      <alignment horizontal="right"/>
    </xf>
    <xf numFmtId="0" fontId="14" fillId="0" borderId="2" xfId="0" applyFont="1" applyBorder="1" applyProtection="1"/>
    <xf numFmtId="0" fontId="13" fillId="0" borderId="2" xfId="0" applyFont="1" applyBorder="1" applyAlignment="1" applyProtection="1">
      <alignment horizontal="center"/>
    </xf>
    <xf numFmtId="0" fontId="0" fillId="0" borderId="2" xfId="0" applyBorder="1" applyProtection="1"/>
    <xf numFmtId="0" fontId="0" fillId="0" borderId="0" xfId="0" applyBorder="1" applyProtection="1"/>
    <xf numFmtId="0" fontId="14" fillId="0" borderId="0" xfId="0" applyFont="1" applyBorder="1" applyProtection="1"/>
    <xf numFmtId="0" fontId="0" fillId="0" borderId="0" xfId="0" applyFill="1" applyBorder="1" applyProtection="1"/>
    <xf numFmtId="0" fontId="13" fillId="0" borderId="0" xfId="0" applyFont="1" applyBorder="1" applyAlignment="1" applyProtection="1">
      <alignment horizontal="right" vertical="center" textRotation="90"/>
    </xf>
    <xf numFmtId="0" fontId="1" fillId="0" borderId="16" xfId="0" applyFont="1" applyFill="1" applyBorder="1" applyAlignment="1" applyProtection="1">
      <alignment vertical="center"/>
    </xf>
    <xf numFmtId="0" fontId="12" fillId="0" borderId="21" xfId="0" applyFont="1" applyFill="1" applyBorder="1" applyAlignment="1" applyProtection="1">
      <alignment vertical="center"/>
    </xf>
    <xf numFmtId="0" fontId="15" fillId="0" borderId="0" xfId="0" applyFont="1" applyFill="1" applyBorder="1" applyProtection="1"/>
    <xf numFmtId="0" fontId="12" fillId="0" borderId="0" xfId="0" applyFont="1" applyFill="1" applyBorder="1" applyAlignment="1" applyProtection="1">
      <alignment horizontal="center" vertical="center" wrapText="1" readingOrder="1"/>
    </xf>
    <xf numFmtId="0" fontId="12" fillId="0" borderId="0" xfId="0" applyFont="1" applyFill="1" applyBorder="1" applyAlignment="1" applyProtection="1">
      <alignment horizontal="center" vertical="center"/>
    </xf>
    <xf numFmtId="165" fontId="12" fillId="0" borderId="0" xfId="0" applyNumberFormat="1" applyFont="1" applyFill="1" applyBorder="1" applyAlignment="1" applyProtection="1">
      <alignment horizontal="center" vertical="center"/>
    </xf>
    <xf numFmtId="0" fontId="16" fillId="0" borderId="0" xfId="0" applyFont="1" applyFill="1" applyBorder="1" applyAlignment="1" applyProtection="1">
      <alignment vertical="center"/>
    </xf>
    <xf numFmtId="0" fontId="12" fillId="0" borderId="0" xfId="0" applyFont="1" applyFill="1" applyBorder="1" applyAlignment="1" applyProtection="1">
      <alignment vertical="center"/>
    </xf>
    <xf numFmtId="0" fontId="12" fillId="0" borderId="38" xfId="0" applyFont="1" applyFill="1" applyBorder="1" applyAlignment="1" applyProtection="1">
      <alignment horizontal="center" vertical="center" wrapText="1" readingOrder="1"/>
    </xf>
    <xf numFmtId="0" fontId="12" fillId="0" borderId="38" xfId="0" applyFont="1" applyFill="1" applyBorder="1" applyAlignment="1" applyProtection="1">
      <alignment horizontal="center" vertical="center"/>
    </xf>
    <xf numFmtId="164" fontId="12" fillId="0" borderId="39" xfId="0" applyNumberFormat="1" applyFont="1" applyFill="1" applyBorder="1" applyAlignment="1" applyProtection="1">
      <alignment horizontal="center" vertical="center"/>
    </xf>
    <xf numFmtId="0" fontId="1" fillId="0" borderId="24" xfId="0" applyFont="1" applyFill="1" applyBorder="1" applyAlignment="1" applyProtection="1">
      <alignment vertical="center"/>
    </xf>
    <xf numFmtId="0" fontId="1" fillId="0" borderId="16" xfId="0" applyFont="1" applyFill="1" applyBorder="1" applyAlignment="1" applyProtection="1">
      <alignment vertical="center"/>
    </xf>
    <xf numFmtId="164" fontId="2" fillId="4" borderId="0" xfId="0" applyNumberFormat="1" applyFont="1" applyFill="1" applyBorder="1" applyProtection="1"/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2" fillId="2" borderId="17" xfId="0" applyNumberFormat="1" applyFont="1" applyFill="1" applyBorder="1" applyProtection="1"/>
    <xf numFmtId="164" fontId="2" fillId="2" borderId="2" xfId="0" applyNumberFormat="1" applyFont="1" applyFill="1" applyBorder="1" applyProtection="1"/>
    <xf numFmtId="164" fontId="2" fillId="2" borderId="0" xfId="0" applyNumberFormat="1" applyFont="1" applyFill="1" applyBorder="1" applyProtection="1"/>
    <xf numFmtId="164" fontId="2" fillId="2" borderId="3" xfId="0" applyNumberFormat="1" applyFont="1" applyFill="1" applyBorder="1" applyProtection="1"/>
    <xf numFmtId="164" fontId="2" fillId="4" borderId="7" xfId="0" applyNumberFormat="1" applyFont="1" applyFill="1" applyBorder="1" applyAlignment="1" applyProtection="1">
      <alignment horizontal="center"/>
    </xf>
    <xf numFmtId="164" fontId="1" fillId="2" borderId="0" xfId="0" applyNumberFormat="1" applyFont="1" applyFill="1" applyBorder="1" applyProtection="1"/>
    <xf numFmtId="164" fontId="2" fillId="5" borderId="2" xfId="0" applyNumberFormat="1" applyFont="1" applyFill="1" applyBorder="1" applyProtection="1"/>
    <xf numFmtId="164" fontId="2" fillId="0" borderId="0" xfId="0" applyNumberFormat="1" applyFont="1" applyBorder="1" applyProtection="1"/>
    <xf numFmtId="164" fontId="1" fillId="0" borderId="0" xfId="0" applyNumberFormat="1" applyFont="1" applyBorder="1" applyAlignment="1" applyProtection="1">
      <alignment horizontal="center"/>
    </xf>
    <xf numFmtId="164" fontId="2" fillId="0" borderId="0" xfId="0" applyNumberFormat="1" applyFont="1" applyBorder="1" applyAlignment="1" applyProtection="1">
      <alignment horizontal="center"/>
    </xf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center"/>
    </xf>
    <xf numFmtId="0" fontId="1" fillId="2" borderId="16" xfId="0" applyFont="1" applyFill="1" applyBorder="1" applyAlignment="1" applyProtection="1">
      <alignment vertical="center"/>
    </xf>
    <xf numFmtId="0" fontId="1" fillId="2" borderId="59" xfId="0" applyFont="1" applyFill="1" applyBorder="1" applyAlignment="1" applyProtection="1">
      <alignment vertical="center"/>
    </xf>
    <xf numFmtId="0" fontId="1" fillId="0" borderId="16" xfId="0" applyFont="1" applyBorder="1" applyAlignment="1" applyProtection="1">
      <protection locked="0"/>
    </xf>
    <xf numFmtId="0" fontId="1" fillId="0" borderId="26" xfId="0" applyFont="1" applyBorder="1" applyAlignment="1" applyProtection="1"/>
    <xf numFmtId="0" fontId="1" fillId="0" borderId="26" xfId="0" applyFont="1" applyFill="1" applyBorder="1" applyAlignment="1" applyProtection="1">
      <alignment vertical="center"/>
    </xf>
    <xf numFmtId="0" fontId="1" fillId="0" borderId="52" xfId="0" applyFont="1" applyFill="1" applyBorder="1" applyAlignment="1" applyProtection="1">
      <alignment vertical="center"/>
    </xf>
    <xf numFmtId="0" fontId="1" fillId="0" borderId="0" xfId="0" applyFont="1" applyFill="1" applyBorder="1" applyProtection="1"/>
    <xf numFmtId="0" fontId="1" fillId="0" borderId="0" xfId="0" applyFont="1" applyBorder="1" applyAlignment="1">
      <alignment horizontal="left"/>
    </xf>
    <xf numFmtId="0" fontId="1" fillId="0" borderId="60" xfId="0" applyFont="1" applyFill="1" applyBorder="1" applyAlignment="1" applyProtection="1">
      <alignment vertical="center"/>
      <protection locked="0"/>
    </xf>
    <xf numFmtId="0" fontId="1" fillId="0" borderId="45" xfId="0" applyFont="1" applyFill="1" applyBorder="1" applyAlignment="1" applyProtection="1">
      <alignment vertical="center"/>
    </xf>
    <xf numFmtId="0" fontId="1" fillId="2" borderId="41" xfId="0" applyFont="1" applyFill="1" applyBorder="1" applyAlignment="1" applyProtection="1"/>
    <xf numFmtId="0" fontId="1" fillId="2" borderId="61" xfId="0" applyFont="1" applyFill="1" applyBorder="1" applyAlignment="1" applyProtection="1"/>
    <xf numFmtId="0" fontId="1" fillId="2" borderId="42" xfId="0" applyFont="1" applyFill="1" applyBorder="1" applyAlignment="1" applyProtection="1"/>
    <xf numFmtId="0" fontId="1" fillId="2" borderId="62" xfId="0" applyFont="1" applyFill="1" applyBorder="1" applyAlignment="1" applyProtection="1"/>
    <xf numFmtId="0" fontId="1" fillId="0" borderId="45" xfId="0" applyFont="1" applyFill="1" applyBorder="1" applyAlignment="1" applyProtection="1"/>
    <xf numFmtId="0" fontId="1" fillId="0" borderId="46" xfId="0" applyFont="1" applyFill="1" applyBorder="1" applyAlignment="1" applyProtection="1"/>
    <xf numFmtId="165" fontId="12" fillId="0" borderId="16" xfId="0" applyNumberFormat="1" applyFont="1" applyFill="1" applyBorder="1" applyAlignment="1" applyProtection="1">
      <alignment horizontal="center"/>
    </xf>
    <xf numFmtId="165" fontId="12" fillId="0" borderId="17" xfId="0" applyNumberFormat="1" applyFont="1" applyFill="1" applyBorder="1" applyAlignment="1" applyProtection="1">
      <alignment horizontal="center"/>
    </xf>
    <xf numFmtId="164" fontId="12" fillId="0" borderId="17" xfId="0" applyNumberFormat="1" applyFont="1" applyFill="1" applyBorder="1" applyAlignment="1" applyProtection="1">
      <alignment horizontal="center"/>
    </xf>
    <xf numFmtId="167" fontId="12" fillId="0" borderId="0" xfId="0" applyNumberFormat="1" applyFont="1" applyFill="1" applyBorder="1" applyAlignment="1" applyProtection="1">
      <alignment horizontal="center"/>
    </xf>
    <xf numFmtId="0" fontId="16" fillId="0" borderId="17" xfId="0" applyFont="1" applyFill="1" applyBorder="1" applyProtection="1"/>
    <xf numFmtId="0" fontId="17" fillId="2" borderId="0" xfId="0" applyFont="1" applyFill="1" applyBorder="1" applyAlignment="1" applyProtection="1"/>
    <xf numFmtId="0" fontId="12" fillId="5" borderId="21" xfId="0" applyFont="1" applyFill="1" applyBorder="1" applyAlignment="1" applyProtection="1">
      <alignment vertical="center"/>
    </xf>
    <xf numFmtId="0" fontId="15" fillId="5" borderId="0" xfId="0" applyFont="1" applyFill="1" applyBorder="1" applyProtection="1"/>
    <xf numFmtId="0" fontId="12" fillId="5" borderId="0" xfId="0" applyFont="1" applyFill="1" applyBorder="1" applyAlignment="1" applyProtection="1">
      <alignment horizontal="center" vertical="center" wrapText="1" readingOrder="1"/>
    </xf>
    <xf numFmtId="0" fontId="12" fillId="5" borderId="0" xfId="0" applyFont="1" applyFill="1" applyBorder="1" applyAlignment="1" applyProtection="1">
      <alignment horizontal="center" vertical="center"/>
    </xf>
    <xf numFmtId="165" fontId="12" fillId="5" borderId="0" xfId="0" applyNumberFormat="1" applyFont="1" applyFill="1" applyBorder="1" applyAlignment="1" applyProtection="1">
      <alignment horizontal="center" vertical="center"/>
    </xf>
    <xf numFmtId="0" fontId="1" fillId="0" borderId="38" xfId="0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left"/>
    </xf>
    <xf numFmtId="0" fontId="2" fillId="2" borderId="2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 vertical="center" wrapText="1"/>
    </xf>
    <xf numFmtId="0" fontId="2" fillId="2" borderId="2" xfId="0" applyFont="1" applyFill="1" applyBorder="1" applyAlignment="1" applyProtection="1">
      <alignment horizontal="left" vertical="center" wrapText="1"/>
    </xf>
    <xf numFmtId="0" fontId="1" fillId="4" borderId="5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>
      <alignment horizontal="left"/>
      <protection locked="0"/>
    </xf>
    <xf numFmtId="0" fontId="1" fillId="0" borderId="2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24" xfId="0" applyFont="1" applyFill="1" applyBorder="1" applyAlignment="1" applyProtection="1">
      <alignment horizontal="left"/>
      <protection locked="0"/>
    </xf>
    <xf numFmtId="0" fontId="1" fillId="2" borderId="43" xfId="0" applyFont="1" applyFill="1" applyBorder="1" applyAlignment="1" applyProtection="1">
      <alignment horizontal="left"/>
      <protection locked="0"/>
    </xf>
    <xf numFmtId="0" fontId="1" fillId="2" borderId="44" xfId="0" applyFont="1" applyFill="1" applyBorder="1" applyAlignment="1" applyProtection="1">
      <alignment horizontal="left"/>
      <protection locked="0"/>
    </xf>
    <xf numFmtId="0" fontId="1" fillId="2" borderId="29" xfId="0" applyFont="1" applyFill="1" applyBorder="1" applyAlignment="1" applyProtection="1">
      <alignment horizontal="left"/>
      <protection locked="0"/>
    </xf>
    <xf numFmtId="0" fontId="1" fillId="2" borderId="17" xfId="0" applyFont="1" applyFill="1" applyBorder="1" applyAlignment="1" applyProtection="1">
      <alignment horizontal="left"/>
      <protection locked="0"/>
    </xf>
    <xf numFmtId="0" fontId="1" fillId="0" borderId="17" xfId="0" applyFont="1" applyFill="1" applyBorder="1" applyAlignment="1" applyProtection="1">
      <alignment horizontal="left"/>
      <protection locked="0"/>
    </xf>
    <xf numFmtId="0" fontId="1" fillId="5" borderId="0" xfId="0" applyFont="1" applyFill="1" applyBorder="1" applyAlignment="1" applyProtection="1">
      <alignment horizontal="left" vertical="center"/>
      <protection locked="0"/>
    </xf>
    <xf numFmtId="0" fontId="1" fillId="5" borderId="2" xfId="0" applyFont="1" applyFill="1" applyBorder="1" applyAlignment="1" applyProtection="1">
      <alignment horizontal="left" vertical="center"/>
      <protection locked="0"/>
    </xf>
    <xf numFmtId="0" fontId="1" fillId="2" borderId="14" xfId="0" applyFont="1" applyFill="1" applyBorder="1" applyAlignment="1" applyProtection="1">
      <alignment horizontal="left" vertical="center"/>
      <protection locked="0"/>
    </xf>
    <xf numFmtId="0" fontId="1" fillId="2" borderId="16" xfId="0" applyFont="1" applyFill="1" applyBorder="1" applyAlignment="1" applyProtection="1">
      <alignment horizontal="left" vertical="center"/>
      <protection locked="0"/>
    </xf>
    <xf numFmtId="0" fontId="1" fillId="0" borderId="16" xfId="0" applyFont="1" applyFill="1" applyBorder="1" applyAlignment="1" applyProtection="1">
      <alignment horizontal="left" vertical="center"/>
      <protection locked="0"/>
    </xf>
    <xf numFmtId="0" fontId="1" fillId="0" borderId="38" xfId="0" applyFont="1" applyFill="1" applyBorder="1" applyAlignment="1" applyProtection="1">
      <alignment horizontal="left" vertical="center"/>
      <protection locked="0"/>
    </xf>
    <xf numFmtId="0" fontId="1" fillId="0" borderId="39" xfId="0" applyFont="1" applyFill="1" applyBorder="1" applyAlignment="1" applyProtection="1">
      <alignment horizontal="left" vertical="center"/>
      <protection locked="0"/>
    </xf>
    <xf numFmtId="0" fontId="1" fillId="0" borderId="17" xfId="0" applyFont="1" applyFill="1" applyBorder="1" applyAlignment="1" applyProtection="1">
      <alignment horizontal="left" vertical="center"/>
      <protection locked="0"/>
    </xf>
    <xf numFmtId="0" fontId="1" fillId="0" borderId="53" xfId="0" applyFont="1" applyFill="1" applyBorder="1" applyAlignment="1" applyProtection="1">
      <alignment horizontal="left" vertical="center"/>
    </xf>
    <xf numFmtId="0" fontId="1" fillId="0" borderId="40" xfId="0" applyFont="1" applyFill="1" applyBorder="1" applyAlignment="1" applyProtection="1">
      <alignment horizontal="left" vertical="center"/>
    </xf>
    <xf numFmtId="0" fontId="12" fillId="0" borderId="38" xfId="0" applyFont="1" applyFill="1" applyBorder="1" applyAlignment="1" applyProtection="1">
      <alignment horizontal="left" vertical="center"/>
    </xf>
    <xf numFmtId="0" fontId="2" fillId="4" borderId="0" xfId="0" applyFont="1" applyFill="1" applyBorder="1" applyAlignment="1" applyProtection="1">
      <alignment horizontal="left"/>
    </xf>
    <xf numFmtId="0" fontId="2" fillId="4" borderId="7" xfId="0" applyFont="1" applyFill="1" applyBorder="1" applyAlignment="1" applyProtection="1">
      <alignment horizontal="left"/>
    </xf>
    <xf numFmtId="0" fontId="2" fillId="5" borderId="2" xfId="0" applyFont="1" applyFill="1" applyBorder="1" applyAlignment="1" applyProtection="1">
      <alignment horizontal="left" vertical="center" wrapText="1"/>
    </xf>
    <xf numFmtId="0" fontId="1" fillId="2" borderId="0" xfId="0" applyFont="1" applyFill="1" applyBorder="1" applyAlignment="1" applyProtection="1">
      <alignment horizontal="left"/>
    </xf>
    <xf numFmtId="0" fontId="1" fillId="3" borderId="0" xfId="0" applyFont="1" applyFill="1" applyBorder="1" applyAlignment="1" applyProtection="1">
      <alignment horizontal="left"/>
    </xf>
    <xf numFmtId="0" fontId="1" fillId="3" borderId="2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7" fillId="0" borderId="0" xfId="0" applyFont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/>
    </xf>
    <xf numFmtId="0" fontId="8" fillId="0" borderId="0" xfId="0" quotePrefix="1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/>
    </xf>
    <xf numFmtId="0" fontId="8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2" borderId="10" xfId="0" applyFont="1" applyFill="1" applyBorder="1" applyAlignment="1" applyProtection="1">
      <alignment readingOrder="1"/>
    </xf>
    <xf numFmtId="165" fontId="2" fillId="2" borderId="10" xfId="0" applyNumberFormat="1" applyFont="1" applyFill="1" applyBorder="1" applyAlignment="1" applyProtection="1">
      <alignment horizontal="center" readingOrder="1"/>
    </xf>
    <xf numFmtId="164" fontId="2" fillId="2" borderId="10" xfId="0" applyNumberFormat="1" applyFont="1" applyFill="1" applyBorder="1" applyAlignment="1" applyProtection="1">
      <alignment horizontal="center" readingOrder="1"/>
    </xf>
    <xf numFmtId="0" fontId="2" fillId="5" borderId="0" xfId="0" applyFont="1" applyFill="1" applyBorder="1" applyAlignment="1" applyProtection="1">
      <alignment horizontal="center"/>
    </xf>
    <xf numFmtId="0" fontId="1" fillId="18" borderId="0" xfId="0" applyFont="1" applyFill="1" applyBorder="1" applyAlignment="1" applyProtection="1"/>
    <xf numFmtId="0" fontId="1" fillId="18" borderId="17" xfId="0" applyFont="1" applyFill="1" applyBorder="1" applyAlignment="1" applyProtection="1"/>
    <xf numFmtId="0" fontId="2" fillId="18" borderId="17" xfId="0" applyFont="1" applyFill="1" applyBorder="1" applyAlignment="1" applyProtection="1">
      <alignment horizontal="center" vertical="center"/>
    </xf>
    <xf numFmtId="164" fontId="1" fillId="18" borderId="17" xfId="0" applyNumberFormat="1" applyFont="1" applyFill="1" applyBorder="1" applyAlignment="1" applyProtection="1">
      <alignment horizontal="center"/>
    </xf>
    <xf numFmtId="164" fontId="1" fillId="18" borderId="0" xfId="0" applyNumberFormat="1" applyFont="1" applyFill="1" applyBorder="1" applyAlignment="1" applyProtection="1">
      <alignment horizontal="center"/>
    </xf>
    <xf numFmtId="0" fontId="1" fillId="18" borderId="16" xfId="0" applyFont="1" applyFill="1" applyBorder="1" applyAlignment="1" applyProtection="1"/>
    <xf numFmtId="164" fontId="1" fillId="18" borderId="24" xfId="0" applyNumberFormat="1" applyFont="1" applyFill="1" applyBorder="1" applyAlignment="1" applyProtection="1">
      <alignment horizontal="center"/>
    </xf>
    <xf numFmtId="0" fontId="1" fillId="18" borderId="0" xfId="0" applyFont="1" applyFill="1" applyBorder="1" applyAlignment="1" applyProtection="1">
      <alignment vertical="center"/>
    </xf>
    <xf numFmtId="0" fontId="1" fillId="18" borderId="17" xfId="0" applyFont="1" applyFill="1" applyBorder="1" applyAlignment="1" applyProtection="1">
      <alignment vertical="center"/>
    </xf>
    <xf numFmtId="0" fontId="2" fillId="18" borderId="17" xfId="0" applyFont="1" applyFill="1" applyBorder="1" applyAlignment="1" applyProtection="1">
      <alignment horizontal="center"/>
    </xf>
    <xf numFmtId="164" fontId="1" fillId="18" borderId="17" xfId="0" applyNumberFormat="1" applyFont="1" applyFill="1" applyBorder="1" applyAlignment="1" applyProtection="1">
      <alignment horizontal="center" vertical="center"/>
    </xf>
    <xf numFmtId="164" fontId="1" fillId="18" borderId="0" xfId="0" applyNumberFormat="1" applyFont="1" applyFill="1" applyBorder="1" applyAlignment="1" applyProtection="1">
      <alignment horizontal="center" vertical="center"/>
    </xf>
    <xf numFmtId="0" fontId="12" fillId="5" borderId="38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/>
    </xf>
    <xf numFmtId="0" fontId="1" fillId="4" borderId="2" xfId="0" applyFont="1" applyFill="1" applyBorder="1" applyAlignment="1" applyProtection="1">
      <alignment horizontal="left"/>
    </xf>
    <xf numFmtId="0" fontId="1" fillId="4" borderId="2" xfId="0" applyFont="1" applyFill="1" applyBorder="1" applyAlignment="1" applyProtection="1">
      <alignment horizontal="center" vertical="center" wrapText="1" readingOrder="1"/>
    </xf>
    <xf numFmtId="0" fontId="1" fillId="4" borderId="2" xfId="0" applyFont="1" applyFill="1" applyBorder="1" applyAlignment="1" applyProtection="1">
      <alignment horizontal="center" vertical="center"/>
    </xf>
    <xf numFmtId="0" fontId="4" fillId="4" borderId="5" xfId="0" applyFont="1" applyFill="1" applyBorder="1" applyAlignment="1" applyProtection="1">
      <alignment horizontal="left" vertical="center" wrapText="1"/>
    </xf>
    <xf numFmtId="0" fontId="5" fillId="4" borderId="5" xfId="0" applyFont="1" applyFill="1" applyBorder="1" applyAlignment="1" applyProtection="1">
      <alignment horizontal="left" vertical="center" wrapText="1" readingOrder="1"/>
    </xf>
    <xf numFmtId="0" fontId="1" fillId="4" borderId="5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 readingOrder="1"/>
    </xf>
    <xf numFmtId="0" fontId="1" fillId="4" borderId="5" xfId="0" applyFont="1" applyFill="1" applyBorder="1" applyAlignment="1" applyProtection="1">
      <alignment horizontal="left"/>
    </xf>
    <xf numFmtId="0" fontId="1" fillId="4" borderId="5" xfId="0" applyFont="1" applyFill="1" applyBorder="1" applyAlignment="1" applyProtection="1">
      <alignment horizontal="center" vertical="center" readingOrder="1"/>
    </xf>
    <xf numFmtId="0" fontId="2" fillId="2" borderId="10" xfId="0" applyFont="1" applyFill="1" applyBorder="1" applyAlignment="1" applyProtection="1">
      <alignment horizontal="left"/>
    </xf>
    <xf numFmtId="0" fontId="1" fillId="2" borderId="10" xfId="0" applyFont="1" applyFill="1" applyBorder="1" applyAlignment="1" applyProtection="1">
      <alignment readingOrder="1"/>
    </xf>
    <xf numFmtId="0" fontId="2" fillId="4" borderId="5" xfId="0" applyFont="1" applyFill="1" applyBorder="1" applyAlignment="1" applyProtection="1">
      <alignment horizontal="left"/>
    </xf>
    <xf numFmtId="0" fontId="1" fillId="4" borderId="5" xfId="0" applyFont="1" applyFill="1" applyBorder="1" applyProtection="1"/>
    <xf numFmtId="0" fontId="2" fillId="4" borderId="5" xfId="0" applyFont="1" applyFill="1" applyBorder="1" applyAlignment="1" applyProtection="1">
      <alignment horizontal="left" vertical="center"/>
    </xf>
    <xf numFmtId="0" fontId="1" fillId="4" borderId="5" xfId="0" applyFont="1" applyFill="1" applyBorder="1" applyAlignment="1" applyProtection="1">
      <alignment horizontal="center"/>
    </xf>
    <xf numFmtId="164" fontId="1" fillId="5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21" xfId="0" applyFont="1" applyFill="1" applyBorder="1" applyAlignment="1" applyProtection="1">
      <alignment vertical="center"/>
      <protection locked="0"/>
    </xf>
    <xf numFmtId="164" fontId="1" fillId="0" borderId="21" xfId="0" applyNumberFormat="1" applyFont="1" applyFill="1" applyBorder="1" applyAlignment="1" applyProtection="1">
      <alignment horizontal="center" vertical="center"/>
      <protection locked="0"/>
    </xf>
    <xf numFmtId="164" fontId="2" fillId="0" borderId="17" xfId="0" applyNumberFormat="1" applyFont="1" applyFill="1" applyBorder="1" applyAlignment="1" applyProtection="1">
      <alignment horizontal="center" vertical="center"/>
      <protection locked="0"/>
    </xf>
    <xf numFmtId="0" fontId="2" fillId="0" borderId="15" xfId="0" applyFont="1" applyFill="1" applyBorder="1" applyAlignment="1" applyProtection="1">
      <alignment vertical="center"/>
      <protection locked="0"/>
    </xf>
    <xf numFmtId="165" fontId="1" fillId="0" borderId="21" xfId="0" applyNumberFormat="1" applyFont="1" applyFill="1" applyBorder="1" applyAlignment="1" applyProtection="1">
      <alignment horizontal="center" vertical="center"/>
      <protection locked="0"/>
    </xf>
    <xf numFmtId="0" fontId="2" fillId="5" borderId="17" xfId="0" applyFont="1" applyFill="1" applyBorder="1" applyAlignment="1" applyProtection="1">
      <alignment horizontal="center"/>
      <protection locked="0"/>
    </xf>
    <xf numFmtId="164" fontId="1" fillId="5" borderId="17" xfId="0" applyNumberFormat="1" applyFont="1" applyFill="1" applyBorder="1" applyAlignment="1" applyProtection="1">
      <alignment horizontal="center" vertical="center"/>
      <protection locked="0"/>
    </xf>
    <xf numFmtId="165" fontId="2" fillId="4" borderId="56" xfId="0" applyNumberFormat="1" applyFont="1" applyFill="1" applyBorder="1" applyAlignment="1" applyProtection="1">
      <alignment horizontal="center" readingOrder="1"/>
    </xf>
    <xf numFmtId="0" fontId="1" fillId="5" borderId="26" xfId="0" applyFont="1" applyFill="1" applyBorder="1" applyAlignment="1" applyProtection="1"/>
    <xf numFmtId="0" fontId="1" fillId="5" borderId="0" xfId="0" applyFont="1" applyFill="1" applyBorder="1" applyAlignment="1" applyProtection="1">
      <alignment horizontal="left" vertical="center"/>
    </xf>
    <xf numFmtId="0" fontId="1" fillId="5" borderId="16" xfId="0" applyFont="1" applyFill="1" applyBorder="1" applyAlignment="1" applyProtection="1"/>
    <xf numFmtId="0" fontId="2" fillId="5" borderId="17" xfId="0" applyFont="1" applyFill="1" applyBorder="1" applyAlignment="1" applyProtection="1">
      <alignment horizontal="center"/>
    </xf>
    <xf numFmtId="165" fontId="1" fillId="5" borderId="17" xfId="0" applyNumberFormat="1" applyFont="1" applyFill="1" applyBorder="1" applyAlignment="1" applyProtection="1">
      <alignment horizontal="center" vertical="center"/>
    </xf>
    <xf numFmtId="165" fontId="1" fillId="2" borderId="15" xfId="0" applyNumberFormat="1" applyFont="1" applyFill="1" applyBorder="1" applyAlignment="1" applyProtection="1">
      <alignment horizontal="center" vertical="center"/>
    </xf>
    <xf numFmtId="164" fontId="1" fillId="2" borderId="15" xfId="0" applyNumberFormat="1" applyFont="1" applyFill="1" applyBorder="1" applyAlignment="1" applyProtection="1">
      <alignment horizontal="center" vertical="center"/>
    </xf>
    <xf numFmtId="0" fontId="1" fillId="2" borderId="63" xfId="0" applyFont="1" applyFill="1" applyBorder="1" applyAlignment="1" applyProtection="1">
      <alignment vertical="center"/>
    </xf>
    <xf numFmtId="0" fontId="1" fillId="2" borderId="64" xfId="0" applyFont="1" applyFill="1" applyBorder="1" applyAlignment="1" applyProtection="1">
      <alignment horizontal="left" vertical="center"/>
      <protection locked="0"/>
    </xf>
    <xf numFmtId="0" fontId="1" fillId="2" borderId="22" xfId="0" applyFont="1" applyFill="1" applyBorder="1" applyAlignment="1" applyProtection="1">
      <alignment horizontal="left" vertical="center"/>
      <protection locked="0"/>
    </xf>
    <xf numFmtId="0" fontId="1" fillId="0" borderId="22" xfId="0" applyFont="1" applyFill="1" applyBorder="1" applyAlignment="1" applyProtection="1">
      <alignment horizontal="left" vertical="center"/>
      <protection locked="0"/>
    </xf>
    <xf numFmtId="0" fontId="1" fillId="2" borderId="16" xfId="0" applyFont="1" applyFill="1" applyBorder="1" applyAlignment="1" applyProtection="1">
      <alignment vertical="center" wrapText="1"/>
    </xf>
    <xf numFmtId="167" fontId="1" fillId="0" borderId="0" xfId="0" applyNumberFormat="1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left" vertical="center"/>
      <protection locked="0"/>
    </xf>
    <xf numFmtId="0" fontId="1" fillId="2" borderId="26" xfId="0" applyFont="1" applyFill="1" applyBorder="1" applyAlignment="1" applyProtection="1">
      <alignment vertical="center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165" fontId="1" fillId="2" borderId="30" xfId="0" applyNumberFormat="1" applyFont="1" applyFill="1" applyBorder="1" applyAlignment="1" applyProtection="1">
      <alignment horizontal="center" vertical="center"/>
      <protection locked="0"/>
    </xf>
    <xf numFmtId="165" fontId="1" fillId="2" borderId="22" xfId="0" applyNumberFormat="1" applyFont="1" applyFill="1" applyBorder="1" applyAlignment="1" applyProtection="1">
      <alignment horizontal="center" vertical="center"/>
    </xf>
    <xf numFmtId="0" fontId="1" fillId="5" borderId="22" xfId="0" applyFont="1" applyFill="1" applyBorder="1" applyAlignment="1" applyProtection="1">
      <alignment vertical="center" wrapText="1"/>
    </xf>
    <xf numFmtId="164" fontId="1" fillId="5" borderId="17" xfId="0" applyNumberFormat="1" applyFont="1" applyFill="1" applyBorder="1" applyAlignment="1" applyProtection="1">
      <alignment horizontal="center" vertical="center" wrapText="1"/>
    </xf>
    <xf numFmtId="165" fontId="1" fillId="2" borderId="16" xfId="0" applyNumberFormat="1" applyFont="1" applyFill="1" applyBorder="1" applyAlignment="1" applyProtection="1">
      <alignment horizontal="center" vertical="center"/>
    </xf>
    <xf numFmtId="165" fontId="1" fillId="2" borderId="17" xfId="0" applyNumberFormat="1" applyFont="1" applyFill="1" applyBorder="1" applyAlignment="1" applyProtection="1">
      <alignment horizontal="center" vertical="center"/>
    </xf>
    <xf numFmtId="164" fontId="1" fillId="2" borderId="17" xfId="0" applyNumberFormat="1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vertical="center"/>
    </xf>
    <xf numFmtId="0" fontId="2" fillId="5" borderId="0" xfId="0" applyFont="1" applyFill="1" applyBorder="1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64" fontId="1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1" fillId="5" borderId="17" xfId="0" applyFont="1" applyFill="1" applyBorder="1" applyAlignment="1" applyProtection="1">
      <alignment vertical="center"/>
    </xf>
    <xf numFmtId="0" fontId="18" fillId="18" borderId="24" xfId="0" applyFont="1" applyFill="1" applyBorder="1" applyAlignment="1" applyProtection="1">
      <alignment horizontal="left"/>
    </xf>
    <xf numFmtId="0" fontId="18" fillId="18" borderId="17" xfId="0" applyFont="1" applyFill="1" applyBorder="1" applyAlignment="1" applyProtection="1">
      <alignment vertical="center"/>
    </xf>
    <xf numFmtId="0" fontId="1" fillId="0" borderId="17" xfId="0" applyFont="1" applyFill="1" applyBorder="1" applyAlignment="1" applyProtection="1">
      <alignment readingOrder="1"/>
      <protection locked="0"/>
    </xf>
    <xf numFmtId="0" fontId="1" fillId="5" borderId="22" xfId="0" applyFont="1" applyFill="1" applyBorder="1" applyAlignment="1" applyProtection="1"/>
    <xf numFmtId="165" fontId="1" fillId="0" borderId="15" xfId="0" applyNumberFormat="1" applyFont="1" applyFill="1" applyBorder="1" applyAlignment="1" applyProtection="1">
      <alignment horizontal="center"/>
      <protection locked="0"/>
    </xf>
    <xf numFmtId="164" fontId="1" fillId="0" borderId="24" xfId="0" applyNumberFormat="1" applyFont="1" applyFill="1" applyBorder="1" applyAlignment="1" applyProtection="1">
      <alignment horizontal="center" vertical="center"/>
      <protection locked="0"/>
    </xf>
    <xf numFmtId="0" fontId="1" fillId="0" borderId="15" xfId="0" applyFont="1" applyFill="1" applyBorder="1" applyAlignment="1" applyProtection="1">
      <alignment vertical="center"/>
      <protection locked="0"/>
    </xf>
    <xf numFmtId="165" fontId="2" fillId="2" borderId="0" xfId="0" applyNumberFormat="1" applyFont="1" applyFill="1" applyBorder="1" applyAlignment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167" fontId="2" fillId="6" borderId="5" xfId="0" applyNumberFormat="1" applyFont="1" applyFill="1" applyBorder="1" applyAlignment="1" applyProtection="1">
      <alignment horizontal="center"/>
    </xf>
    <xf numFmtId="0" fontId="2" fillId="6" borderId="9" xfId="0" applyFont="1" applyFill="1" applyBorder="1" applyAlignment="1">
      <alignment horizontal="center"/>
    </xf>
    <xf numFmtId="164" fontId="1" fillId="0" borderId="14" xfId="0" applyNumberFormat="1" applyFont="1" applyFill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/>
    <xf numFmtId="0" fontId="2" fillId="2" borderId="0" xfId="0" applyFont="1" applyFill="1" applyBorder="1" applyAlignment="1" applyProtection="1">
      <alignment horizontal="center"/>
    </xf>
    <xf numFmtId="0" fontId="2" fillId="6" borderId="8" xfId="0" applyFont="1" applyFill="1" applyBorder="1" applyAlignment="1" applyProtection="1">
      <alignment horizontal="right"/>
    </xf>
    <xf numFmtId="0" fontId="2" fillId="6" borderId="5" xfId="0" applyFont="1" applyFill="1" applyBorder="1" applyAlignment="1" applyProtection="1">
      <alignment horizontal="right"/>
    </xf>
    <xf numFmtId="0" fontId="2" fillId="5" borderId="2" xfId="0" applyFont="1" applyFill="1" applyBorder="1" applyAlignment="1" applyProtection="1">
      <alignment horizontal="left"/>
    </xf>
    <xf numFmtId="0" fontId="6" fillId="2" borderId="6" xfId="0" applyFont="1" applyFill="1" applyBorder="1" applyAlignment="1" applyProtection="1">
      <alignment horizontal="center" vertical="center"/>
      <protection locked="0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12" xfId="0" applyFont="1" applyFill="1" applyBorder="1" applyAlignment="1" applyProtection="1">
      <alignment horizontal="center" vertical="center"/>
      <protection locked="0"/>
    </xf>
    <xf numFmtId="0" fontId="1" fillId="0" borderId="38" xfId="0" applyFont="1" applyFill="1" applyBorder="1" applyAlignment="1" applyProtection="1">
      <alignment horizontal="left" vertical="center"/>
    </xf>
    <xf numFmtId="0" fontId="1" fillId="0" borderId="16" xfId="0" applyFont="1" applyFill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horizontal="center" wrapText="1"/>
    </xf>
    <xf numFmtId="0" fontId="1" fillId="0" borderId="2" xfId="0" applyFont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center"/>
    </xf>
    <xf numFmtId="0" fontId="18" fillId="5" borderId="65" xfId="0" applyFont="1" applyFill="1" applyBorder="1" applyAlignment="1" applyProtection="1">
      <alignment horizontal="left" vertical="center" wrapText="1"/>
    </xf>
    <xf numFmtId="0" fontId="18" fillId="5" borderId="38" xfId="0" applyFont="1" applyFill="1" applyBorder="1" applyAlignment="1" applyProtection="1">
      <alignment horizontal="left" vertical="center" wrapText="1"/>
    </xf>
    <xf numFmtId="0" fontId="18" fillId="5" borderId="16" xfId="0" applyFont="1" applyFill="1" applyBorder="1" applyAlignment="1" applyProtection="1">
      <alignment horizontal="left" vertical="center" wrapText="1"/>
    </xf>
    <xf numFmtId="0" fontId="18" fillId="5" borderId="24" xfId="0" applyFont="1" applyFill="1" applyBorder="1" applyAlignment="1" applyProtection="1">
      <alignment horizontal="left" vertical="center" wrapText="1"/>
    </xf>
    <xf numFmtId="167" fontId="2" fillId="6" borderId="8" xfId="0" applyNumberFormat="1" applyFont="1" applyFill="1" applyBorder="1" applyAlignment="1" applyProtection="1">
      <alignment horizontal="center"/>
    </xf>
    <xf numFmtId="167" fontId="2" fillId="6" borderId="5" xfId="0" applyNumberFormat="1" applyFont="1" applyFill="1" applyBorder="1" applyAlignment="1" applyProtection="1">
      <alignment horizontal="center"/>
    </xf>
    <xf numFmtId="0" fontId="13" fillId="11" borderId="58" xfId="0" applyFont="1" applyFill="1" applyBorder="1" applyAlignment="1" applyProtection="1">
      <alignment horizontal="right" vertical="center" textRotation="90"/>
    </xf>
    <xf numFmtId="0" fontId="13" fillId="12" borderId="58" xfId="0" applyFont="1" applyFill="1" applyBorder="1" applyAlignment="1" applyProtection="1">
      <alignment horizontal="right" vertical="center" textRotation="90"/>
    </xf>
    <xf numFmtId="0" fontId="13" fillId="15" borderId="58" xfId="0" applyFont="1" applyFill="1" applyBorder="1" applyAlignment="1" applyProtection="1">
      <alignment horizontal="right" vertical="center" textRotation="90"/>
    </xf>
    <xf numFmtId="0" fontId="13" fillId="13" borderId="58" xfId="0" applyFont="1" applyFill="1" applyBorder="1" applyAlignment="1" applyProtection="1">
      <alignment horizontal="right" vertical="center" textRotation="90"/>
    </xf>
    <xf numFmtId="0" fontId="13" fillId="0" borderId="58" xfId="0" applyFont="1" applyBorder="1" applyAlignment="1" applyProtection="1">
      <alignment horizontal="right" vertical="center" textRotation="90"/>
    </xf>
    <xf numFmtId="0" fontId="13" fillId="9" borderId="58" xfId="0" applyFont="1" applyFill="1" applyBorder="1" applyAlignment="1" applyProtection="1">
      <alignment horizontal="right" vertical="center" textRotation="90"/>
    </xf>
    <xf numFmtId="0" fontId="13" fillId="10" borderId="58" xfId="0" applyFont="1" applyFill="1" applyBorder="1" applyAlignment="1" applyProtection="1">
      <alignment horizontal="right" vertical="center" textRotation="90"/>
    </xf>
    <xf numFmtId="0" fontId="13" fillId="7" borderId="58" xfId="0" applyFont="1" applyFill="1" applyBorder="1" applyAlignment="1" applyProtection="1">
      <alignment horizontal="right" vertical="center" textRotation="90"/>
    </xf>
    <xf numFmtId="0" fontId="13" fillId="8" borderId="58" xfId="0" applyFont="1" applyFill="1" applyBorder="1" applyAlignment="1" applyProtection="1">
      <alignment horizontal="right" vertical="center" textRotation="90"/>
    </xf>
    <xf numFmtId="0" fontId="13" fillId="9" borderId="58" xfId="0" quotePrefix="1" applyFont="1" applyFill="1" applyBorder="1" applyAlignment="1" applyProtection="1">
      <alignment horizontal="right" vertical="center" textRotation="90"/>
    </xf>
    <xf numFmtId="0" fontId="13" fillId="14" borderId="58" xfId="0" applyFont="1" applyFill="1" applyBorder="1" applyAlignment="1" applyProtection="1">
      <alignment horizontal="right" vertical="center" textRotation="90"/>
    </xf>
    <xf numFmtId="0" fontId="13" fillId="16" borderId="58" xfId="0" applyFont="1" applyFill="1" applyBorder="1" applyAlignment="1" applyProtection="1">
      <alignment horizontal="right" vertical="center" textRotation="90"/>
    </xf>
    <xf numFmtId="0" fontId="13" fillId="17" borderId="58" xfId="0" applyFont="1" applyFill="1" applyBorder="1" applyAlignment="1" applyProtection="1">
      <alignment horizontal="right" vertical="center" textRotation="90"/>
    </xf>
  </cellXfs>
  <cellStyles count="2">
    <cellStyle name="Comma 2" xfId="1"/>
    <cellStyle name="Normal" xfId="0" builtinId="0"/>
  </cellStyles>
  <dxfs count="44">
    <dxf>
      <fill>
        <patternFill>
          <bgColor rgb="FFFFC5C5"/>
        </patternFill>
      </fill>
    </dxf>
    <dxf>
      <fill>
        <patternFill>
          <bgColor rgb="FFFDDBBF"/>
        </patternFill>
      </fill>
    </dxf>
    <dxf>
      <fill>
        <patternFill>
          <bgColor rgb="FFFFFFC9"/>
        </patternFill>
      </fill>
    </dxf>
    <dxf>
      <fill>
        <patternFill>
          <bgColor rgb="FFD8EEC0"/>
        </patternFill>
      </fill>
    </dxf>
    <dxf>
      <fill>
        <patternFill>
          <bgColor rgb="FFD1F3FF"/>
        </patternFill>
      </fill>
    </dxf>
    <dxf>
      <fill>
        <patternFill>
          <bgColor rgb="FFE8D1FF"/>
        </patternFill>
      </fill>
    </dxf>
    <dxf>
      <fill>
        <patternFill>
          <bgColor rgb="FFE9D3BD"/>
        </patternFill>
      </fill>
    </dxf>
    <dxf>
      <fill>
        <patternFill>
          <bgColor rgb="FFFFE5F2"/>
        </patternFill>
      </fill>
    </dxf>
    <dxf>
      <fill>
        <patternFill>
          <bgColor rgb="FFEAEAEA"/>
        </patternFill>
      </fill>
    </dxf>
    <dxf>
      <fill>
        <patternFill>
          <bgColor rgb="FFFFC5C5"/>
        </patternFill>
      </fill>
    </dxf>
    <dxf>
      <fill>
        <patternFill>
          <bgColor rgb="FFFDDBBF"/>
        </patternFill>
      </fill>
    </dxf>
    <dxf>
      <fill>
        <patternFill>
          <bgColor rgb="FFFFFFC9"/>
        </patternFill>
      </fill>
    </dxf>
    <dxf>
      <fill>
        <patternFill>
          <bgColor rgb="FFFFC5C5"/>
        </patternFill>
      </fill>
    </dxf>
    <dxf>
      <fill>
        <patternFill>
          <bgColor rgb="FFFDDBBF"/>
        </patternFill>
      </fill>
    </dxf>
    <dxf>
      <fill>
        <patternFill>
          <bgColor rgb="FFFFFFC9"/>
        </patternFill>
      </fill>
    </dxf>
    <dxf>
      <fill>
        <patternFill>
          <bgColor rgb="FFD8EEC0"/>
        </patternFill>
      </fill>
    </dxf>
    <dxf>
      <fill>
        <patternFill>
          <bgColor rgb="FFD1F3FF"/>
        </patternFill>
      </fill>
    </dxf>
    <dxf>
      <fill>
        <patternFill>
          <bgColor rgb="FFE8D1FF"/>
        </patternFill>
      </fill>
    </dxf>
    <dxf>
      <fill>
        <patternFill>
          <bgColor rgb="FFE9D3BD"/>
        </patternFill>
      </fill>
    </dxf>
    <dxf>
      <fill>
        <patternFill>
          <bgColor rgb="FFFFE5F2"/>
        </patternFill>
      </fill>
    </dxf>
    <dxf>
      <fill>
        <patternFill>
          <bgColor rgb="FFEAEAEA"/>
        </patternFill>
      </fill>
    </dxf>
    <dxf>
      <fill>
        <patternFill>
          <bgColor rgb="FFFFC5C5"/>
        </patternFill>
      </fill>
    </dxf>
    <dxf>
      <fill>
        <patternFill>
          <bgColor rgb="FFFDDBBF"/>
        </patternFill>
      </fill>
    </dxf>
    <dxf>
      <fill>
        <patternFill>
          <bgColor rgb="FFFFFFC9"/>
        </patternFill>
      </fill>
    </dxf>
    <dxf>
      <fill>
        <patternFill>
          <bgColor rgb="FFFFC5C5"/>
        </patternFill>
      </fill>
    </dxf>
    <dxf>
      <fill>
        <patternFill>
          <bgColor rgb="FFFDDBBF"/>
        </patternFill>
      </fill>
    </dxf>
    <dxf>
      <fill>
        <patternFill>
          <bgColor rgb="FFFFFFC9"/>
        </patternFill>
      </fill>
    </dxf>
    <dxf>
      <fill>
        <patternFill>
          <bgColor rgb="FFD8EEC0"/>
        </patternFill>
      </fill>
    </dxf>
    <dxf>
      <fill>
        <patternFill>
          <bgColor rgb="FFD1F3FF"/>
        </patternFill>
      </fill>
    </dxf>
    <dxf>
      <fill>
        <patternFill>
          <bgColor rgb="FFE8D1FF"/>
        </patternFill>
      </fill>
    </dxf>
    <dxf>
      <fill>
        <patternFill>
          <bgColor rgb="FFE9D3BD"/>
        </patternFill>
      </fill>
    </dxf>
    <dxf>
      <fill>
        <patternFill>
          <bgColor rgb="FFFFE5F2"/>
        </patternFill>
      </fill>
    </dxf>
    <dxf>
      <fill>
        <patternFill>
          <bgColor rgb="FFFFC5C5"/>
        </patternFill>
      </fill>
    </dxf>
    <dxf>
      <fill>
        <patternFill>
          <bgColor rgb="FFFDDBBF"/>
        </patternFill>
      </fill>
    </dxf>
    <dxf>
      <fill>
        <patternFill>
          <bgColor rgb="FFFFFFC9"/>
        </patternFill>
      </fill>
    </dxf>
    <dxf>
      <fill>
        <patternFill>
          <bgColor rgb="FFD8EEC0"/>
        </patternFill>
      </fill>
    </dxf>
    <dxf>
      <fill>
        <patternFill>
          <bgColor rgb="FFD1F3FF"/>
        </patternFill>
      </fill>
    </dxf>
    <dxf>
      <fill>
        <patternFill>
          <bgColor rgb="FFE8D1FF"/>
        </patternFill>
      </fill>
    </dxf>
    <dxf>
      <fill>
        <patternFill>
          <bgColor rgb="FFE9D3BD"/>
        </patternFill>
      </fill>
    </dxf>
    <dxf>
      <fill>
        <patternFill>
          <bgColor rgb="FFFFE5F2"/>
        </patternFill>
      </fill>
    </dxf>
    <dxf>
      <fill>
        <patternFill>
          <bgColor rgb="FFEAEAEA"/>
        </patternFill>
      </fill>
    </dxf>
    <dxf>
      <fill>
        <patternFill>
          <bgColor rgb="FFFFC5C5"/>
        </patternFill>
      </fill>
    </dxf>
    <dxf>
      <fill>
        <patternFill>
          <bgColor rgb="FFFDDBBF"/>
        </patternFill>
      </fill>
    </dxf>
    <dxf>
      <fill>
        <patternFill>
          <bgColor rgb="FFFFFFC9"/>
        </patternFill>
      </fill>
    </dxf>
  </dxfs>
  <tableStyles count="0" defaultTableStyle="TableStyleMedium9" defaultPivotStyle="PivotStyleLight16"/>
  <colors>
    <mruColors>
      <color rgb="FF777777"/>
      <color rgb="FFFFC5C5"/>
      <color rgb="FFFDDBBF"/>
      <color rgb="FFFFFFC9"/>
      <color rgb="FFD8EEC0"/>
      <color rgb="FFD1F3FF"/>
      <color rgb="FFE8D1FF"/>
      <color rgb="FFE9D3BD"/>
      <color rgb="FFFFE5F2"/>
      <color rgb="FFECD9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176"/>
  <sheetViews>
    <sheetView tabSelected="1" zoomScaleSheetLayoutView="50" workbookViewId="0">
      <pane ySplit="5" topLeftCell="A30" activePane="bottomLeft" state="frozen"/>
      <selection pane="bottomLeft" activeCell="K30" sqref="K30"/>
    </sheetView>
  </sheetViews>
  <sheetFormatPr baseColWidth="10" defaultColWidth="9.1640625" defaultRowHeight="12" x14ac:dyDescent="0"/>
  <cols>
    <col min="1" max="1" width="8.6640625" style="536" bestFit="1" customWidth="1"/>
    <col min="2" max="2" width="12.1640625" style="1" bestFit="1" customWidth="1"/>
    <col min="3" max="3" width="33.6640625" style="1" bestFit="1" customWidth="1"/>
    <col min="4" max="4" width="8" style="1" customWidth="1"/>
    <col min="5" max="5" width="6.83203125" style="1" bestFit="1" customWidth="1"/>
    <col min="6" max="6" width="9.1640625" style="1"/>
    <col min="7" max="7" width="2.33203125" style="1" customWidth="1"/>
    <col min="8" max="8" width="9.5" style="1" bestFit="1" customWidth="1"/>
    <col min="9" max="9" width="10.83203125" style="1" bestFit="1" customWidth="1"/>
    <col min="10" max="10" width="35.5" style="1" customWidth="1"/>
    <col min="11" max="11" width="7.6640625" style="1" customWidth="1"/>
    <col min="12" max="12" width="8.5" style="1" bestFit="1" customWidth="1"/>
    <col min="13" max="13" width="9.1640625" style="4"/>
    <col min="14" max="14" width="2.1640625" style="1" customWidth="1"/>
    <col min="15" max="15" width="8.6640625" style="1" bestFit="1" customWidth="1"/>
    <col min="16" max="16" width="2.5" style="1" bestFit="1" customWidth="1"/>
    <col min="17" max="17" width="6" style="467" bestFit="1" customWidth="1"/>
    <col min="18" max="18" width="2.5" style="1" bestFit="1" customWidth="1"/>
    <col min="19" max="19" width="9" style="13" customWidth="1"/>
    <col min="20" max="20" width="2.1640625" style="1" customWidth="1"/>
    <col min="21" max="21" width="6.33203125" style="1" bestFit="1" customWidth="1"/>
    <col min="22" max="22" width="2.5" style="1" bestFit="1" customWidth="1"/>
    <col min="23" max="23" width="6" style="1" bestFit="1" customWidth="1"/>
    <col min="24" max="24" width="2.5" style="1" bestFit="1" customWidth="1"/>
    <col min="25" max="25" width="8.6640625" style="1" customWidth="1"/>
    <col min="26" max="26" width="1.5" style="1" customWidth="1"/>
    <col min="27" max="27" width="1.83203125" style="1" customWidth="1"/>
    <col min="28" max="16384" width="9.1640625" style="1"/>
  </cols>
  <sheetData>
    <row r="1" spans="1:27" ht="13" thickBot="1">
      <c r="A1" s="499"/>
      <c r="B1" s="133" t="s">
        <v>103</v>
      </c>
      <c r="C1" s="105" t="s">
        <v>340</v>
      </c>
      <c r="D1" s="134" t="s">
        <v>226</v>
      </c>
      <c r="E1" s="134"/>
      <c r="F1" s="635" t="s">
        <v>259</v>
      </c>
      <c r="G1" s="635"/>
      <c r="H1" s="635"/>
      <c r="I1" s="622" t="str">
        <f>IF(F1=B169,H173,IF(F1=B170,H173,IF(F1=B171,H173,IF(F1=B172,H173,IF(F1=B173,H174,IF(F1=B174,H174,IF(F1=B175,H174,IF(F1=B176,H174,IF(F1=B177,H173)))))))))</f>
        <v>RIT ELECTRICAL ENGINEERING - DUAL DEGREE BSMS - SEMESTER CONVERSION CHECKLIST</v>
      </c>
      <c r="J1" s="622"/>
      <c r="K1" s="622"/>
      <c r="L1" s="622"/>
      <c r="M1" s="622"/>
      <c r="N1" s="622"/>
      <c r="O1" s="622"/>
      <c r="P1" s="622"/>
      <c r="Q1" s="622"/>
      <c r="R1" s="622"/>
      <c r="S1" s="622"/>
      <c r="T1" s="622"/>
      <c r="U1" s="622"/>
      <c r="V1" s="622"/>
      <c r="W1" s="622"/>
      <c r="X1" s="622"/>
      <c r="Y1" s="622"/>
      <c r="Z1" s="118"/>
      <c r="AA1" s="2"/>
    </row>
    <row r="2" spans="1:27" ht="13" thickBot="1">
      <c r="A2" s="499"/>
      <c r="B2" s="133" t="s">
        <v>234</v>
      </c>
      <c r="C2" s="106" t="s">
        <v>341</v>
      </c>
      <c r="D2" s="136" t="s">
        <v>227</v>
      </c>
      <c r="E2" s="136"/>
      <c r="F2" s="617">
        <v>2121</v>
      </c>
      <c r="G2" s="135"/>
      <c r="H2" s="616">
        <f>O98</f>
        <v>63</v>
      </c>
      <c r="I2" s="490" t="s">
        <v>306</v>
      </c>
      <c r="J2" s="490"/>
      <c r="K2" s="490"/>
      <c r="L2" s="490"/>
      <c r="M2" s="490"/>
      <c r="N2" s="490"/>
      <c r="O2" s="490"/>
      <c r="P2" s="490"/>
      <c r="Q2" s="490"/>
      <c r="R2" s="490"/>
      <c r="S2" s="490"/>
      <c r="T2" s="490"/>
      <c r="U2" s="490"/>
      <c r="V2" s="490"/>
      <c r="W2" s="490"/>
      <c r="X2" s="490"/>
      <c r="Y2" s="135"/>
      <c r="Z2" s="118"/>
      <c r="AA2" s="2"/>
    </row>
    <row r="3" spans="1:27" ht="47.25" customHeight="1" thickBot="1">
      <c r="A3" s="500"/>
      <c r="B3" s="137"/>
      <c r="C3" s="138" t="s">
        <v>36</v>
      </c>
      <c r="D3" s="634" t="s">
        <v>88</v>
      </c>
      <c r="E3" s="634"/>
      <c r="F3" s="137"/>
      <c r="G3" s="132"/>
      <c r="H3" s="137"/>
      <c r="I3" s="137"/>
      <c r="J3" s="138" t="s">
        <v>37</v>
      </c>
      <c r="K3" s="634" t="s">
        <v>88</v>
      </c>
      <c r="L3" s="634"/>
      <c r="M3" s="498"/>
      <c r="N3" s="132"/>
      <c r="O3" s="634" t="s">
        <v>44</v>
      </c>
      <c r="P3" s="636"/>
      <c r="Q3" s="636"/>
      <c r="R3" s="636"/>
      <c r="S3" s="636"/>
      <c r="T3" s="132"/>
      <c r="U3" s="634" t="s">
        <v>45</v>
      </c>
      <c r="V3" s="636"/>
      <c r="W3" s="636"/>
      <c r="X3" s="636"/>
      <c r="Y3" s="636"/>
      <c r="Z3" s="118"/>
      <c r="AA3" s="2"/>
    </row>
    <row r="4" spans="1:27" ht="24">
      <c r="A4" s="501"/>
      <c r="B4" s="139"/>
      <c r="C4" s="140" t="s">
        <v>35</v>
      </c>
      <c r="D4" s="140" t="s">
        <v>89</v>
      </c>
      <c r="E4" s="140" t="s">
        <v>77</v>
      </c>
      <c r="F4" s="141"/>
      <c r="G4" s="132"/>
      <c r="H4" s="139"/>
      <c r="I4" s="139"/>
      <c r="J4" s="140" t="s">
        <v>35</v>
      </c>
      <c r="K4" s="140" t="s">
        <v>89</v>
      </c>
      <c r="L4" s="140" t="s">
        <v>77</v>
      </c>
      <c r="M4" s="142"/>
      <c r="N4" s="132"/>
      <c r="O4" s="143"/>
      <c r="P4" s="144"/>
      <c r="Q4" s="455"/>
      <c r="R4" s="132"/>
      <c r="S4" s="143" t="s">
        <v>76</v>
      </c>
      <c r="T4" s="132"/>
      <c r="U4" s="143"/>
      <c r="V4" s="144"/>
      <c r="W4" s="143"/>
      <c r="X4" s="132"/>
      <c r="Y4" s="143" t="s">
        <v>76</v>
      </c>
      <c r="Z4" s="8"/>
      <c r="AA4" s="2"/>
    </row>
    <row r="5" spans="1:27" ht="13" thickBot="1">
      <c r="A5" s="502" t="s">
        <v>43</v>
      </c>
      <c r="B5" s="145" t="s">
        <v>2</v>
      </c>
      <c r="C5" s="146" t="s">
        <v>33</v>
      </c>
      <c r="D5" s="145"/>
      <c r="E5" s="145"/>
      <c r="F5" s="147" t="s">
        <v>3</v>
      </c>
      <c r="G5" s="132"/>
      <c r="H5" s="145" t="s">
        <v>42</v>
      </c>
      <c r="I5" s="145" t="s">
        <v>2</v>
      </c>
      <c r="J5" s="146" t="s">
        <v>34</v>
      </c>
      <c r="K5" s="137"/>
      <c r="L5" s="148"/>
      <c r="M5" s="149" t="s">
        <v>1</v>
      </c>
      <c r="N5" s="132"/>
      <c r="O5" s="150" t="s">
        <v>3</v>
      </c>
      <c r="P5" s="151" t="s">
        <v>4</v>
      </c>
      <c r="Q5" s="456" t="s">
        <v>1</v>
      </c>
      <c r="R5" s="151" t="s">
        <v>5</v>
      </c>
      <c r="S5" s="153" t="s">
        <v>1</v>
      </c>
      <c r="T5" s="132"/>
      <c r="U5" s="150" t="s">
        <v>3</v>
      </c>
      <c r="V5" s="151" t="s">
        <v>4</v>
      </c>
      <c r="W5" s="152" t="s">
        <v>1</v>
      </c>
      <c r="X5" s="151" t="s">
        <v>5</v>
      </c>
      <c r="Y5" s="152" t="s">
        <v>1</v>
      </c>
      <c r="Z5" s="7"/>
      <c r="AA5" s="2"/>
    </row>
    <row r="6" spans="1:27" ht="15.75" customHeight="1" thickBot="1">
      <c r="A6" s="503"/>
      <c r="B6" s="154"/>
      <c r="C6" s="155" t="s">
        <v>7</v>
      </c>
      <c r="D6" s="156"/>
      <c r="E6" s="156"/>
      <c r="F6" s="157"/>
      <c r="G6" s="132"/>
      <c r="H6" s="154"/>
      <c r="I6" s="154"/>
      <c r="J6" s="155" t="s">
        <v>7</v>
      </c>
      <c r="K6" s="158"/>
      <c r="L6" s="158"/>
      <c r="M6" s="159"/>
      <c r="N6" s="132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5"/>
      <c r="AA6" s="2"/>
    </row>
    <row r="7" spans="1:27" ht="15.75" customHeight="1">
      <c r="A7" s="554" t="s">
        <v>0</v>
      </c>
      <c r="B7" s="162" t="s">
        <v>115</v>
      </c>
      <c r="C7" s="163" t="s">
        <v>221</v>
      </c>
      <c r="D7" s="164" t="s">
        <v>0</v>
      </c>
      <c r="E7" s="164"/>
      <c r="F7" s="165">
        <v>4</v>
      </c>
      <c r="G7" s="166"/>
      <c r="H7" s="221"/>
      <c r="I7" s="167"/>
      <c r="J7" s="167"/>
      <c r="K7" s="167"/>
      <c r="L7" s="540"/>
      <c r="M7" s="168"/>
      <c r="N7" s="169"/>
      <c r="O7" s="170">
        <f t="shared" ref="O7:O15" si="0">SUMIF($E7,$H$141,$F7)</f>
        <v>0</v>
      </c>
      <c r="P7" s="170"/>
      <c r="Q7" s="172">
        <f t="shared" ref="Q7:Q15" si="1">SUMIF($L7,$H$141,$M7)</f>
        <v>0</v>
      </c>
      <c r="R7" s="170"/>
      <c r="S7" s="171">
        <f>2/3* O7 + Q7</f>
        <v>0</v>
      </c>
      <c r="T7" s="169"/>
      <c r="U7" s="170">
        <f t="shared" ref="U7:U15" si="2">SUMIF($E7,$H$142,$F7)</f>
        <v>0</v>
      </c>
      <c r="V7" s="170"/>
      <c r="W7" s="172">
        <f t="shared" ref="W7:W15" si="3">SUMIF($L7,$H$142,$M7)</f>
        <v>0</v>
      </c>
      <c r="X7" s="170"/>
      <c r="Y7" s="171">
        <f>2/3* U7 + W7</f>
        <v>0</v>
      </c>
      <c r="Z7" s="18"/>
      <c r="AA7" s="2"/>
    </row>
    <row r="8" spans="1:27" ht="15.75" customHeight="1">
      <c r="A8" s="504" t="s">
        <v>0</v>
      </c>
      <c r="B8" s="173" t="s">
        <v>237</v>
      </c>
      <c r="C8" s="174" t="s">
        <v>116</v>
      </c>
      <c r="D8" s="35"/>
      <c r="E8" s="35" t="s">
        <v>342</v>
      </c>
      <c r="F8" s="170">
        <v>4</v>
      </c>
      <c r="G8" s="166"/>
      <c r="H8" s="29"/>
      <c r="I8" s="174" t="s">
        <v>321</v>
      </c>
      <c r="J8" s="174" t="s">
        <v>8</v>
      </c>
      <c r="K8" s="64"/>
      <c r="L8" s="65"/>
      <c r="M8" s="172">
        <v>4</v>
      </c>
      <c r="N8" s="169"/>
      <c r="O8" s="170">
        <f t="shared" si="0"/>
        <v>4</v>
      </c>
      <c r="P8" s="170"/>
      <c r="Q8" s="172">
        <f t="shared" si="1"/>
        <v>0</v>
      </c>
      <c r="R8" s="170"/>
      <c r="S8" s="171">
        <f t="shared" ref="S8:S23" si="4">2/3* O8 + Q8</f>
        <v>2.6666666666666665</v>
      </c>
      <c r="T8" s="169"/>
      <c r="U8" s="170">
        <f t="shared" si="2"/>
        <v>0</v>
      </c>
      <c r="V8" s="170"/>
      <c r="W8" s="172">
        <f t="shared" si="3"/>
        <v>0</v>
      </c>
      <c r="X8" s="170"/>
      <c r="Y8" s="171">
        <f t="shared" ref="Y8:Y23" si="5">2/3* U8 + W8</f>
        <v>0</v>
      </c>
      <c r="Z8" s="18"/>
      <c r="AA8" s="2"/>
    </row>
    <row r="9" spans="1:27" s="3" customFormat="1" ht="26.25" customHeight="1">
      <c r="A9" s="372"/>
      <c r="B9" s="453" t="s">
        <v>238</v>
      </c>
      <c r="C9" s="294" t="s">
        <v>117</v>
      </c>
      <c r="D9" s="605"/>
      <c r="E9" s="605" t="s">
        <v>342</v>
      </c>
      <c r="F9" s="100">
        <v>4</v>
      </c>
      <c r="G9" s="236"/>
      <c r="H9" s="102"/>
      <c r="I9" s="608"/>
      <c r="J9" s="640" t="s">
        <v>329</v>
      </c>
      <c r="K9" s="638"/>
      <c r="L9" s="639"/>
      <c r="M9" s="301"/>
      <c r="N9" s="236"/>
      <c r="O9" s="100">
        <f t="shared" si="0"/>
        <v>4</v>
      </c>
      <c r="P9" s="100"/>
      <c r="Q9" s="288">
        <f t="shared" si="1"/>
        <v>0</v>
      </c>
      <c r="R9" s="100"/>
      <c r="S9" s="592">
        <f t="shared" si="4"/>
        <v>2.6666666666666665</v>
      </c>
      <c r="T9" s="236"/>
      <c r="U9" s="100">
        <f t="shared" si="2"/>
        <v>0</v>
      </c>
      <c r="V9" s="100"/>
      <c r="W9" s="288">
        <f t="shared" si="3"/>
        <v>0</v>
      </c>
      <c r="X9" s="100"/>
      <c r="Y9" s="592">
        <f t="shared" si="5"/>
        <v>0</v>
      </c>
      <c r="Z9" s="606"/>
      <c r="AA9" s="607"/>
    </row>
    <row r="10" spans="1:27" ht="15.75" customHeight="1">
      <c r="A10" s="504"/>
      <c r="B10" s="176" t="s">
        <v>118</v>
      </c>
      <c r="C10" s="177" t="s">
        <v>119</v>
      </c>
      <c r="D10" s="35"/>
      <c r="E10" s="35" t="s">
        <v>342</v>
      </c>
      <c r="F10" s="170">
        <v>4</v>
      </c>
      <c r="G10" s="166"/>
      <c r="H10" s="29"/>
      <c r="I10" s="177" t="s">
        <v>320</v>
      </c>
      <c r="J10" s="177" t="s">
        <v>9</v>
      </c>
      <c r="K10" s="66"/>
      <c r="L10" s="67"/>
      <c r="M10" s="172">
        <v>4</v>
      </c>
      <c r="N10" s="169"/>
      <c r="O10" s="170">
        <f t="shared" si="0"/>
        <v>4</v>
      </c>
      <c r="P10" s="170"/>
      <c r="Q10" s="172">
        <f t="shared" si="1"/>
        <v>0</v>
      </c>
      <c r="R10" s="170"/>
      <c r="S10" s="171">
        <f t="shared" si="4"/>
        <v>2.6666666666666665</v>
      </c>
      <c r="T10" s="169"/>
      <c r="U10" s="170">
        <f t="shared" si="2"/>
        <v>0</v>
      </c>
      <c r="V10" s="170"/>
      <c r="W10" s="172">
        <f t="shared" si="3"/>
        <v>0</v>
      </c>
      <c r="X10" s="170"/>
      <c r="Y10" s="171">
        <f t="shared" si="5"/>
        <v>0</v>
      </c>
      <c r="Z10" s="18"/>
      <c r="AA10" s="2"/>
    </row>
    <row r="11" spans="1:27" ht="15.75" customHeight="1">
      <c r="A11" s="504"/>
      <c r="B11" s="176" t="s">
        <v>18</v>
      </c>
      <c r="C11" s="177" t="s">
        <v>332</v>
      </c>
      <c r="D11" s="35"/>
      <c r="E11" s="35" t="s">
        <v>342</v>
      </c>
      <c r="F11" s="170">
        <v>4</v>
      </c>
      <c r="G11" s="166"/>
      <c r="H11" s="29"/>
      <c r="I11" s="177" t="s">
        <v>319</v>
      </c>
      <c r="J11" s="177" t="s">
        <v>126</v>
      </c>
      <c r="K11" s="66"/>
      <c r="L11" s="67"/>
      <c r="M11" s="172">
        <v>4</v>
      </c>
      <c r="N11" s="169"/>
      <c r="O11" s="170">
        <f t="shared" si="0"/>
        <v>4</v>
      </c>
      <c r="P11" s="170"/>
      <c r="Q11" s="172">
        <f t="shared" si="1"/>
        <v>0</v>
      </c>
      <c r="R11" s="170"/>
      <c r="S11" s="171">
        <f t="shared" si="4"/>
        <v>2.6666666666666665</v>
      </c>
      <c r="T11" s="169"/>
      <c r="U11" s="170">
        <f t="shared" si="2"/>
        <v>0</v>
      </c>
      <c r="V11" s="170"/>
      <c r="W11" s="172">
        <f t="shared" si="3"/>
        <v>0</v>
      </c>
      <c r="X11" s="170"/>
      <c r="Y11" s="171">
        <f t="shared" si="5"/>
        <v>0</v>
      </c>
      <c r="Z11" s="18"/>
      <c r="AA11" s="2"/>
    </row>
    <row r="12" spans="1:27" ht="15.75" customHeight="1">
      <c r="A12" s="504">
        <v>2123</v>
      </c>
      <c r="B12" s="176" t="s">
        <v>120</v>
      </c>
      <c r="C12" s="177" t="s">
        <v>333</v>
      </c>
      <c r="D12" s="35"/>
      <c r="E12" s="35" t="s">
        <v>355</v>
      </c>
      <c r="F12" s="170">
        <v>4</v>
      </c>
      <c r="G12" s="166"/>
      <c r="H12" s="541"/>
      <c r="I12" s="604"/>
      <c r="J12" s="609" t="s">
        <v>324</v>
      </c>
      <c r="K12" s="546"/>
      <c r="L12" s="544"/>
      <c r="M12" s="545"/>
      <c r="N12" s="169"/>
      <c r="O12" s="170">
        <f t="shared" si="0"/>
        <v>0</v>
      </c>
      <c r="P12" s="170"/>
      <c r="Q12" s="172">
        <f t="shared" si="1"/>
        <v>0</v>
      </c>
      <c r="R12" s="170"/>
      <c r="S12" s="171">
        <f t="shared" si="4"/>
        <v>0</v>
      </c>
      <c r="T12" s="169"/>
      <c r="U12" s="170">
        <f t="shared" si="2"/>
        <v>4</v>
      </c>
      <c r="V12" s="170"/>
      <c r="W12" s="172">
        <f t="shared" si="3"/>
        <v>0</v>
      </c>
      <c r="X12" s="170"/>
      <c r="Y12" s="171">
        <f t="shared" si="5"/>
        <v>2.6666666666666665</v>
      </c>
      <c r="Z12" s="18"/>
      <c r="AA12" s="2"/>
    </row>
    <row r="13" spans="1:27" ht="15.75" customHeight="1">
      <c r="A13" s="504"/>
      <c r="B13" s="176" t="s">
        <v>19</v>
      </c>
      <c r="C13" s="177" t="s">
        <v>121</v>
      </c>
      <c r="D13" s="35"/>
      <c r="E13" s="35" t="s">
        <v>342</v>
      </c>
      <c r="F13" s="170">
        <v>4</v>
      </c>
      <c r="G13" s="166"/>
      <c r="H13" s="29"/>
      <c r="I13" s="177" t="s">
        <v>318</v>
      </c>
      <c r="J13" s="177" t="s">
        <v>20</v>
      </c>
      <c r="K13" s="66"/>
      <c r="L13" s="67"/>
      <c r="M13" s="172">
        <v>3</v>
      </c>
      <c r="N13" s="169"/>
      <c r="O13" s="170">
        <f t="shared" si="0"/>
        <v>4</v>
      </c>
      <c r="P13" s="170"/>
      <c r="Q13" s="172">
        <f t="shared" si="1"/>
        <v>0</v>
      </c>
      <c r="R13" s="170"/>
      <c r="S13" s="171">
        <f t="shared" si="4"/>
        <v>2.6666666666666665</v>
      </c>
      <c r="T13" s="169"/>
      <c r="U13" s="170">
        <f t="shared" si="2"/>
        <v>0</v>
      </c>
      <c r="V13" s="170"/>
      <c r="W13" s="172">
        <f t="shared" si="3"/>
        <v>0</v>
      </c>
      <c r="X13" s="170"/>
      <c r="Y13" s="171">
        <f t="shared" si="5"/>
        <v>0</v>
      </c>
      <c r="Z13" s="18"/>
      <c r="AA13" s="2"/>
    </row>
    <row r="14" spans="1:27" ht="15.75" customHeight="1">
      <c r="A14" s="504"/>
      <c r="B14" s="176" t="s">
        <v>122</v>
      </c>
      <c r="C14" s="177" t="s">
        <v>123</v>
      </c>
      <c r="D14" s="35"/>
      <c r="E14" s="35"/>
      <c r="F14" s="170">
        <v>4</v>
      </c>
      <c r="G14" s="166"/>
      <c r="H14" s="29">
        <v>2135</v>
      </c>
      <c r="I14" s="177" t="s">
        <v>317</v>
      </c>
      <c r="J14" s="177" t="s">
        <v>127</v>
      </c>
      <c r="K14" s="66"/>
      <c r="L14" s="67" t="s">
        <v>355</v>
      </c>
      <c r="M14" s="172">
        <v>3</v>
      </c>
      <c r="N14" s="169"/>
      <c r="O14" s="170">
        <f t="shared" si="0"/>
        <v>0</v>
      </c>
      <c r="P14" s="170"/>
      <c r="Q14" s="172">
        <f t="shared" si="1"/>
        <v>0</v>
      </c>
      <c r="R14" s="170"/>
      <c r="S14" s="171">
        <f t="shared" si="4"/>
        <v>0</v>
      </c>
      <c r="T14" s="169"/>
      <c r="U14" s="170">
        <f t="shared" si="2"/>
        <v>0</v>
      </c>
      <c r="V14" s="170"/>
      <c r="W14" s="172">
        <f t="shared" si="3"/>
        <v>3</v>
      </c>
      <c r="X14" s="170"/>
      <c r="Y14" s="171">
        <f t="shared" si="5"/>
        <v>3</v>
      </c>
      <c r="Z14" s="18"/>
      <c r="AA14" s="2"/>
    </row>
    <row r="15" spans="1:27" ht="15.75" customHeight="1" thickBot="1">
      <c r="A15" s="505"/>
      <c r="B15" s="179" t="s">
        <v>124</v>
      </c>
      <c r="C15" s="180" t="s">
        <v>125</v>
      </c>
      <c r="D15" s="36"/>
      <c r="E15" s="36"/>
      <c r="F15" s="181">
        <v>4</v>
      </c>
      <c r="G15" s="166"/>
      <c r="H15" s="30">
        <v>2131</v>
      </c>
      <c r="I15" s="180" t="s">
        <v>316</v>
      </c>
      <c r="J15" s="180" t="s">
        <v>128</v>
      </c>
      <c r="K15" s="68"/>
      <c r="L15" s="69" t="s">
        <v>355</v>
      </c>
      <c r="M15" s="182">
        <v>3</v>
      </c>
      <c r="N15" s="169"/>
      <c r="O15" s="170">
        <f t="shared" si="0"/>
        <v>0</v>
      </c>
      <c r="P15" s="170"/>
      <c r="Q15" s="172">
        <f t="shared" si="1"/>
        <v>0</v>
      </c>
      <c r="R15" s="170"/>
      <c r="S15" s="171">
        <f t="shared" si="4"/>
        <v>0</v>
      </c>
      <c r="T15" s="169"/>
      <c r="U15" s="170">
        <f t="shared" si="2"/>
        <v>0</v>
      </c>
      <c r="V15" s="170"/>
      <c r="W15" s="172">
        <f t="shared" si="3"/>
        <v>3</v>
      </c>
      <c r="X15" s="170"/>
      <c r="Y15" s="171">
        <f t="shared" si="5"/>
        <v>3</v>
      </c>
      <c r="Z15" s="18"/>
      <c r="AA15" s="2"/>
    </row>
    <row r="16" spans="1:27" ht="15.75" customHeight="1" thickBot="1">
      <c r="A16" s="555"/>
      <c r="B16" s="183"/>
      <c r="C16" s="184" t="s">
        <v>6</v>
      </c>
      <c r="D16" s="556"/>
      <c r="E16" s="556"/>
      <c r="F16" s="185"/>
      <c r="G16" s="132"/>
      <c r="H16" s="183"/>
      <c r="I16" s="183"/>
      <c r="J16" s="184" t="s">
        <v>6</v>
      </c>
      <c r="K16" s="557"/>
      <c r="L16" s="557"/>
      <c r="M16" s="186"/>
      <c r="N16" s="132"/>
      <c r="O16" s="187"/>
      <c r="P16" s="187"/>
      <c r="Q16" s="187"/>
      <c r="R16" s="187"/>
      <c r="S16" s="171"/>
      <c r="T16" s="187"/>
      <c r="U16" s="187"/>
      <c r="V16" s="187"/>
      <c r="W16" s="187"/>
      <c r="X16" s="187"/>
      <c r="Y16" s="171"/>
      <c r="Z16" s="6"/>
      <c r="AA16" s="2"/>
    </row>
    <row r="17" spans="1:27" ht="15.75" customHeight="1">
      <c r="A17" s="506"/>
      <c r="B17" s="188" t="s">
        <v>17</v>
      </c>
      <c r="C17" s="189" t="s">
        <v>132</v>
      </c>
      <c r="D17" s="37"/>
      <c r="E17" s="38" t="s">
        <v>342</v>
      </c>
      <c r="F17" s="190">
        <v>4</v>
      </c>
      <c r="G17" s="135"/>
      <c r="H17" s="60"/>
      <c r="I17" s="189" t="s">
        <v>314</v>
      </c>
      <c r="J17" s="191" t="s">
        <v>236</v>
      </c>
      <c r="K17" s="70"/>
      <c r="L17" s="71"/>
      <c r="M17" s="192">
        <v>3</v>
      </c>
      <c r="N17" s="132"/>
      <c r="O17" s="193">
        <f t="shared" ref="O17:O23" si="6">SUMIF($E17,$H$141,$F17)</f>
        <v>4</v>
      </c>
      <c r="P17" s="194"/>
      <c r="Q17" s="196">
        <f t="shared" ref="Q17:Q23" si="7">SUMIF($L17,$H$141,$M17)</f>
        <v>0</v>
      </c>
      <c r="R17" s="194"/>
      <c r="S17" s="171">
        <f t="shared" si="4"/>
        <v>2.6666666666666665</v>
      </c>
      <c r="T17" s="195"/>
      <c r="U17" s="194">
        <f t="shared" ref="U17:U23" si="8">SUMIF($E17,$H$142,$F17)</f>
        <v>0</v>
      </c>
      <c r="V17" s="194"/>
      <c r="W17" s="196">
        <f t="shared" ref="W17:W23" si="9">SUMIF($L17,$H$142,$M17)</f>
        <v>0</v>
      </c>
      <c r="X17" s="194"/>
      <c r="Y17" s="171">
        <f t="shared" si="5"/>
        <v>0</v>
      </c>
      <c r="Z17" s="6"/>
      <c r="AA17" s="2"/>
    </row>
    <row r="18" spans="1:27" ht="32.25" customHeight="1">
      <c r="A18" s="507"/>
      <c r="B18" s="197" t="s">
        <v>230</v>
      </c>
      <c r="C18" s="198" t="s">
        <v>231</v>
      </c>
      <c r="D18" s="39"/>
      <c r="E18" s="40" t="s">
        <v>342</v>
      </c>
      <c r="F18" s="199">
        <v>5</v>
      </c>
      <c r="G18" s="135"/>
      <c r="H18" s="61"/>
      <c r="I18" s="200" t="s">
        <v>315</v>
      </c>
      <c r="J18" s="201" t="s">
        <v>21</v>
      </c>
      <c r="K18" s="72"/>
      <c r="L18" s="73"/>
      <c r="M18" s="202">
        <v>4</v>
      </c>
      <c r="N18" s="203"/>
      <c r="O18" s="204">
        <f t="shared" si="6"/>
        <v>5</v>
      </c>
      <c r="P18" s="205"/>
      <c r="Q18" s="202">
        <f t="shared" si="7"/>
        <v>0</v>
      </c>
      <c r="R18" s="205"/>
      <c r="S18" s="300">
        <f t="shared" si="4"/>
        <v>3.333333333333333</v>
      </c>
      <c r="T18" s="206"/>
      <c r="U18" s="205">
        <f t="shared" si="8"/>
        <v>0</v>
      </c>
      <c r="V18" s="205"/>
      <c r="W18" s="202">
        <f t="shared" si="9"/>
        <v>0</v>
      </c>
      <c r="X18" s="205"/>
      <c r="Y18" s="300">
        <f t="shared" si="5"/>
        <v>0</v>
      </c>
      <c r="Z18" s="6"/>
      <c r="AA18" s="2"/>
    </row>
    <row r="19" spans="1:27" ht="15.75" customHeight="1">
      <c r="A19" s="507">
        <v>2123</v>
      </c>
      <c r="B19" s="207" t="s">
        <v>330</v>
      </c>
      <c r="C19" s="208" t="s">
        <v>133</v>
      </c>
      <c r="D19" s="41"/>
      <c r="E19" s="42" t="s">
        <v>355</v>
      </c>
      <c r="F19" s="209">
        <v>3</v>
      </c>
      <c r="G19" s="135"/>
      <c r="H19" s="612"/>
      <c r="I19" s="546"/>
      <c r="J19" s="542"/>
      <c r="K19" s="543"/>
      <c r="L19" s="547"/>
      <c r="M19" s="544"/>
      <c r="N19" s="132"/>
      <c r="O19" s="210">
        <f t="shared" si="6"/>
        <v>0</v>
      </c>
      <c r="P19" s="211"/>
      <c r="Q19" s="214">
        <f t="shared" si="7"/>
        <v>0</v>
      </c>
      <c r="R19" s="211"/>
      <c r="S19" s="171">
        <f t="shared" si="4"/>
        <v>0</v>
      </c>
      <c r="T19" s="213"/>
      <c r="U19" s="211">
        <f t="shared" si="8"/>
        <v>3</v>
      </c>
      <c r="V19" s="211"/>
      <c r="W19" s="214">
        <f t="shared" si="9"/>
        <v>0</v>
      </c>
      <c r="X19" s="211"/>
      <c r="Y19" s="171">
        <f t="shared" si="5"/>
        <v>2</v>
      </c>
      <c r="Z19" s="6"/>
      <c r="AA19" s="2"/>
    </row>
    <row r="20" spans="1:27" ht="26.25" customHeight="1">
      <c r="A20" s="593"/>
      <c r="B20" s="594" t="s">
        <v>232</v>
      </c>
      <c r="C20" s="469" t="s">
        <v>233</v>
      </c>
      <c r="D20" s="595"/>
      <c r="E20" s="596"/>
      <c r="F20" s="597">
        <v>5</v>
      </c>
      <c r="G20" s="286"/>
      <c r="H20" s="598"/>
      <c r="I20" s="604"/>
      <c r="J20" s="637" t="s">
        <v>325</v>
      </c>
      <c r="K20" s="638"/>
      <c r="L20" s="639"/>
      <c r="M20" s="599"/>
      <c r="N20" s="286"/>
      <c r="O20" s="600">
        <f t="shared" si="6"/>
        <v>0</v>
      </c>
      <c r="P20" s="601"/>
      <c r="Q20" s="602">
        <f t="shared" si="7"/>
        <v>0</v>
      </c>
      <c r="R20" s="601"/>
      <c r="S20" s="592">
        <f t="shared" si="4"/>
        <v>0</v>
      </c>
      <c r="T20" s="603"/>
      <c r="U20" s="601">
        <f t="shared" si="8"/>
        <v>0</v>
      </c>
      <c r="V20" s="601"/>
      <c r="W20" s="602">
        <f t="shared" si="9"/>
        <v>0</v>
      </c>
      <c r="X20" s="601"/>
      <c r="Y20" s="592">
        <f t="shared" si="5"/>
        <v>0</v>
      </c>
      <c r="Z20" s="6"/>
      <c r="AA20" s="2"/>
    </row>
    <row r="21" spans="1:27" ht="15.75" customHeight="1">
      <c r="A21" s="507"/>
      <c r="B21" s="215" t="s">
        <v>31</v>
      </c>
      <c r="C21" s="219" t="s">
        <v>134</v>
      </c>
      <c r="D21" s="123"/>
      <c r="E21" s="44"/>
      <c r="F21" s="220">
        <v>4</v>
      </c>
      <c r="G21" s="135"/>
      <c r="H21" s="61">
        <v>2131</v>
      </c>
      <c r="I21" s="216" t="s">
        <v>322</v>
      </c>
      <c r="J21" s="218" t="s">
        <v>22</v>
      </c>
      <c r="K21" s="74"/>
      <c r="L21" s="75" t="s">
        <v>355</v>
      </c>
      <c r="M21" s="214">
        <v>4</v>
      </c>
      <c r="N21" s="132"/>
      <c r="O21" s="210">
        <f t="shared" si="6"/>
        <v>0</v>
      </c>
      <c r="P21" s="211"/>
      <c r="Q21" s="214">
        <f t="shared" si="7"/>
        <v>0</v>
      </c>
      <c r="R21" s="211"/>
      <c r="S21" s="171">
        <f t="shared" si="4"/>
        <v>0</v>
      </c>
      <c r="T21" s="213"/>
      <c r="U21" s="211">
        <f t="shared" si="8"/>
        <v>0</v>
      </c>
      <c r="V21" s="211"/>
      <c r="W21" s="214">
        <f t="shared" si="9"/>
        <v>4</v>
      </c>
      <c r="X21" s="211"/>
      <c r="Y21" s="171">
        <f t="shared" si="5"/>
        <v>4</v>
      </c>
      <c r="Z21" s="6"/>
      <c r="AA21" s="2"/>
    </row>
    <row r="22" spans="1:27" ht="15.75" customHeight="1">
      <c r="A22" s="508"/>
      <c r="B22" s="479" t="str">
        <f>IF(F1=B170,B148,IF(F1=B174,B148,B147))</f>
        <v>xxxx-xxx</v>
      </c>
      <c r="C22" s="480" t="str">
        <f>IF(B22=B147,C147,IF(B22=B148,C148))</f>
        <v>Restricted Science Elective</v>
      </c>
      <c r="D22" s="123"/>
      <c r="E22" s="44"/>
      <c r="F22" s="220">
        <v>4</v>
      </c>
      <c r="G22" s="135"/>
      <c r="H22" s="62"/>
      <c r="I22" s="483" t="str">
        <f>IF(B22=B147,I147,IF(B22=B148,I148,""))</f>
        <v>xxxx-xxx</v>
      </c>
      <c r="J22" s="161" t="str">
        <f>IF(I22=I147,J147,IF(I22=I148,J148))</f>
        <v>Restricted Science Elective</v>
      </c>
      <c r="K22" s="35"/>
      <c r="L22" s="120"/>
      <c r="M22" s="222">
        <v>3</v>
      </c>
      <c r="N22" s="132"/>
      <c r="O22" s="210">
        <f t="shared" si="6"/>
        <v>0</v>
      </c>
      <c r="P22" s="211"/>
      <c r="Q22" s="214">
        <f t="shared" si="7"/>
        <v>0</v>
      </c>
      <c r="R22" s="211"/>
      <c r="S22" s="171">
        <f t="shared" si="4"/>
        <v>0</v>
      </c>
      <c r="T22" s="213"/>
      <c r="U22" s="211">
        <f t="shared" si="8"/>
        <v>0</v>
      </c>
      <c r="V22" s="211"/>
      <c r="W22" s="214">
        <f t="shared" si="9"/>
        <v>0</v>
      </c>
      <c r="X22" s="211"/>
      <c r="Y22" s="171">
        <f t="shared" si="5"/>
        <v>0</v>
      </c>
      <c r="Z22" s="6"/>
      <c r="AA22" s="2"/>
    </row>
    <row r="23" spans="1:27" ht="15.75" customHeight="1" thickBot="1">
      <c r="A23" s="509"/>
      <c r="B23" s="481" t="str">
        <f>IF(B22=B148,B149,"")</f>
        <v/>
      </c>
      <c r="C23" s="482" t="str">
        <f>IF(B23=B149,C149,"")</f>
        <v/>
      </c>
      <c r="D23" s="121"/>
      <c r="E23" s="122"/>
      <c r="F23" s="217">
        <f>IF(B23=B149,5,)</f>
        <v>0</v>
      </c>
      <c r="G23" s="135"/>
      <c r="H23" s="62"/>
      <c r="I23" s="484" t="str">
        <f>IF(I22=I148,I149,"")</f>
        <v/>
      </c>
      <c r="J23" s="621" t="s">
        <v>364</v>
      </c>
      <c r="K23" s="35"/>
      <c r="L23" s="120"/>
      <c r="M23" s="222">
        <f>IF(I23=I149,4,)</f>
        <v>0</v>
      </c>
      <c r="N23" s="132"/>
      <c r="O23" s="223">
        <f t="shared" si="6"/>
        <v>0</v>
      </c>
      <c r="P23" s="224"/>
      <c r="Q23" s="226">
        <f t="shared" si="7"/>
        <v>0</v>
      </c>
      <c r="R23" s="224"/>
      <c r="S23" s="171">
        <f t="shared" si="4"/>
        <v>0</v>
      </c>
      <c r="T23" s="225"/>
      <c r="U23" s="224">
        <f t="shared" si="8"/>
        <v>0</v>
      </c>
      <c r="V23" s="224"/>
      <c r="W23" s="226">
        <f t="shared" si="9"/>
        <v>0</v>
      </c>
      <c r="X23" s="224"/>
      <c r="Y23" s="171">
        <f t="shared" si="5"/>
        <v>0</v>
      </c>
      <c r="Z23" s="6"/>
      <c r="AA23" s="2"/>
    </row>
    <row r="24" spans="1:27" s="3" customFormat="1" ht="15.75" customHeight="1" thickBot="1">
      <c r="A24" s="558"/>
      <c r="B24" s="227"/>
      <c r="C24" s="228" t="s">
        <v>10</v>
      </c>
      <c r="D24" s="559"/>
      <c r="E24" s="559"/>
      <c r="F24" s="229">
        <f>SUM(F8:F18,F20:F23)</f>
        <v>54</v>
      </c>
      <c r="G24" s="132"/>
      <c r="H24" s="227"/>
      <c r="I24" s="227"/>
      <c r="J24" s="228" t="s">
        <v>10</v>
      </c>
      <c r="K24" s="560"/>
      <c r="L24" s="560"/>
      <c r="M24" s="230">
        <f>SUM(M6:M23)</f>
        <v>35</v>
      </c>
      <c r="N24" s="231"/>
      <c r="O24" s="232">
        <f>SUM(O6:O23)</f>
        <v>29</v>
      </c>
      <c r="P24" s="231"/>
      <c r="Q24" s="233">
        <f>SUM(Q6:Q23)</f>
        <v>0</v>
      </c>
      <c r="R24" s="231"/>
      <c r="S24" s="234">
        <f>SUM(S6:S23)</f>
        <v>19.333333333333332</v>
      </c>
      <c r="T24" s="231"/>
      <c r="U24" s="232">
        <f>SUM(U6:U23)</f>
        <v>7</v>
      </c>
      <c r="V24" s="231"/>
      <c r="W24" s="233">
        <f>SUM(W6:W23)</f>
        <v>10</v>
      </c>
      <c r="X24" s="231"/>
      <c r="Y24" s="234">
        <f>SUM(Y6:Y23)</f>
        <v>14.666666666666666</v>
      </c>
      <c r="Z24" s="10"/>
      <c r="AA24" s="2"/>
    </row>
    <row r="25" spans="1:27" s="3" customFormat="1" ht="15.75" customHeight="1" thickBot="1">
      <c r="A25" s="561"/>
      <c r="B25" s="235"/>
      <c r="C25" s="236"/>
      <c r="D25" s="562"/>
      <c r="E25" s="562"/>
      <c r="F25" s="237"/>
      <c r="G25" s="169"/>
      <c r="H25" s="235"/>
      <c r="I25" s="235"/>
      <c r="J25" s="236"/>
      <c r="K25" s="103"/>
      <c r="L25" s="103"/>
      <c r="M25" s="238"/>
      <c r="N25" s="236"/>
      <c r="O25" s="623" t="s">
        <v>92</v>
      </c>
      <c r="P25" s="624"/>
      <c r="Q25" s="624"/>
      <c r="R25" s="624"/>
      <c r="S25" s="624"/>
      <c r="T25" s="624"/>
      <c r="U25" s="624"/>
      <c r="V25" s="624"/>
      <c r="W25" s="624"/>
      <c r="X25" s="624"/>
      <c r="Y25" s="239">
        <f>FLOOR(S24+Y24,1)</f>
        <v>34</v>
      </c>
      <c r="Z25" s="14"/>
      <c r="AA25" s="2"/>
    </row>
    <row r="26" spans="1:27" s="3" customFormat="1" ht="15.75" customHeight="1" thickBot="1">
      <c r="A26" s="563"/>
      <c r="B26" s="240"/>
      <c r="C26" s="155" t="s">
        <v>129</v>
      </c>
      <c r="D26" s="156"/>
      <c r="E26" s="156"/>
      <c r="F26" s="185"/>
      <c r="G26" s="132"/>
      <c r="H26" s="240"/>
      <c r="I26" s="240"/>
      <c r="J26" s="155" t="s">
        <v>129</v>
      </c>
      <c r="K26" s="158"/>
      <c r="L26" s="158"/>
      <c r="M26" s="241"/>
      <c r="N26" s="236"/>
      <c r="O26" s="242"/>
      <c r="P26" s="243"/>
      <c r="Q26" s="244"/>
      <c r="R26" s="243"/>
      <c r="S26" s="245"/>
      <c r="T26" s="243"/>
      <c r="U26" s="246"/>
      <c r="V26" s="243"/>
      <c r="W26" s="244"/>
      <c r="X26" s="243"/>
      <c r="Y26" s="245"/>
      <c r="Z26" s="23"/>
      <c r="AA26" s="2"/>
    </row>
    <row r="27" spans="1:27" s="3" customFormat="1" ht="15.75" customHeight="1" thickBot="1">
      <c r="A27" s="504">
        <v>2123</v>
      </c>
      <c r="B27" s="161" t="s">
        <v>130</v>
      </c>
      <c r="C27" s="247" t="s">
        <v>131</v>
      </c>
      <c r="D27" s="43"/>
      <c r="E27" s="124" t="s">
        <v>355</v>
      </c>
      <c r="F27" s="613">
        <v>4</v>
      </c>
      <c r="G27" s="249"/>
      <c r="H27" s="125"/>
      <c r="I27" s="174" t="s">
        <v>313</v>
      </c>
      <c r="J27" s="250" t="s">
        <v>135</v>
      </c>
      <c r="K27" s="126"/>
      <c r="L27" s="126"/>
      <c r="M27" s="251">
        <v>3</v>
      </c>
      <c r="N27" s="236"/>
      <c r="O27" s="210">
        <f>SUMIF($E27,$H$141,$F27)</f>
        <v>0</v>
      </c>
      <c r="P27" s="211"/>
      <c r="Q27" s="214">
        <f>SUMIF($L27,$H$141,$M27)</f>
        <v>0</v>
      </c>
      <c r="R27" s="211"/>
      <c r="S27" s="212">
        <f>2/3* O27 + Q27</f>
        <v>0</v>
      </c>
      <c r="T27" s="213"/>
      <c r="U27" s="211">
        <f>SUMIF($E27,$H$142,$F27)</f>
        <v>4</v>
      </c>
      <c r="V27" s="211"/>
      <c r="W27" s="214">
        <f>SUMIF($L27,$H$142,$M27)</f>
        <v>0</v>
      </c>
      <c r="X27" s="211"/>
      <c r="Y27" s="212">
        <f>2/3* U27 + W27</f>
        <v>2.6666666666666665</v>
      </c>
      <c r="Z27" s="24"/>
      <c r="AA27" s="2"/>
    </row>
    <row r="28" spans="1:27" ht="15.75" customHeight="1" thickBot="1">
      <c r="A28" s="503"/>
      <c r="B28" s="154"/>
      <c r="C28" s="253" t="s">
        <v>11</v>
      </c>
      <c r="D28" s="156"/>
      <c r="E28" s="156"/>
      <c r="F28" s="254"/>
      <c r="G28" s="132"/>
      <c r="H28" s="154"/>
      <c r="I28" s="154"/>
      <c r="J28" s="253" t="s">
        <v>108</v>
      </c>
      <c r="K28" s="564"/>
      <c r="L28" s="564"/>
      <c r="M28" s="255"/>
      <c r="N28" s="132"/>
      <c r="O28" s="256"/>
      <c r="P28" s="213"/>
      <c r="Q28" s="457"/>
      <c r="R28" s="213"/>
      <c r="S28" s="212"/>
      <c r="T28" s="213"/>
      <c r="U28" s="213"/>
      <c r="V28" s="213"/>
      <c r="W28" s="213"/>
      <c r="X28" s="213"/>
      <c r="Y28" s="212"/>
      <c r="Z28" s="25"/>
      <c r="AA28" s="2"/>
    </row>
    <row r="29" spans="1:27" ht="15.75" customHeight="1">
      <c r="A29" s="510"/>
      <c r="B29" s="31" t="s">
        <v>235</v>
      </c>
      <c r="C29" s="31" t="s">
        <v>343</v>
      </c>
      <c r="D29" s="45"/>
      <c r="E29" s="46" t="s">
        <v>342</v>
      </c>
      <c r="F29" s="257">
        <v>4</v>
      </c>
      <c r="G29" s="258"/>
      <c r="H29" s="31"/>
      <c r="I29" s="31"/>
      <c r="J29" s="31" t="s">
        <v>12</v>
      </c>
      <c r="K29" s="45" t="s">
        <v>0</v>
      </c>
      <c r="L29" s="46"/>
      <c r="M29" s="259">
        <v>3</v>
      </c>
      <c r="N29" s="132"/>
      <c r="O29" s="210">
        <f t="shared" ref="O29:O37" si="10">SUMIF($E29,$H$141,$F29)</f>
        <v>4</v>
      </c>
      <c r="P29" s="211"/>
      <c r="Q29" s="214">
        <f t="shared" ref="Q29:Q37" si="11">SUMIF($L29,$H$141,$M29)</f>
        <v>0</v>
      </c>
      <c r="R29" s="211"/>
      <c r="S29" s="212">
        <f t="shared" ref="S29:S37" si="12">2/3* O29 + Q29</f>
        <v>2.6666666666666665</v>
      </c>
      <c r="T29" s="213"/>
      <c r="U29" s="211">
        <f t="shared" ref="U29:U37" si="13">SUMIF($E29,$H$142,$F29)</f>
        <v>0</v>
      </c>
      <c r="V29" s="211"/>
      <c r="W29" s="214">
        <f t="shared" ref="W29:W37" si="14">SUMIF($L29,$H$142,$M29)</f>
        <v>0</v>
      </c>
      <c r="X29" s="211"/>
      <c r="Y29" s="212">
        <f t="shared" ref="Y29:Y37" si="15">2/3* U29 + W29</f>
        <v>0</v>
      </c>
      <c r="Z29" s="21"/>
      <c r="AA29" s="2"/>
    </row>
    <row r="30" spans="1:27" ht="15.75" customHeight="1">
      <c r="A30" s="511"/>
      <c r="B30" s="32"/>
      <c r="C30" s="32" t="s">
        <v>360</v>
      </c>
      <c r="D30" s="49"/>
      <c r="E30" s="50" t="s">
        <v>342</v>
      </c>
      <c r="F30" s="261">
        <v>3</v>
      </c>
      <c r="G30" s="258"/>
      <c r="H30" s="32"/>
      <c r="I30" s="32"/>
      <c r="J30" s="32" t="s">
        <v>344</v>
      </c>
      <c r="K30" s="47" t="s">
        <v>0</v>
      </c>
      <c r="L30" s="48"/>
      <c r="M30" s="260">
        <v>3</v>
      </c>
      <c r="N30" s="132"/>
      <c r="O30" s="210">
        <f t="shared" si="10"/>
        <v>3</v>
      </c>
      <c r="P30" s="211"/>
      <c r="Q30" s="214">
        <f t="shared" si="11"/>
        <v>0</v>
      </c>
      <c r="R30" s="211"/>
      <c r="S30" s="212">
        <f t="shared" si="12"/>
        <v>2</v>
      </c>
      <c r="T30" s="213"/>
      <c r="U30" s="211">
        <f t="shared" si="13"/>
        <v>0</v>
      </c>
      <c r="V30" s="211"/>
      <c r="W30" s="214">
        <f t="shared" si="14"/>
        <v>0</v>
      </c>
      <c r="X30" s="211"/>
      <c r="Y30" s="212">
        <f t="shared" si="15"/>
        <v>0</v>
      </c>
      <c r="Z30" s="21"/>
      <c r="AA30" s="2"/>
    </row>
    <row r="31" spans="1:27" ht="15.75" customHeight="1">
      <c r="A31" s="512"/>
      <c r="B31" s="611"/>
      <c r="C31" s="63" t="s">
        <v>350</v>
      </c>
      <c r="D31" s="35"/>
      <c r="E31" s="51" t="s">
        <v>342</v>
      </c>
      <c r="F31" s="266">
        <v>4</v>
      </c>
      <c r="G31" s="262"/>
      <c r="H31" s="63"/>
      <c r="I31" s="63"/>
      <c r="J31" s="63" t="s">
        <v>345</v>
      </c>
      <c r="K31" s="49" t="s">
        <v>0</v>
      </c>
      <c r="L31" s="50"/>
      <c r="M31" s="263">
        <v>3</v>
      </c>
      <c r="N31" s="169"/>
      <c r="O31" s="264">
        <f t="shared" si="10"/>
        <v>4</v>
      </c>
      <c r="P31" s="252"/>
      <c r="Q31" s="222">
        <f t="shared" si="11"/>
        <v>0</v>
      </c>
      <c r="R31" s="252"/>
      <c r="S31" s="212">
        <f t="shared" si="12"/>
        <v>2.6666666666666665</v>
      </c>
      <c r="T31" s="265"/>
      <c r="U31" s="252">
        <f t="shared" si="13"/>
        <v>0</v>
      </c>
      <c r="V31" s="252"/>
      <c r="W31" s="222">
        <f t="shared" si="14"/>
        <v>0</v>
      </c>
      <c r="X31" s="252"/>
      <c r="Y31" s="212">
        <f t="shared" si="15"/>
        <v>0</v>
      </c>
      <c r="Z31" s="22"/>
      <c r="AA31" s="17"/>
    </row>
    <row r="32" spans="1:27" ht="15.75" customHeight="1">
      <c r="A32" s="504"/>
      <c r="B32" s="33"/>
      <c r="C32" s="33" t="s">
        <v>349</v>
      </c>
      <c r="D32" s="35"/>
      <c r="E32" s="51" t="s">
        <v>342</v>
      </c>
      <c r="F32" s="266">
        <v>4</v>
      </c>
      <c r="G32" s="262"/>
      <c r="H32" s="33"/>
      <c r="I32" s="33"/>
      <c r="J32" s="33" t="s">
        <v>346</v>
      </c>
      <c r="K32" s="35" t="s">
        <v>0</v>
      </c>
      <c r="L32" s="51"/>
      <c r="M32" s="262">
        <v>3</v>
      </c>
      <c r="N32" s="169"/>
      <c r="O32" s="170">
        <f t="shared" si="10"/>
        <v>4</v>
      </c>
      <c r="P32" s="170"/>
      <c r="Q32" s="172">
        <f t="shared" si="11"/>
        <v>0</v>
      </c>
      <c r="R32" s="170"/>
      <c r="S32" s="212">
        <f t="shared" si="12"/>
        <v>2.6666666666666665</v>
      </c>
      <c r="T32" s="169"/>
      <c r="U32" s="170">
        <f t="shared" si="13"/>
        <v>0</v>
      </c>
      <c r="V32" s="170"/>
      <c r="W32" s="172">
        <f t="shared" si="14"/>
        <v>0</v>
      </c>
      <c r="X32" s="170"/>
      <c r="Y32" s="212">
        <f t="shared" si="15"/>
        <v>0</v>
      </c>
      <c r="Z32" s="18"/>
      <c r="AA32" s="17"/>
    </row>
    <row r="33" spans="1:27" ht="15.75" customHeight="1">
      <c r="A33" s="504"/>
      <c r="B33" s="33" t="s">
        <v>353</v>
      </c>
      <c r="C33" s="33" t="s">
        <v>352</v>
      </c>
      <c r="D33" s="35"/>
      <c r="E33" s="51" t="s">
        <v>342</v>
      </c>
      <c r="F33" s="266">
        <v>4</v>
      </c>
      <c r="G33" s="262"/>
      <c r="H33" s="33"/>
      <c r="I33" s="33"/>
      <c r="J33" s="33" t="s">
        <v>347</v>
      </c>
      <c r="K33" s="35" t="s">
        <v>0</v>
      </c>
      <c r="L33" s="51"/>
      <c r="M33" s="262">
        <v>3</v>
      </c>
      <c r="N33" s="169"/>
      <c r="O33" s="170">
        <f t="shared" si="10"/>
        <v>4</v>
      </c>
      <c r="P33" s="170"/>
      <c r="Q33" s="172">
        <f t="shared" si="11"/>
        <v>0</v>
      </c>
      <c r="R33" s="170"/>
      <c r="S33" s="212">
        <f t="shared" si="12"/>
        <v>2.6666666666666665</v>
      </c>
      <c r="T33" s="169"/>
      <c r="U33" s="170">
        <f t="shared" si="13"/>
        <v>0</v>
      </c>
      <c r="V33" s="170"/>
      <c r="W33" s="172">
        <f t="shared" si="14"/>
        <v>0</v>
      </c>
      <c r="X33" s="170"/>
      <c r="Y33" s="212">
        <f t="shared" si="15"/>
        <v>0</v>
      </c>
      <c r="Z33" s="18"/>
      <c r="AA33" s="17"/>
    </row>
    <row r="34" spans="1:27" ht="15.75" customHeight="1">
      <c r="A34" s="504"/>
      <c r="B34" s="33"/>
      <c r="C34" s="33" t="s">
        <v>351</v>
      </c>
      <c r="D34" s="35"/>
      <c r="E34" s="51" t="s">
        <v>342</v>
      </c>
      <c r="F34" s="266">
        <v>4</v>
      </c>
      <c r="G34" s="262"/>
      <c r="H34" s="33"/>
      <c r="I34" s="33"/>
      <c r="J34" s="33" t="s">
        <v>348</v>
      </c>
      <c r="K34" s="35" t="s">
        <v>0</v>
      </c>
      <c r="L34" s="51"/>
      <c r="M34" s="262">
        <v>3</v>
      </c>
      <c r="N34" s="169"/>
      <c r="O34" s="170">
        <f t="shared" si="10"/>
        <v>4</v>
      </c>
      <c r="P34" s="170"/>
      <c r="Q34" s="172">
        <f t="shared" si="11"/>
        <v>0</v>
      </c>
      <c r="R34" s="170"/>
      <c r="S34" s="212">
        <f t="shared" si="12"/>
        <v>2.6666666666666665</v>
      </c>
      <c r="T34" s="169"/>
      <c r="U34" s="170">
        <f t="shared" si="13"/>
        <v>0</v>
      </c>
      <c r="V34" s="170"/>
      <c r="W34" s="172">
        <f t="shared" si="14"/>
        <v>0</v>
      </c>
      <c r="X34" s="170"/>
      <c r="Y34" s="212">
        <f t="shared" si="15"/>
        <v>0</v>
      </c>
      <c r="Z34" s="18"/>
      <c r="AA34" s="17"/>
    </row>
    <row r="35" spans="1:27" ht="15.75" customHeight="1">
      <c r="A35" s="504"/>
      <c r="B35" s="33" t="s">
        <v>362</v>
      </c>
      <c r="C35" s="33" t="s">
        <v>363</v>
      </c>
      <c r="D35" s="35" t="s">
        <v>0</v>
      </c>
      <c r="E35" s="51" t="s">
        <v>342</v>
      </c>
      <c r="F35" s="266">
        <v>4</v>
      </c>
      <c r="G35" s="262"/>
      <c r="H35" s="33"/>
      <c r="I35" s="33"/>
      <c r="J35" s="33" t="s">
        <v>40</v>
      </c>
      <c r="K35" s="35" t="s">
        <v>0</v>
      </c>
      <c r="L35" s="51"/>
      <c r="M35" s="262">
        <v>3</v>
      </c>
      <c r="N35" s="169"/>
      <c r="O35" s="170">
        <f t="shared" si="10"/>
        <v>4</v>
      </c>
      <c r="P35" s="170"/>
      <c r="Q35" s="172">
        <f t="shared" si="11"/>
        <v>0</v>
      </c>
      <c r="R35" s="170"/>
      <c r="S35" s="212">
        <f t="shared" si="12"/>
        <v>2.6666666666666665</v>
      </c>
      <c r="T35" s="169"/>
      <c r="U35" s="170">
        <f t="shared" si="13"/>
        <v>0</v>
      </c>
      <c r="V35" s="170"/>
      <c r="W35" s="172">
        <f t="shared" si="14"/>
        <v>0</v>
      </c>
      <c r="X35" s="170"/>
      <c r="Y35" s="212">
        <f t="shared" si="15"/>
        <v>0</v>
      </c>
      <c r="Z35" s="18"/>
      <c r="AA35" s="17"/>
    </row>
    <row r="36" spans="1:27" ht="15.75" customHeight="1">
      <c r="A36" s="504"/>
      <c r="B36" s="33"/>
      <c r="C36" s="33" t="s">
        <v>29</v>
      </c>
      <c r="D36" s="35" t="s">
        <v>0</v>
      </c>
      <c r="E36" s="51"/>
      <c r="F36" s="266">
        <v>4</v>
      </c>
      <c r="G36" s="262"/>
      <c r="H36" s="33">
        <v>2131</v>
      </c>
      <c r="I36" s="33"/>
      <c r="J36" s="33" t="s">
        <v>40</v>
      </c>
      <c r="K36" s="35" t="s">
        <v>0</v>
      </c>
      <c r="L36" s="51" t="s">
        <v>355</v>
      </c>
      <c r="M36" s="262">
        <v>3</v>
      </c>
      <c r="N36" s="169"/>
      <c r="O36" s="170">
        <f t="shared" si="10"/>
        <v>0</v>
      </c>
      <c r="P36" s="170"/>
      <c r="Q36" s="172">
        <f t="shared" si="11"/>
        <v>0</v>
      </c>
      <c r="R36" s="170"/>
      <c r="S36" s="212">
        <f t="shared" si="12"/>
        <v>0</v>
      </c>
      <c r="T36" s="169"/>
      <c r="U36" s="170">
        <f t="shared" si="13"/>
        <v>0</v>
      </c>
      <c r="V36" s="170"/>
      <c r="W36" s="172">
        <f t="shared" si="14"/>
        <v>3</v>
      </c>
      <c r="X36" s="170"/>
      <c r="Y36" s="212">
        <f t="shared" si="15"/>
        <v>3</v>
      </c>
      <c r="Z36" s="18"/>
      <c r="AA36" s="17"/>
    </row>
    <row r="37" spans="1:27" ht="15.75" customHeight="1" thickBot="1">
      <c r="A37" s="504"/>
      <c r="B37" s="33"/>
      <c r="C37" s="33" t="s">
        <v>30</v>
      </c>
      <c r="D37" s="35" t="s">
        <v>0</v>
      </c>
      <c r="E37" s="51"/>
      <c r="F37" s="266">
        <v>4</v>
      </c>
      <c r="G37" s="262"/>
      <c r="H37" s="33">
        <v>2135</v>
      </c>
      <c r="I37" s="33"/>
      <c r="J37" s="33" t="s">
        <v>40</v>
      </c>
      <c r="K37" s="35" t="s">
        <v>0</v>
      </c>
      <c r="L37" s="51" t="s">
        <v>355</v>
      </c>
      <c r="M37" s="262">
        <v>3</v>
      </c>
      <c r="N37" s="169"/>
      <c r="O37" s="181">
        <f t="shared" si="10"/>
        <v>0</v>
      </c>
      <c r="P37" s="170"/>
      <c r="Q37" s="182">
        <f t="shared" si="11"/>
        <v>0</v>
      </c>
      <c r="R37" s="170"/>
      <c r="S37" s="370">
        <f t="shared" si="12"/>
        <v>0</v>
      </c>
      <c r="T37" s="169"/>
      <c r="U37" s="181">
        <f t="shared" si="13"/>
        <v>0</v>
      </c>
      <c r="V37" s="170"/>
      <c r="W37" s="182">
        <f t="shared" si="14"/>
        <v>3</v>
      </c>
      <c r="X37" s="170"/>
      <c r="Y37" s="370">
        <f t="shared" si="15"/>
        <v>3</v>
      </c>
      <c r="Z37" s="18"/>
      <c r="AA37" s="17"/>
    </row>
    <row r="38" spans="1:27" ht="15.75" customHeight="1">
      <c r="A38" s="565"/>
      <c r="B38" s="537"/>
      <c r="C38" s="537" t="s">
        <v>13</v>
      </c>
      <c r="D38" s="566"/>
      <c r="E38" s="566"/>
      <c r="F38" s="538">
        <f>SUM(F29:F37)</f>
        <v>35</v>
      </c>
      <c r="G38" s="267"/>
      <c r="H38" s="537"/>
      <c r="I38" s="537"/>
      <c r="J38" s="537" t="s">
        <v>41</v>
      </c>
      <c r="K38" s="566"/>
      <c r="L38" s="566"/>
      <c r="M38" s="539">
        <f>SUM(M29:M37)</f>
        <v>27</v>
      </c>
      <c r="N38" s="132"/>
      <c r="O38" s="268">
        <f>SUM(O29:O37)</f>
        <v>27</v>
      </c>
      <c r="P38" s="132"/>
      <c r="Q38" s="269">
        <f>SUM(Q29:Q37)</f>
        <v>0</v>
      </c>
      <c r="R38" s="132"/>
      <c r="S38" s="270">
        <f>SUM(S29:S37)</f>
        <v>17.999999999999996</v>
      </c>
      <c r="T38" s="132"/>
      <c r="U38" s="268">
        <f>SUM(U29:U37)</f>
        <v>0</v>
      </c>
      <c r="V38" s="132"/>
      <c r="W38" s="269">
        <f>SUM(W29:W37)</f>
        <v>6</v>
      </c>
      <c r="X38" s="132"/>
      <c r="Y38" s="270">
        <f>SUM(Y29:Y37)</f>
        <v>6</v>
      </c>
      <c r="Z38" s="9"/>
      <c r="AA38" s="2"/>
    </row>
    <row r="39" spans="1:27" ht="15.75" customHeight="1" thickBot="1">
      <c r="A39" s="500"/>
      <c r="B39" s="137"/>
      <c r="C39" s="137"/>
      <c r="D39" s="148"/>
      <c r="E39" s="148"/>
      <c r="F39" s="271"/>
      <c r="G39" s="132"/>
      <c r="H39" s="137"/>
      <c r="I39" s="137"/>
      <c r="J39" s="137"/>
      <c r="K39" s="148"/>
      <c r="L39" s="148"/>
      <c r="M39" s="272"/>
      <c r="N39" s="132"/>
      <c r="O39" s="137"/>
      <c r="P39" s="132"/>
      <c r="Q39" s="458"/>
      <c r="R39" s="132"/>
      <c r="S39" s="273"/>
      <c r="T39" s="132"/>
      <c r="U39" s="137"/>
      <c r="V39" s="132"/>
      <c r="W39" s="137"/>
      <c r="X39" s="132"/>
      <c r="Y39" s="273"/>
      <c r="Z39" s="2"/>
      <c r="AA39" s="2"/>
    </row>
    <row r="40" spans="1:27" ht="15.75" customHeight="1" thickBot="1">
      <c r="A40" s="567"/>
      <c r="B40" s="274"/>
      <c r="C40" s="274" t="s">
        <v>16</v>
      </c>
      <c r="D40" s="568"/>
      <c r="E40" s="568"/>
      <c r="F40" s="275">
        <f>F24+F27+F38</f>
        <v>93</v>
      </c>
      <c r="G40" s="132"/>
      <c r="H40" s="274"/>
      <c r="I40" s="274"/>
      <c r="J40" s="274" t="s">
        <v>16</v>
      </c>
      <c r="K40" s="568"/>
      <c r="L40" s="568"/>
      <c r="M40" s="276">
        <f>M24+M27+M38</f>
        <v>65</v>
      </c>
      <c r="N40" s="277"/>
      <c r="O40" s="278">
        <f>O24+O27+O38</f>
        <v>56</v>
      </c>
      <c r="P40" s="277"/>
      <c r="Q40" s="279">
        <f>Q24+Q27+Q38</f>
        <v>0</v>
      </c>
      <c r="R40" s="277"/>
      <c r="S40" s="280">
        <f>S24+S27+S38</f>
        <v>37.333333333333329</v>
      </c>
      <c r="T40" s="277"/>
      <c r="U40" s="278">
        <f>U24+U27+U38</f>
        <v>11</v>
      </c>
      <c r="V40" s="277"/>
      <c r="W40" s="279">
        <f>W24+W27+W38</f>
        <v>16</v>
      </c>
      <c r="X40" s="277"/>
      <c r="Y40" s="280">
        <f>Y24+Y27+Y38</f>
        <v>23.333333333333332</v>
      </c>
      <c r="Z40" s="11"/>
      <c r="AA40" s="2"/>
    </row>
    <row r="41" spans="1:27" ht="15.75" customHeight="1" thickBot="1">
      <c r="A41" s="500"/>
      <c r="B41" s="137"/>
      <c r="C41" s="137"/>
      <c r="D41" s="148"/>
      <c r="E41" s="148"/>
      <c r="F41" s="271"/>
      <c r="G41" s="132"/>
      <c r="H41" s="137"/>
      <c r="I41" s="137"/>
      <c r="J41" s="137"/>
      <c r="K41" s="148"/>
      <c r="L41" s="148"/>
      <c r="M41" s="272"/>
      <c r="N41" s="132"/>
      <c r="O41" s="623" t="s">
        <v>91</v>
      </c>
      <c r="P41" s="624"/>
      <c r="Q41" s="624"/>
      <c r="R41" s="624"/>
      <c r="S41" s="624"/>
      <c r="T41" s="624"/>
      <c r="U41" s="624"/>
      <c r="V41" s="624"/>
      <c r="W41" s="624"/>
      <c r="X41" s="624"/>
      <c r="Y41" s="239">
        <f>FLOOR(S40+Y40,1)</f>
        <v>60</v>
      </c>
      <c r="Z41" s="14"/>
      <c r="AA41" s="2"/>
    </row>
    <row r="42" spans="1:27" ht="15.75" customHeight="1" thickBot="1">
      <c r="A42" s="569"/>
      <c r="B42" s="228"/>
      <c r="C42" s="281" t="s">
        <v>14</v>
      </c>
      <c r="D42" s="570"/>
      <c r="E42" s="570"/>
      <c r="F42" s="282"/>
      <c r="G42" s="132"/>
      <c r="H42" s="228"/>
      <c r="I42" s="228"/>
      <c r="J42" s="281" t="s">
        <v>14</v>
      </c>
      <c r="K42" s="570"/>
      <c r="L42" s="570"/>
      <c r="M42" s="230"/>
      <c r="N42" s="132"/>
      <c r="O42" s="132"/>
      <c r="P42" s="132"/>
      <c r="Q42" s="459"/>
      <c r="R42" s="132"/>
      <c r="S42" s="283"/>
      <c r="T42" s="132"/>
      <c r="U42" s="132"/>
      <c r="V42" s="132"/>
      <c r="W42" s="132"/>
      <c r="X42" s="132"/>
      <c r="Y42" s="283"/>
      <c r="Z42" s="2"/>
      <c r="AA42" s="2"/>
    </row>
    <row r="43" spans="1:27" ht="15.75" customHeight="1">
      <c r="A43" s="588">
        <v>2122</v>
      </c>
      <c r="B43" s="284" t="s">
        <v>136</v>
      </c>
      <c r="C43" s="284" t="s">
        <v>137</v>
      </c>
      <c r="D43" s="52"/>
      <c r="E43" s="53" t="s">
        <v>355</v>
      </c>
      <c r="F43" s="285">
        <v>1</v>
      </c>
      <c r="G43" s="286"/>
      <c r="H43" s="127"/>
      <c r="I43" s="287" t="s">
        <v>173</v>
      </c>
      <c r="J43" s="287" t="s">
        <v>174</v>
      </c>
      <c r="K43" s="52"/>
      <c r="L43" s="78"/>
      <c r="M43" s="288">
        <v>1</v>
      </c>
      <c r="N43" s="169"/>
      <c r="O43" s="170">
        <f t="shared" ref="O43:O75" si="16">SUMIF($E43,$H$141,$F43)</f>
        <v>0</v>
      </c>
      <c r="P43" s="170"/>
      <c r="Q43" s="172">
        <f t="shared" ref="Q43:Q75" si="17">SUMIF($L43,$H$141,$M43)</f>
        <v>0</v>
      </c>
      <c r="R43" s="170"/>
      <c r="S43" s="171">
        <f>2/3* O43 + Q43</f>
        <v>0</v>
      </c>
      <c r="T43" s="169"/>
      <c r="U43" s="170">
        <f t="shared" ref="U43:U75" si="18">SUMIF($E43,$H$142,$F43)</f>
        <v>1</v>
      </c>
      <c r="V43" s="170"/>
      <c r="W43" s="172">
        <f t="shared" ref="W43:W75" si="19">SUMIF($L43,$H$142,$M43)</f>
        <v>0</v>
      </c>
      <c r="X43" s="170"/>
      <c r="Y43" s="171">
        <f>2/3* U43 + W43</f>
        <v>0.66666666666666663</v>
      </c>
      <c r="Z43" s="18"/>
      <c r="AA43" s="2"/>
    </row>
    <row r="44" spans="1:27" ht="24" customHeight="1">
      <c r="A44" s="589">
        <v>2123</v>
      </c>
      <c r="B44" s="591" t="s">
        <v>323</v>
      </c>
      <c r="C44" s="289" t="s">
        <v>138</v>
      </c>
      <c r="D44" s="54"/>
      <c r="E44" s="55" t="s">
        <v>355</v>
      </c>
      <c r="F44" s="290">
        <v>4</v>
      </c>
      <c r="G44" s="286"/>
      <c r="H44" s="88"/>
      <c r="I44" s="289" t="s">
        <v>175</v>
      </c>
      <c r="J44" s="289" t="s">
        <v>176</v>
      </c>
      <c r="K44" s="54"/>
      <c r="L44" s="79"/>
      <c r="M44" s="288">
        <v>3</v>
      </c>
      <c r="N44" s="169"/>
      <c r="O44" s="100">
        <f t="shared" si="16"/>
        <v>0</v>
      </c>
      <c r="P44" s="100"/>
      <c r="Q44" s="288">
        <f t="shared" si="17"/>
        <v>0</v>
      </c>
      <c r="R44" s="100"/>
      <c r="S44" s="592">
        <f t="shared" ref="S44:S75" si="20">2/3* O44 + Q44</f>
        <v>0</v>
      </c>
      <c r="T44" s="236"/>
      <c r="U44" s="100">
        <f t="shared" si="18"/>
        <v>4</v>
      </c>
      <c r="V44" s="100"/>
      <c r="W44" s="288">
        <f t="shared" si="19"/>
        <v>0</v>
      </c>
      <c r="X44" s="100"/>
      <c r="Y44" s="592">
        <f t="shared" ref="Y44:Y75" si="21">2/3* U44 + W44</f>
        <v>2.6666666666666665</v>
      </c>
      <c r="Z44" s="18"/>
      <c r="AA44" s="2"/>
    </row>
    <row r="45" spans="1:27" ht="15.75" customHeight="1">
      <c r="A45" s="589"/>
      <c r="B45" s="587" t="str">
        <f>IF(F1=B171,B153,IF(F1=B172,B153,IF(F1=B175,B153,IF(F1=B176,B153,""))))</f>
        <v>0301-346</v>
      </c>
      <c r="C45" s="375" t="str">
        <f>IF(B45=B153,C153,"")</f>
        <v>Adv. C Prog. (F) (Computer/Robotics)</v>
      </c>
      <c r="D45" s="54"/>
      <c r="E45" s="55"/>
      <c r="F45" s="290">
        <f>IF(B45=B153,4,0)</f>
        <v>4</v>
      </c>
      <c r="G45" s="286"/>
      <c r="H45" s="88">
        <v>2135</v>
      </c>
      <c r="I45" s="470" t="str">
        <f>IF(B45=B153,I153,"")</f>
        <v>EEEE-346</v>
      </c>
      <c r="J45" s="469" t="str">
        <f>IF(I45=I153,J153,"")</f>
        <v>Adv. Programming (Computer/Robotics)</v>
      </c>
      <c r="K45" s="54"/>
      <c r="L45" s="79" t="s">
        <v>355</v>
      </c>
      <c r="M45" s="288">
        <f>IF(I45=I153,3,)</f>
        <v>3</v>
      </c>
      <c r="N45" s="169"/>
      <c r="O45" s="170">
        <f t="shared" si="16"/>
        <v>0</v>
      </c>
      <c r="P45" s="170"/>
      <c r="Q45" s="172">
        <f t="shared" si="17"/>
        <v>0</v>
      </c>
      <c r="R45" s="170"/>
      <c r="S45" s="171">
        <f t="shared" si="20"/>
        <v>0</v>
      </c>
      <c r="T45" s="169"/>
      <c r="U45" s="170">
        <f t="shared" si="18"/>
        <v>0</v>
      </c>
      <c r="V45" s="170"/>
      <c r="W45" s="172">
        <f t="shared" si="19"/>
        <v>3</v>
      </c>
      <c r="X45" s="170"/>
      <c r="Y45" s="171">
        <f t="shared" si="21"/>
        <v>3</v>
      </c>
      <c r="Z45" s="18"/>
      <c r="AA45" s="2"/>
    </row>
    <row r="46" spans="1:27" ht="15.75" customHeight="1">
      <c r="A46" s="590"/>
      <c r="B46" s="376" t="s">
        <v>240</v>
      </c>
      <c r="C46" s="374" t="s">
        <v>241</v>
      </c>
      <c r="D46" s="56"/>
      <c r="E46" s="57"/>
      <c r="F46" s="292">
        <v>4</v>
      </c>
      <c r="G46" s="236"/>
      <c r="H46" s="98">
        <v>2131</v>
      </c>
      <c r="I46" s="373" t="s">
        <v>239</v>
      </c>
      <c r="J46" s="375" t="s">
        <v>242</v>
      </c>
      <c r="K46" s="54"/>
      <c r="L46" s="79" t="s">
        <v>355</v>
      </c>
      <c r="M46" s="288">
        <v>3</v>
      </c>
      <c r="N46" s="169"/>
      <c r="O46" s="170">
        <f t="shared" si="16"/>
        <v>0</v>
      </c>
      <c r="P46" s="170"/>
      <c r="Q46" s="172">
        <f t="shared" si="17"/>
        <v>0</v>
      </c>
      <c r="R46" s="170"/>
      <c r="S46" s="171">
        <f t="shared" si="20"/>
        <v>0</v>
      </c>
      <c r="T46" s="169"/>
      <c r="U46" s="170">
        <f t="shared" si="18"/>
        <v>0</v>
      </c>
      <c r="V46" s="170"/>
      <c r="W46" s="172">
        <f t="shared" si="19"/>
        <v>3</v>
      </c>
      <c r="X46" s="170"/>
      <c r="Y46" s="171">
        <f t="shared" si="21"/>
        <v>3</v>
      </c>
      <c r="Z46" s="18"/>
      <c r="AA46" s="2"/>
    </row>
    <row r="47" spans="1:27" ht="15.75" customHeight="1">
      <c r="A47" s="590"/>
      <c r="B47" s="293" t="s">
        <v>139</v>
      </c>
      <c r="C47" s="294" t="s">
        <v>140</v>
      </c>
      <c r="D47" s="56"/>
      <c r="E47" s="57"/>
      <c r="F47" s="100">
        <v>4</v>
      </c>
      <c r="G47" s="236"/>
      <c r="H47" s="34">
        <v>2135</v>
      </c>
      <c r="I47" s="289" t="s">
        <v>177</v>
      </c>
      <c r="J47" s="289" t="s">
        <v>178</v>
      </c>
      <c r="K47" s="54"/>
      <c r="L47" s="79" t="s">
        <v>355</v>
      </c>
      <c r="M47" s="288">
        <v>3</v>
      </c>
      <c r="N47" s="169"/>
      <c r="O47" s="170">
        <f t="shared" si="16"/>
        <v>0</v>
      </c>
      <c r="P47" s="170"/>
      <c r="Q47" s="172">
        <f t="shared" si="17"/>
        <v>0</v>
      </c>
      <c r="R47" s="170"/>
      <c r="S47" s="171">
        <f t="shared" si="20"/>
        <v>0</v>
      </c>
      <c r="T47" s="169"/>
      <c r="U47" s="170">
        <f t="shared" si="18"/>
        <v>0</v>
      </c>
      <c r="V47" s="170"/>
      <c r="W47" s="172">
        <f t="shared" si="19"/>
        <v>3</v>
      </c>
      <c r="X47" s="170"/>
      <c r="Y47" s="171">
        <f t="shared" si="21"/>
        <v>3</v>
      </c>
      <c r="Z47" s="18"/>
      <c r="AA47" s="2"/>
    </row>
    <row r="48" spans="1:27" ht="15.75" customHeight="1">
      <c r="A48" s="590"/>
      <c r="B48" s="293" t="s">
        <v>27</v>
      </c>
      <c r="C48" s="294" t="s">
        <v>141</v>
      </c>
      <c r="D48" s="56"/>
      <c r="E48" s="57"/>
      <c r="F48" s="100">
        <v>4</v>
      </c>
      <c r="G48" s="236"/>
      <c r="H48" s="34">
        <v>2131</v>
      </c>
      <c r="I48" s="289" t="s">
        <v>28</v>
      </c>
      <c r="J48" s="289" t="s">
        <v>179</v>
      </c>
      <c r="K48" s="54"/>
      <c r="L48" s="79" t="s">
        <v>355</v>
      </c>
      <c r="M48" s="288">
        <v>3</v>
      </c>
      <c r="N48" s="169"/>
      <c r="O48" s="170">
        <f t="shared" si="16"/>
        <v>0</v>
      </c>
      <c r="P48" s="170"/>
      <c r="Q48" s="172">
        <f t="shared" si="17"/>
        <v>0</v>
      </c>
      <c r="R48" s="170"/>
      <c r="S48" s="171">
        <f t="shared" si="20"/>
        <v>0</v>
      </c>
      <c r="T48" s="169"/>
      <c r="U48" s="170">
        <f t="shared" si="18"/>
        <v>0</v>
      </c>
      <c r="V48" s="170"/>
      <c r="W48" s="172">
        <f t="shared" si="19"/>
        <v>3</v>
      </c>
      <c r="X48" s="170"/>
      <c r="Y48" s="171">
        <f t="shared" si="21"/>
        <v>3</v>
      </c>
      <c r="Z48" s="18"/>
      <c r="AA48" s="2"/>
    </row>
    <row r="49" spans="1:27" ht="15.75" customHeight="1">
      <c r="A49" s="372"/>
      <c r="B49" s="293" t="s">
        <v>142</v>
      </c>
      <c r="C49" s="294" t="s">
        <v>334</v>
      </c>
      <c r="D49" s="56"/>
      <c r="E49" s="57"/>
      <c r="F49" s="100">
        <v>4</v>
      </c>
      <c r="G49" s="236"/>
      <c r="H49" s="34">
        <v>2135</v>
      </c>
      <c r="I49" s="294" t="s">
        <v>180</v>
      </c>
      <c r="J49" s="294" t="s">
        <v>181</v>
      </c>
      <c r="K49" s="56"/>
      <c r="L49" s="80" t="s">
        <v>355</v>
      </c>
      <c r="M49" s="288">
        <v>3</v>
      </c>
      <c r="N49" s="169"/>
      <c r="O49" s="170">
        <f t="shared" si="16"/>
        <v>0</v>
      </c>
      <c r="P49" s="170"/>
      <c r="Q49" s="172">
        <f t="shared" si="17"/>
        <v>0</v>
      </c>
      <c r="R49" s="170"/>
      <c r="S49" s="171">
        <f t="shared" si="20"/>
        <v>0</v>
      </c>
      <c r="T49" s="169"/>
      <c r="U49" s="170">
        <f t="shared" si="18"/>
        <v>0</v>
      </c>
      <c r="V49" s="170"/>
      <c r="W49" s="172">
        <f t="shared" si="19"/>
        <v>3</v>
      </c>
      <c r="X49" s="170"/>
      <c r="Y49" s="171">
        <f t="shared" si="21"/>
        <v>3</v>
      </c>
      <c r="Z49" s="18"/>
      <c r="AA49" s="2"/>
    </row>
    <row r="50" spans="1:27" ht="15.75" customHeight="1">
      <c r="A50" s="372"/>
      <c r="B50" s="293" t="s">
        <v>143</v>
      </c>
      <c r="C50" s="294" t="s">
        <v>144</v>
      </c>
      <c r="D50" s="56"/>
      <c r="E50" s="57"/>
      <c r="F50" s="100">
        <v>4</v>
      </c>
      <c r="G50" s="236"/>
      <c r="H50" s="34">
        <v>2141</v>
      </c>
      <c r="I50" s="294" t="s">
        <v>203</v>
      </c>
      <c r="J50" s="294" t="s">
        <v>182</v>
      </c>
      <c r="K50" s="56"/>
      <c r="L50" s="80" t="s">
        <v>355</v>
      </c>
      <c r="M50" s="288">
        <v>3</v>
      </c>
      <c r="N50" s="169"/>
      <c r="O50" s="170">
        <f t="shared" si="16"/>
        <v>0</v>
      </c>
      <c r="P50" s="170"/>
      <c r="Q50" s="172">
        <f t="shared" si="17"/>
        <v>0</v>
      </c>
      <c r="R50" s="170"/>
      <c r="S50" s="171">
        <f t="shared" si="20"/>
        <v>0</v>
      </c>
      <c r="T50" s="169"/>
      <c r="U50" s="170">
        <f t="shared" si="18"/>
        <v>0</v>
      </c>
      <c r="V50" s="170"/>
      <c r="W50" s="172">
        <f t="shared" si="19"/>
        <v>3</v>
      </c>
      <c r="X50" s="170"/>
      <c r="Y50" s="171">
        <f t="shared" si="21"/>
        <v>3</v>
      </c>
      <c r="Z50" s="18"/>
      <c r="AA50" s="2"/>
    </row>
    <row r="51" spans="1:27" ht="31.5" customHeight="1">
      <c r="A51" s="372"/>
      <c r="B51" s="295" t="s">
        <v>145</v>
      </c>
      <c r="C51" s="296" t="s">
        <v>146</v>
      </c>
      <c r="D51" s="58"/>
      <c r="E51" s="59"/>
      <c r="F51" s="100">
        <v>4</v>
      </c>
      <c r="G51" s="236"/>
      <c r="H51" s="34">
        <v>2141</v>
      </c>
      <c r="I51" s="201" t="s">
        <v>183</v>
      </c>
      <c r="J51" s="201" t="s">
        <v>184</v>
      </c>
      <c r="K51" s="72"/>
      <c r="L51" s="81" t="s">
        <v>355</v>
      </c>
      <c r="M51" s="297">
        <v>4</v>
      </c>
      <c r="N51" s="298"/>
      <c r="O51" s="299">
        <f t="shared" si="16"/>
        <v>0</v>
      </c>
      <c r="P51" s="299"/>
      <c r="Q51" s="297">
        <f t="shared" si="17"/>
        <v>0</v>
      </c>
      <c r="R51" s="299"/>
      <c r="S51" s="300">
        <f t="shared" si="20"/>
        <v>0</v>
      </c>
      <c r="T51" s="298"/>
      <c r="U51" s="299">
        <f t="shared" si="18"/>
        <v>0</v>
      </c>
      <c r="V51" s="299"/>
      <c r="W51" s="297">
        <f t="shared" si="19"/>
        <v>4</v>
      </c>
      <c r="X51" s="299"/>
      <c r="Y51" s="300">
        <f t="shared" si="21"/>
        <v>4</v>
      </c>
      <c r="Z51" s="18"/>
      <c r="AA51" s="2"/>
    </row>
    <row r="52" spans="1:27" ht="15.75" customHeight="1">
      <c r="A52" s="372"/>
      <c r="B52" s="293" t="s">
        <v>147</v>
      </c>
      <c r="C52" s="294" t="s">
        <v>148</v>
      </c>
      <c r="D52" s="56"/>
      <c r="E52" s="57"/>
      <c r="F52" s="100">
        <v>4</v>
      </c>
      <c r="G52" s="236"/>
      <c r="H52" s="548"/>
      <c r="I52" s="549"/>
      <c r="J52" s="610" t="s">
        <v>326</v>
      </c>
      <c r="K52" s="550"/>
      <c r="L52" s="551"/>
      <c r="M52" s="552"/>
      <c r="N52" s="169"/>
      <c r="O52" s="170">
        <f t="shared" si="16"/>
        <v>0</v>
      </c>
      <c r="P52" s="170"/>
      <c r="Q52" s="172">
        <f t="shared" si="17"/>
        <v>0</v>
      </c>
      <c r="R52" s="170"/>
      <c r="S52" s="171">
        <f t="shared" si="20"/>
        <v>0</v>
      </c>
      <c r="T52" s="169"/>
      <c r="U52" s="170">
        <f t="shared" si="18"/>
        <v>0</v>
      </c>
      <c r="V52" s="170"/>
      <c r="W52" s="172">
        <f t="shared" si="19"/>
        <v>0</v>
      </c>
      <c r="X52" s="170"/>
      <c r="Y52" s="171">
        <f t="shared" si="21"/>
        <v>0</v>
      </c>
      <c r="Z52" s="18"/>
      <c r="AA52" s="2"/>
    </row>
    <row r="53" spans="1:27" ht="36.75" customHeight="1">
      <c r="A53" s="372"/>
      <c r="B53" s="295" t="s">
        <v>149</v>
      </c>
      <c r="C53" s="296" t="s">
        <v>150</v>
      </c>
      <c r="D53" s="58"/>
      <c r="E53" s="59"/>
      <c r="F53" s="299">
        <v>4</v>
      </c>
      <c r="G53" s="236"/>
      <c r="H53" s="34">
        <v>2141</v>
      </c>
      <c r="I53" s="201" t="s">
        <v>185</v>
      </c>
      <c r="J53" s="201" t="s">
        <v>186</v>
      </c>
      <c r="K53" s="72"/>
      <c r="L53" s="81" t="s">
        <v>355</v>
      </c>
      <c r="M53" s="297">
        <v>4</v>
      </c>
      <c r="N53" s="169"/>
      <c r="O53" s="299">
        <f t="shared" si="16"/>
        <v>0</v>
      </c>
      <c r="P53" s="299"/>
      <c r="Q53" s="297">
        <f t="shared" si="17"/>
        <v>0</v>
      </c>
      <c r="R53" s="299"/>
      <c r="S53" s="300">
        <f t="shared" si="20"/>
        <v>0</v>
      </c>
      <c r="T53" s="298"/>
      <c r="U53" s="299">
        <f t="shared" si="18"/>
        <v>0</v>
      </c>
      <c r="V53" s="299"/>
      <c r="W53" s="297">
        <f t="shared" si="19"/>
        <v>4</v>
      </c>
      <c r="X53" s="299"/>
      <c r="Y53" s="300">
        <f t="shared" si="21"/>
        <v>4</v>
      </c>
      <c r="Z53" s="18"/>
      <c r="AA53" s="2"/>
    </row>
    <row r="54" spans="1:27" ht="15.75" customHeight="1">
      <c r="A54" s="372"/>
      <c r="B54" s="293" t="s">
        <v>151</v>
      </c>
      <c r="C54" s="294" t="s">
        <v>152</v>
      </c>
      <c r="D54" s="56"/>
      <c r="E54" s="57"/>
      <c r="F54" s="100">
        <v>5</v>
      </c>
      <c r="G54" s="236"/>
      <c r="H54" s="548"/>
      <c r="I54" s="549"/>
      <c r="J54" s="610" t="s">
        <v>327</v>
      </c>
      <c r="K54" s="550"/>
      <c r="L54" s="551"/>
      <c r="M54" s="552"/>
      <c r="N54" s="169"/>
      <c r="O54" s="170">
        <f t="shared" si="16"/>
        <v>0</v>
      </c>
      <c r="P54" s="170"/>
      <c r="Q54" s="172">
        <f t="shared" si="17"/>
        <v>0</v>
      </c>
      <c r="R54" s="170"/>
      <c r="S54" s="171">
        <f t="shared" si="20"/>
        <v>0</v>
      </c>
      <c r="T54" s="169"/>
      <c r="U54" s="170">
        <f t="shared" si="18"/>
        <v>0</v>
      </c>
      <c r="V54" s="170"/>
      <c r="W54" s="172">
        <f t="shared" si="19"/>
        <v>0</v>
      </c>
      <c r="X54" s="170"/>
      <c r="Y54" s="171">
        <f t="shared" si="21"/>
        <v>0</v>
      </c>
      <c r="Z54" s="18"/>
      <c r="AA54" s="2"/>
    </row>
    <row r="55" spans="1:27" ht="15.75" customHeight="1">
      <c r="A55" s="372"/>
      <c r="B55" s="293" t="s">
        <v>153</v>
      </c>
      <c r="C55" s="294" t="s">
        <v>154</v>
      </c>
      <c r="D55" s="56"/>
      <c r="E55" s="57"/>
      <c r="F55" s="100">
        <v>4</v>
      </c>
      <c r="G55" s="236"/>
      <c r="H55" s="34">
        <v>2141</v>
      </c>
      <c r="I55" s="289" t="s">
        <v>187</v>
      </c>
      <c r="J55" s="289" t="s">
        <v>188</v>
      </c>
      <c r="K55" s="54"/>
      <c r="L55" s="79" t="s">
        <v>355</v>
      </c>
      <c r="M55" s="288">
        <v>3</v>
      </c>
      <c r="N55" s="169"/>
      <c r="O55" s="170">
        <f t="shared" si="16"/>
        <v>0</v>
      </c>
      <c r="P55" s="170"/>
      <c r="Q55" s="172">
        <f t="shared" si="17"/>
        <v>0</v>
      </c>
      <c r="R55" s="170"/>
      <c r="S55" s="171">
        <f t="shared" si="20"/>
        <v>0</v>
      </c>
      <c r="T55" s="169"/>
      <c r="U55" s="170">
        <f t="shared" si="18"/>
        <v>0</v>
      </c>
      <c r="V55" s="170"/>
      <c r="W55" s="172">
        <f t="shared" si="19"/>
        <v>3</v>
      </c>
      <c r="X55" s="170"/>
      <c r="Y55" s="171">
        <f t="shared" si="21"/>
        <v>3</v>
      </c>
      <c r="Z55" s="18"/>
      <c r="AA55" s="2"/>
    </row>
    <row r="56" spans="1:27" ht="32.25" customHeight="1">
      <c r="A56" s="372"/>
      <c r="B56" s="295" t="s">
        <v>155</v>
      </c>
      <c r="C56" s="296" t="s">
        <v>156</v>
      </c>
      <c r="D56" s="58"/>
      <c r="E56" s="59"/>
      <c r="F56" s="100">
        <v>4</v>
      </c>
      <c r="G56" s="236"/>
      <c r="H56" s="34">
        <v>2151</v>
      </c>
      <c r="I56" s="302" t="s">
        <v>189</v>
      </c>
      <c r="J56" s="302" t="s">
        <v>190</v>
      </c>
      <c r="K56" s="58"/>
      <c r="L56" s="82" t="s">
        <v>355</v>
      </c>
      <c r="M56" s="297">
        <v>4</v>
      </c>
      <c r="N56" s="298"/>
      <c r="O56" s="299">
        <f t="shared" si="16"/>
        <v>0</v>
      </c>
      <c r="P56" s="299"/>
      <c r="Q56" s="297">
        <f t="shared" si="17"/>
        <v>0</v>
      </c>
      <c r="R56" s="299"/>
      <c r="S56" s="300">
        <f t="shared" si="20"/>
        <v>0</v>
      </c>
      <c r="T56" s="298"/>
      <c r="U56" s="299">
        <f t="shared" si="18"/>
        <v>0</v>
      </c>
      <c r="V56" s="299"/>
      <c r="W56" s="297">
        <f t="shared" si="19"/>
        <v>4</v>
      </c>
      <c r="X56" s="299"/>
      <c r="Y56" s="300">
        <f t="shared" si="21"/>
        <v>4</v>
      </c>
      <c r="Z56" s="18"/>
      <c r="AA56" s="2"/>
    </row>
    <row r="57" spans="1:27" ht="15.75" customHeight="1">
      <c r="A57" s="372"/>
      <c r="B57" s="293" t="s">
        <v>157</v>
      </c>
      <c r="C57" s="294" t="s">
        <v>158</v>
      </c>
      <c r="D57" s="56"/>
      <c r="E57" s="57"/>
      <c r="F57" s="100">
        <v>4</v>
      </c>
      <c r="G57" s="236"/>
      <c r="H57" s="548"/>
      <c r="I57" s="549"/>
      <c r="J57" s="610" t="s">
        <v>328</v>
      </c>
      <c r="K57" s="550"/>
      <c r="L57" s="551"/>
      <c r="M57" s="552"/>
      <c r="N57" s="169"/>
      <c r="O57" s="170">
        <f t="shared" si="16"/>
        <v>0</v>
      </c>
      <c r="P57" s="170"/>
      <c r="Q57" s="172">
        <f t="shared" si="17"/>
        <v>0</v>
      </c>
      <c r="R57" s="170"/>
      <c r="S57" s="171">
        <f t="shared" si="20"/>
        <v>0</v>
      </c>
      <c r="T57" s="169"/>
      <c r="U57" s="170">
        <f t="shared" si="18"/>
        <v>0</v>
      </c>
      <c r="V57" s="170"/>
      <c r="W57" s="172">
        <f t="shared" si="19"/>
        <v>0</v>
      </c>
      <c r="X57" s="170"/>
      <c r="Y57" s="171">
        <f t="shared" si="21"/>
        <v>0</v>
      </c>
      <c r="Z57" s="18"/>
      <c r="AA57" s="2"/>
    </row>
    <row r="58" spans="1:27" ht="15.75" customHeight="1">
      <c r="A58" s="372"/>
      <c r="B58" s="293" t="s">
        <v>159</v>
      </c>
      <c r="C58" s="294" t="s">
        <v>160</v>
      </c>
      <c r="D58" s="56"/>
      <c r="E58" s="57"/>
      <c r="F58" s="100">
        <v>5</v>
      </c>
      <c r="G58" s="236"/>
      <c r="H58" s="34">
        <v>2151</v>
      </c>
      <c r="I58" s="294" t="s">
        <v>191</v>
      </c>
      <c r="J58" s="294" t="s">
        <v>192</v>
      </c>
      <c r="K58" s="56"/>
      <c r="L58" s="80" t="s">
        <v>355</v>
      </c>
      <c r="M58" s="288">
        <v>3</v>
      </c>
      <c r="N58" s="169"/>
      <c r="O58" s="170">
        <f t="shared" si="16"/>
        <v>0</v>
      </c>
      <c r="P58" s="170"/>
      <c r="Q58" s="172">
        <f t="shared" si="17"/>
        <v>0</v>
      </c>
      <c r="R58" s="170"/>
      <c r="S58" s="171">
        <f t="shared" si="20"/>
        <v>0</v>
      </c>
      <c r="T58" s="169"/>
      <c r="U58" s="170">
        <f t="shared" si="18"/>
        <v>0</v>
      </c>
      <c r="V58" s="170"/>
      <c r="W58" s="172">
        <f t="shared" si="19"/>
        <v>3</v>
      </c>
      <c r="X58" s="170"/>
      <c r="Y58" s="171">
        <f t="shared" si="21"/>
        <v>3</v>
      </c>
      <c r="Z58" s="18"/>
      <c r="AA58" s="2"/>
    </row>
    <row r="59" spans="1:27" ht="15.75" customHeight="1">
      <c r="A59" s="372"/>
      <c r="B59" s="293" t="s">
        <v>161</v>
      </c>
      <c r="C59" s="294" t="s">
        <v>162</v>
      </c>
      <c r="D59" s="56"/>
      <c r="E59" s="57"/>
      <c r="F59" s="100">
        <v>4</v>
      </c>
      <c r="G59" s="236"/>
      <c r="H59" s="34">
        <v>2155</v>
      </c>
      <c r="I59" s="294" t="s">
        <v>193</v>
      </c>
      <c r="J59" s="294" t="s">
        <v>194</v>
      </c>
      <c r="K59" s="56"/>
      <c r="L59" s="80" t="s">
        <v>79</v>
      </c>
      <c r="M59" s="288">
        <v>3</v>
      </c>
      <c r="N59" s="169"/>
      <c r="O59" s="170">
        <f t="shared" si="16"/>
        <v>0</v>
      </c>
      <c r="P59" s="170"/>
      <c r="Q59" s="172">
        <f t="shared" si="17"/>
        <v>0</v>
      </c>
      <c r="R59" s="170"/>
      <c r="S59" s="171">
        <f t="shared" si="20"/>
        <v>0</v>
      </c>
      <c r="T59" s="169"/>
      <c r="U59" s="170">
        <f t="shared" si="18"/>
        <v>0</v>
      </c>
      <c r="V59" s="170"/>
      <c r="W59" s="172">
        <f t="shared" si="19"/>
        <v>3</v>
      </c>
      <c r="X59" s="170"/>
      <c r="Y59" s="171">
        <f t="shared" si="21"/>
        <v>3</v>
      </c>
      <c r="Z59" s="18"/>
      <c r="AA59" s="2"/>
    </row>
    <row r="60" spans="1:27" ht="15.75" customHeight="1">
      <c r="A60" s="372"/>
      <c r="B60" s="293" t="s">
        <v>163</v>
      </c>
      <c r="C60" s="294" t="s">
        <v>164</v>
      </c>
      <c r="D60" s="56"/>
      <c r="E60" s="57"/>
      <c r="F60" s="100">
        <v>4</v>
      </c>
      <c r="G60" s="236"/>
      <c r="H60" s="34">
        <v>2155</v>
      </c>
      <c r="I60" s="294" t="s">
        <v>195</v>
      </c>
      <c r="J60" s="294" t="s">
        <v>196</v>
      </c>
      <c r="K60" s="56"/>
      <c r="L60" s="80" t="s">
        <v>355</v>
      </c>
      <c r="M60" s="288">
        <v>3</v>
      </c>
      <c r="N60" s="169"/>
      <c r="O60" s="170">
        <f t="shared" si="16"/>
        <v>0</v>
      </c>
      <c r="P60" s="170"/>
      <c r="Q60" s="172">
        <f t="shared" si="17"/>
        <v>0</v>
      </c>
      <c r="R60" s="170"/>
      <c r="S60" s="171">
        <f t="shared" si="20"/>
        <v>0</v>
      </c>
      <c r="T60" s="169"/>
      <c r="U60" s="170">
        <f t="shared" si="18"/>
        <v>0</v>
      </c>
      <c r="V60" s="170"/>
      <c r="W60" s="172">
        <f t="shared" si="19"/>
        <v>3</v>
      </c>
      <c r="X60" s="170"/>
      <c r="Y60" s="171">
        <f t="shared" si="21"/>
        <v>3</v>
      </c>
      <c r="Z60" s="18"/>
      <c r="AA60" s="2"/>
    </row>
    <row r="61" spans="1:27" ht="15.75" customHeight="1">
      <c r="A61" s="372"/>
      <c r="B61" s="472" t="str">
        <f>IF(C61=C167,B167,"")</f>
        <v/>
      </c>
      <c r="C61" s="471"/>
      <c r="D61" s="56"/>
      <c r="E61" s="57"/>
      <c r="F61" s="100">
        <f>IF(C61=C167,3,)</f>
        <v>0</v>
      </c>
      <c r="G61" s="236"/>
      <c r="H61" s="548"/>
      <c r="I61" s="549"/>
      <c r="J61" s="549"/>
      <c r="K61" s="550"/>
      <c r="L61" s="551"/>
      <c r="M61" s="552"/>
      <c r="N61" s="169"/>
      <c r="O61" s="170">
        <f t="shared" si="16"/>
        <v>0</v>
      </c>
      <c r="P61" s="170"/>
      <c r="Q61" s="172">
        <f t="shared" si="17"/>
        <v>0</v>
      </c>
      <c r="R61" s="170"/>
      <c r="S61" s="171">
        <f t="shared" si="20"/>
        <v>0</v>
      </c>
      <c r="T61" s="169"/>
      <c r="U61" s="170">
        <f t="shared" si="18"/>
        <v>0</v>
      </c>
      <c r="V61" s="170"/>
      <c r="W61" s="172">
        <f t="shared" si="19"/>
        <v>0</v>
      </c>
      <c r="X61" s="170"/>
      <c r="Y61" s="171">
        <f t="shared" si="21"/>
        <v>0</v>
      </c>
      <c r="Z61" s="18"/>
      <c r="AA61" s="2"/>
    </row>
    <row r="62" spans="1:27" ht="15.75" customHeight="1">
      <c r="A62" s="581"/>
      <c r="B62" s="580"/>
      <c r="C62" s="582"/>
      <c r="D62" s="583"/>
      <c r="E62" s="584"/>
      <c r="F62" s="131"/>
      <c r="G62" s="236"/>
      <c r="H62" s="34"/>
      <c r="I62" s="452" t="str">
        <f>IF(OR(F1=B171,B175),I165,"")</f>
        <v/>
      </c>
      <c r="J62" s="453" t="str">
        <f>IF(I62=I165,J165,"")</f>
        <v/>
      </c>
      <c r="K62" s="56"/>
      <c r="L62" s="80"/>
      <c r="M62" s="288">
        <f>IF(I62=I165,L165,0)</f>
        <v>0</v>
      </c>
      <c r="N62" s="169"/>
      <c r="O62" s="170">
        <f t="shared" si="16"/>
        <v>0</v>
      </c>
      <c r="P62" s="170"/>
      <c r="Q62" s="172">
        <f t="shared" si="17"/>
        <v>0</v>
      </c>
      <c r="R62" s="170"/>
      <c r="S62" s="171">
        <f t="shared" ref="S62" si="22">2/3* O62 + Q62</f>
        <v>0</v>
      </c>
      <c r="T62" s="169"/>
      <c r="U62" s="170">
        <f t="shared" si="18"/>
        <v>0</v>
      </c>
      <c r="V62" s="170"/>
      <c r="W62" s="172">
        <f t="shared" si="19"/>
        <v>0</v>
      </c>
      <c r="X62" s="170"/>
      <c r="Y62" s="171">
        <f t="shared" ref="Y62" si="23">2/3* U62 + W62</f>
        <v>0</v>
      </c>
      <c r="Z62" s="18"/>
      <c r="AA62" s="2"/>
    </row>
    <row r="63" spans="1:27" ht="15.75" customHeight="1">
      <c r="A63" s="372"/>
      <c r="B63" s="473" t="str">
        <f>IF(F1=B172,B155,IF(F1=B176,B155,""))</f>
        <v/>
      </c>
      <c r="C63" s="453" t="str">
        <f>IF(B63=B155,C155,"")</f>
        <v/>
      </c>
      <c r="D63" s="56"/>
      <c r="E63" s="57"/>
      <c r="F63" s="100">
        <f>IF(B63=B155,4,0)</f>
        <v>0</v>
      </c>
      <c r="G63" s="236"/>
      <c r="H63" s="34"/>
      <c r="I63" s="452" t="str">
        <f>IF(B63=B155,I155,IF(B63=B156,""))</f>
        <v/>
      </c>
      <c r="J63" s="474" t="str">
        <f>IF(I63=I155,J155,"")</f>
        <v/>
      </c>
      <c r="K63" s="56"/>
      <c r="L63" s="80"/>
      <c r="M63" s="288">
        <f>IF(I63=I155,3,IF(I63=I156,0))</f>
        <v>0</v>
      </c>
      <c r="N63" s="169"/>
      <c r="O63" s="170">
        <f t="shared" si="16"/>
        <v>0</v>
      </c>
      <c r="P63" s="170"/>
      <c r="Q63" s="172">
        <f t="shared" si="17"/>
        <v>0</v>
      </c>
      <c r="R63" s="170"/>
      <c r="S63" s="171">
        <f t="shared" si="20"/>
        <v>0</v>
      </c>
      <c r="T63" s="169"/>
      <c r="U63" s="170">
        <f t="shared" si="18"/>
        <v>0</v>
      </c>
      <c r="V63" s="170"/>
      <c r="W63" s="172">
        <f t="shared" si="19"/>
        <v>0</v>
      </c>
      <c r="X63" s="170"/>
      <c r="Y63" s="171">
        <f t="shared" si="21"/>
        <v>0</v>
      </c>
      <c r="Z63" s="18"/>
      <c r="AA63" s="2"/>
    </row>
    <row r="64" spans="1:27" ht="15.75" customHeight="1">
      <c r="A64" s="372"/>
      <c r="B64" s="381" t="str">
        <f>IF(F1=B172,B157,IF(F1=B176,B157,IF(F1=B170,B158,IF(F1=B174,B158,""))))</f>
        <v/>
      </c>
      <c r="C64" s="453" t="str">
        <f>IF(B64=B157,C157,IF(B64=B158,C158,""))</f>
        <v/>
      </c>
      <c r="D64" s="56"/>
      <c r="E64" s="57"/>
      <c r="F64" s="100">
        <f>IF(B64=B157,E157,IF(B64=B158,E158,0))</f>
        <v>0</v>
      </c>
      <c r="G64" s="236"/>
      <c r="H64" s="34"/>
      <c r="I64" s="452" t="str">
        <f>IF(B64=B157,I157,IF(B64=B158,I158,IF(B64=B156,"")))</f>
        <v/>
      </c>
      <c r="J64" s="453" t="str">
        <f>IF(I64=I157,J157,IF(I64=I158,J158,""))</f>
        <v/>
      </c>
      <c r="K64" s="56"/>
      <c r="L64" s="80"/>
      <c r="M64" s="288">
        <f>IF(I64=I157,3,IF(I64=I158,3,IF(I64=I156,0)))</f>
        <v>0</v>
      </c>
      <c r="N64" s="169"/>
      <c r="O64" s="170">
        <f t="shared" si="16"/>
        <v>0</v>
      </c>
      <c r="P64" s="170"/>
      <c r="Q64" s="172">
        <f t="shared" si="17"/>
        <v>0</v>
      </c>
      <c r="R64" s="170"/>
      <c r="S64" s="171">
        <f t="shared" si="20"/>
        <v>0</v>
      </c>
      <c r="T64" s="169"/>
      <c r="U64" s="170">
        <f t="shared" si="18"/>
        <v>0</v>
      </c>
      <c r="V64" s="170"/>
      <c r="W64" s="172">
        <f t="shared" si="19"/>
        <v>0</v>
      </c>
      <c r="X64" s="170"/>
      <c r="Y64" s="171">
        <f t="shared" si="21"/>
        <v>0</v>
      </c>
      <c r="Z64" s="18"/>
      <c r="AA64" s="2"/>
    </row>
    <row r="65" spans="1:27" ht="15.75" customHeight="1">
      <c r="A65" s="372"/>
      <c r="B65" s="381" t="str">
        <f>IF(F1=B172,B161,IF(F1=B176,B161,IF(F1=B170,B162,IF(F1=B174,B162,IF(F1=B171,B159,IF(F1=B175,B159,B163))))))</f>
        <v>0301-650</v>
      </c>
      <c r="C65" s="474" t="str">
        <f>IF(B65=B161,C161,IF(B65=B162,C162,IF(B65=B163,C163,IF(B65=B159,C159,C163))))</f>
        <v>Design of Digital Systems</v>
      </c>
      <c r="D65" s="56"/>
      <c r="E65" s="57"/>
      <c r="F65" s="100">
        <v>4</v>
      </c>
      <c r="G65" s="236"/>
      <c r="H65" s="34">
        <v>2151</v>
      </c>
      <c r="I65" s="452" t="str">
        <f>IF(B65=B161,I161,IF(B65=B162,I162,IF(B65=B163,I163,IF(B65=B159,I159,I163))))</f>
        <v>EEEE-520</v>
      </c>
      <c r="J65" s="474" t="str">
        <f>IF(I65=I161,J161,IF(I65=I162,J162,IF(I65=I163,J163,IF(I65=I159,J159))))</f>
        <v>Design of Digital Systems</v>
      </c>
      <c r="K65" s="56"/>
      <c r="L65" s="80" t="s">
        <v>355</v>
      </c>
      <c r="M65" s="288">
        <v>3</v>
      </c>
      <c r="N65" s="169"/>
      <c r="O65" s="170">
        <f t="shared" si="16"/>
        <v>0</v>
      </c>
      <c r="P65" s="170"/>
      <c r="Q65" s="172">
        <f t="shared" si="17"/>
        <v>0</v>
      </c>
      <c r="R65" s="170"/>
      <c r="S65" s="171">
        <f t="shared" si="20"/>
        <v>0</v>
      </c>
      <c r="T65" s="169"/>
      <c r="U65" s="170">
        <f t="shared" si="18"/>
        <v>0</v>
      </c>
      <c r="V65" s="170"/>
      <c r="W65" s="172">
        <f t="shared" si="19"/>
        <v>3</v>
      </c>
      <c r="X65" s="170"/>
      <c r="Y65" s="171">
        <f t="shared" si="21"/>
        <v>3</v>
      </c>
      <c r="Z65" s="18"/>
      <c r="AA65" s="2"/>
    </row>
    <row r="66" spans="1:27" ht="15.75" customHeight="1">
      <c r="A66" s="372"/>
      <c r="B66" s="91" t="s">
        <v>169</v>
      </c>
      <c r="C66" s="92" t="s">
        <v>170</v>
      </c>
      <c r="D66" s="56"/>
      <c r="E66" s="57"/>
      <c r="F66" s="100">
        <v>4</v>
      </c>
      <c r="G66" s="236"/>
      <c r="H66" s="34">
        <v>2161</v>
      </c>
      <c r="I66" s="294" t="s">
        <v>201</v>
      </c>
      <c r="J66" s="294" t="s">
        <v>170</v>
      </c>
      <c r="K66" s="56"/>
      <c r="L66" s="80" t="s">
        <v>355</v>
      </c>
      <c r="M66" s="288">
        <v>3</v>
      </c>
      <c r="N66" s="169"/>
      <c r="O66" s="170">
        <f t="shared" si="16"/>
        <v>0</v>
      </c>
      <c r="P66" s="170"/>
      <c r="Q66" s="172">
        <f t="shared" si="17"/>
        <v>0</v>
      </c>
      <c r="R66" s="170"/>
      <c r="S66" s="171">
        <f t="shared" si="20"/>
        <v>0</v>
      </c>
      <c r="T66" s="169"/>
      <c r="U66" s="170">
        <f t="shared" si="18"/>
        <v>0</v>
      </c>
      <c r="V66" s="170"/>
      <c r="W66" s="172">
        <f t="shared" si="19"/>
        <v>3</v>
      </c>
      <c r="X66" s="170"/>
      <c r="Y66" s="171">
        <f t="shared" si="21"/>
        <v>3</v>
      </c>
      <c r="Z66" s="18"/>
      <c r="AA66" s="2"/>
    </row>
    <row r="67" spans="1:27" ht="15.75" customHeight="1">
      <c r="A67" s="372"/>
      <c r="B67" s="91" t="s">
        <v>169</v>
      </c>
      <c r="C67" s="92" t="s">
        <v>170</v>
      </c>
      <c r="D67" s="56"/>
      <c r="E67" s="57"/>
      <c r="F67" s="100">
        <v>4</v>
      </c>
      <c r="G67" s="236"/>
      <c r="H67" s="34">
        <v>2165</v>
      </c>
      <c r="I67" s="92" t="s">
        <v>201</v>
      </c>
      <c r="J67" s="92" t="s">
        <v>170</v>
      </c>
      <c r="K67" s="56"/>
      <c r="L67" s="80" t="s">
        <v>355</v>
      </c>
      <c r="M67" s="117">
        <v>3</v>
      </c>
      <c r="N67" s="169"/>
      <c r="O67" s="170">
        <f t="shared" si="16"/>
        <v>0</v>
      </c>
      <c r="P67" s="170"/>
      <c r="Q67" s="172">
        <f t="shared" si="17"/>
        <v>0</v>
      </c>
      <c r="R67" s="170"/>
      <c r="S67" s="171">
        <f t="shared" si="20"/>
        <v>0</v>
      </c>
      <c r="T67" s="169"/>
      <c r="U67" s="170">
        <f t="shared" si="18"/>
        <v>0</v>
      </c>
      <c r="V67" s="170"/>
      <c r="W67" s="172">
        <f t="shared" si="19"/>
        <v>3</v>
      </c>
      <c r="X67" s="170"/>
      <c r="Y67" s="171">
        <f t="shared" si="21"/>
        <v>3</v>
      </c>
      <c r="Z67" s="18"/>
      <c r="AA67" s="2"/>
    </row>
    <row r="68" spans="1:27" ht="15.75" customHeight="1">
      <c r="A68" s="372"/>
      <c r="B68" s="293" t="s">
        <v>165</v>
      </c>
      <c r="C68" s="294" t="s">
        <v>166</v>
      </c>
      <c r="D68" s="56"/>
      <c r="E68" s="57"/>
      <c r="F68" s="100">
        <v>4</v>
      </c>
      <c r="G68" s="236"/>
      <c r="H68" s="34">
        <v>2161</v>
      </c>
      <c r="I68" s="294" t="s">
        <v>197</v>
      </c>
      <c r="J68" s="294" t="s">
        <v>198</v>
      </c>
      <c r="K68" s="56"/>
      <c r="L68" s="80" t="s">
        <v>355</v>
      </c>
      <c r="M68" s="288">
        <v>3</v>
      </c>
      <c r="N68" s="169"/>
      <c r="O68" s="170">
        <f t="shared" si="16"/>
        <v>0</v>
      </c>
      <c r="P68" s="170"/>
      <c r="Q68" s="172">
        <f t="shared" si="17"/>
        <v>0</v>
      </c>
      <c r="R68" s="170"/>
      <c r="S68" s="171">
        <f t="shared" si="20"/>
        <v>0</v>
      </c>
      <c r="T68" s="169"/>
      <c r="U68" s="170">
        <f t="shared" si="18"/>
        <v>0</v>
      </c>
      <c r="V68" s="170"/>
      <c r="W68" s="172">
        <f t="shared" si="19"/>
        <v>3</v>
      </c>
      <c r="X68" s="170"/>
      <c r="Y68" s="171">
        <f t="shared" si="21"/>
        <v>3</v>
      </c>
      <c r="Z68" s="18"/>
      <c r="AA68" s="2"/>
    </row>
    <row r="69" spans="1:27" ht="15.75" customHeight="1">
      <c r="A69" s="372"/>
      <c r="B69" s="293" t="s">
        <v>167</v>
      </c>
      <c r="C69" s="294" t="s">
        <v>168</v>
      </c>
      <c r="D69" s="56"/>
      <c r="E69" s="57"/>
      <c r="F69" s="100">
        <v>4</v>
      </c>
      <c r="G69" s="236"/>
      <c r="H69" s="34">
        <v>2165</v>
      </c>
      <c r="I69" s="294" t="s">
        <v>199</v>
      </c>
      <c r="J69" s="294" t="s">
        <v>200</v>
      </c>
      <c r="K69" s="56"/>
      <c r="L69" s="80" t="s">
        <v>355</v>
      </c>
      <c r="M69" s="288">
        <v>3</v>
      </c>
      <c r="N69" s="169"/>
      <c r="O69" s="303">
        <f t="shared" si="16"/>
        <v>0</v>
      </c>
      <c r="P69" s="303"/>
      <c r="Q69" s="178">
        <f t="shared" si="17"/>
        <v>0</v>
      </c>
      <c r="R69" s="303"/>
      <c r="S69" s="171">
        <f t="shared" si="20"/>
        <v>0</v>
      </c>
      <c r="T69" s="304"/>
      <c r="U69" s="303">
        <f t="shared" si="18"/>
        <v>0</v>
      </c>
      <c r="V69" s="303"/>
      <c r="W69" s="178">
        <f t="shared" si="19"/>
        <v>3</v>
      </c>
      <c r="X69" s="303"/>
      <c r="Y69" s="171">
        <f t="shared" si="21"/>
        <v>3</v>
      </c>
      <c r="Z69" s="19"/>
      <c r="AA69" s="2"/>
    </row>
    <row r="70" spans="1:27" ht="15.75" customHeight="1">
      <c r="A70" s="372"/>
      <c r="B70" s="293"/>
      <c r="C70" s="294" t="s">
        <v>171</v>
      </c>
      <c r="D70" s="56"/>
      <c r="E70" s="57"/>
      <c r="F70" s="100">
        <v>0</v>
      </c>
      <c r="G70" s="236"/>
      <c r="H70" s="34">
        <v>2131</v>
      </c>
      <c r="I70" s="289"/>
      <c r="J70" s="289" t="s">
        <v>24</v>
      </c>
      <c r="K70" s="54"/>
      <c r="L70" s="83" t="s">
        <v>355</v>
      </c>
      <c r="M70" s="305">
        <v>0</v>
      </c>
      <c r="N70" s="132"/>
      <c r="O70" s="211">
        <f t="shared" si="16"/>
        <v>0</v>
      </c>
      <c r="P70" s="211"/>
      <c r="Q70" s="214">
        <f t="shared" si="17"/>
        <v>0</v>
      </c>
      <c r="R70" s="211"/>
      <c r="S70" s="171">
        <f t="shared" si="20"/>
        <v>0</v>
      </c>
      <c r="T70" s="213"/>
      <c r="U70" s="211">
        <f t="shared" si="18"/>
        <v>0</v>
      </c>
      <c r="V70" s="211"/>
      <c r="W70" s="214">
        <f t="shared" si="19"/>
        <v>0</v>
      </c>
      <c r="X70" s="211"/>
      <c r="Y70" s="171">
        <f t="shared" si="21"/>
        <v>0</v>
      </c>
      <c r="Z70" s="20"/>
      <c r="AA70" s="2"/>
    </row>
    <row r="71" spans="1:27" ht="15.75" customHeight="1">
      <c r="A71" s="372"/>
      <c r="B71" s="293" t="s">
        <v>172</v>
      </c>
      <c r="C71" s="294" t="s">
        <v>23</v>
      </c>
      <c r="D71" s="56"/>
      <c r="E71" s="57"/>
      <c r="F71" s="100">
        <v>0</v>
      </c>
      <c r="G71" s="236"/>
      <c r="H71" s="34">
        <v>2138</v>
      </c>
      <c r="I71" s="294"/>
      <c r="J71" s="92" t="s">
        <v>25</v>
      </c>
      <c r="K71" s="56"/>
      <c r="L71" s="80" t="s">
        <v>355</v>
      </c>
      <c r="M71" s="288">
        <v>0</v>
      </c>
      <c r="N71" s="169"/>
      <c r="O71" s="303">
        <f t="shared" si="16"/>
        <v>0</v>
      </c>
      <c r="P71" s="303"/>
      <c r="Q71" s="178">
        <f t="shared" si="17"/>
        <v>0</v>
      </c>
      <c r="R71" s="303"/>
      <c r="S71" s="171">
        <f t="shared" si="20"/>
        <v>0</v>
      </c>
      <c r="T71" s="304"/>
      <c r="U71" s="303">
        <f t="shared" si="18"/>
        <v>0</v>
      </c>
      <c r="V71" s="303"/>
      <c r="W71" s="178">
        <f t="shared" si="19"/>
        <v>0</v>
      </c>
      <c r="X71" s="303"/>
      <c r="Y71" s="171">
        <f t="shared" si="21"/>
        <v>0</v>
      </c>
      <c r="Z71" s="19"/>
      <c r="AA71" s="2"/>
    </row>
    <row r="72" spans="1:27" ht="15.75" customHeight="1">
      <c r="A72" s="372"/>
      <c r="B72" s="441" t="s">
        <v>172</v>
      </c>
      <c r="C72" s="294" t="s">
        <v>261</v>
      </c>
      <c r="D72" s="56"/>
      <c r="E72" s="57"/>
      <c r="F72" s="100">
        <v>0</v>
      </c>
      <c r="G72" s="236"/>
      <c r="H72" s="34">
        <v>2148</v>
      </c>
      <c r="I72" s="294"/>
      <c r="J72" s="92" t="s">
        <v>25</v>
      </c>
      <c r="K72" s="56"/>
      <c r="L72" s="80" t="s">
        <v>355</v>
      </c>
      <c r="M72" s="288">
        <v>0</v>
      </c>
      <c r="N72" s="169"/>
      <c r="O72" s="170">
        <f t="shared" si="16"/>
        <v>0</v>
      </c>
      <c r="P72" s="170"/>
      <c r="Q72" s="172">
        <f t="shared" si="17"/>
        <v>0</v>
      </c>
      <c r="R72" s="170"/>
      <c r="S72" s="171">
        <f t="shared" si="20"/>
        <v>0</v>
      </c>
      <c r="T72" s="169"/>
      <c r="U72" s="170">
        <f t="shared" si="18"/>
        <v>0</v>
      </c>
      <c r="V72" s="170"/>
      <c r="W72" s="172">
        <f t="shared" si="19"/>
        <v>0</v>
      </c>
      <c r="X72" s="170"/>
      <c r="Y72" s="171">
        <f t="shared" si="21"/>
        <v>0</v>
      </c>
      <c r="Z72" s="18"/>
      <c r="AA72" s="2"/>
    </row>
    <row r="73" spans="1:27" ht="15.75" customHeight="1">
      <c r="A73" s="372" t="s">
        <v>0</v>
      </c>
      <c r="B73" s="293" t="s">
        <v>172</v>
      </c>
      <c r="C73" s="294" t="s">
        <v>23</v>
      </c>
      <c r="D73" s="56"/>
      <c r="E73" s="57"/>
      <c r="F73" s="100">
        <v>0</v>
      </c>
      <c r="G73" s="236"/>
      <c r="H73" s="34">
        <v>2145</v>
      </c>
      <c r="I73" s="294"/>
      <c r="J73" s="92" t="s">
        <v>26</v>
      </c>
      <c r="K73" s="56"/>
      <c r="L73" s="80" t="s">
        <v>355</v>
      </c>
      <c r="M73" s="288">
        <v>0</v>
      </c>
      <c r="N73" s="169"/>
      <c r="O73" s="170">
        <f t="shared" si="16"/>
        <v>0</v>
      </c>
      <c r="P73" s="170"/>
      <c r="Q73" s="172">
        <f t="shared" si="17"/>
        <v>0</v>
      </c>
      <c r="R73" s="170"/>
      <c r="S73" s="171">
        <f t="shared" si="20"/>
        <v>0</v>
      </c>
      <c r="T73" s="169"/>
      <c r="U73" s="170">
        <f t="shared" si="18"/>
        <v>0</v>
      </c>
      <c r="V73" s="170"/>
      <c r="W73" s="172">
        <f t="shared" si="19"/>
        <v>0</v>
      </c>
      <c r="X73" s="170"/>
      <c r="Y73" s="171">
        <f t="shared" si="21"/>
        <v>0</v>
      </c>
      <c r="Z73" s="18"/>
      <c r="AA73" s="2"/>
    </row>
    <row r="74" spans="1:27" ht="15.75" customHeight="1">
      <c r="A74" s="372"/>
      <c r="B74" s="293" t="s">
        <v>172</v>
      </c>
      <c r="C74" s="294" t="s">
        <v>23</v>
      </c>
      <c r="D74" s="56"/>
      <c r="E74" s="57"/>
      <c r="F74" s="100">
        <v>0</v>
      </c>
      <c r="G74" s="236"/>
      <c r="H74" s="34">
        <v>2158</v>
      </c>
      <c r="I74" s="294"/>
      <c r="J74" s="92" t="s">
        <v>26</v>
      </c>
      <c r="K74" s="56"/>
      <c r="L74" s="80" t="s">
        <v>355</v>
      </c>
      <c r="M74" s="288">
        <v>0</v>
      </c>
      <c r="N74" s="169"/>
      <c r="O74" s="170">
        <f t="shared" si="16"/>
        <v>0</v>
      </c>
      <c r="P74" s="170"/>
      <c r="Q74" s="172">
        <f t="shared" si="17"/>
        <v>0</v>
      </c>
      <c r="R74" s="170"/>
      <c r="S74" s="171">
        <f t="shared" si="20"/>
        <v>0</v>
      </c>
      <c r="T74" s="169"/>
      <c r="U74" s="170">
        <f t="shared" si="18"/>
        <v>0</v>
      </c>
      <c r="V74" s="170"/>
      <c r="W74" s="172">
        <f t="shared" si="19"/>
        <v>0</v>
      </c>
      <c r="X74" s="170"/>
      <c r="Y74" s="171">
        <f t="shared" si="21"/>
        <v>0</v>
      </c>
      <c r="Z74" s="18"/>
      <c r="AA74" s="2"/>
    </row>
    <row r="75" spans="1:27" ht="15.75" customHeight="1" thickBot="1">
      <c r="A75" s="372"/>
      <c r="B75" s="293" t="s">
        <v>172</v>
      </c>
      <c r="C75" s="294" t="s">
        <v>23</v>
      </c>
      <c r="D75" s="56"/>
      <c r="E75" s="57"/>
      <c r="F75" s="100">
        <v>0</v>
      </c>
      <c r="G75" s="236"/>
      <c r="H75" s="548"/>
      <c r="I75" s="549"/>
      <c r="J75" s="549"/>
      <c r="K75" s="550"/>
      <c r="L75" s="551"/>
      <c r="M75" s="552"/>
      <c r="N75" s="169"/>
      <c r="O75" s="170">
        <f t="shared" si="16"/>
        <v>0</v>
      </c>
      <c r="P75" s="170"/>
      <c r="Q75" s="172">
        <f t="shared" si="17"/>
        <v>0</v>
      </c>
      <c r="R75" s="170"/>
      <c r="S75" s="171">
        <f t="shared" si="20"/>
        <v>0</v>
      </c>
      <c r="T75" s="169"/>
      <c r="U75" s="170">
        <f t="shared" si="18"/>
        <v>0</v>
      </c>
      <c r="V75" s="170"/>
      <c r="W75" s="172">
        <f t="shared" si="19"/>
        <v>0</v>
      </c>
      <c r="X75" s="170"/>
      <c r="Y75" s="171">
        <f t="shared" si="21"/>
        <v>0</v>
      </c>
      <c r="Z75" s="18"/>
      <c r="AA75" s="2"/>
    </row>
    <row r="76" spans="1:27" ht="13" thickBot="1">
      <c r="A76" s="567"/>
      <c r="B76" s="274"/>
      <c r="C76" s="274" t="s">
        <v>15</v>
      </c>
      <c r="D76" s="568"/>
      <c r="E76" s="568"/>
      <c r="F76" s="275">
        <f>SUM(F43:F75)</f>
        <v>91</v>
      </c>
      <c r="G76" s="132"/>
      <c r="H76" s="274"/>
      <c r="I76" s="274"/>
      <c r="J76" s="274" t="s">
        <v>15</v>
      </c>
      <c r="K76" s="568"/>
      <c r="L76" s="568"/>
      <c r="M76" s="276">
        <f>SUM(M43:M75)</f>
        <v>61</v>
      </c>
      <c r="N76" s="277"/>
      <c r="O76" s="278">
        <f>SUM(O43:O75)</f>
        <v>0</v>
      </c>
      <c r="P76" s="277"/>
      <c r="Q76" s="279">
        <f>SUM(Q43:Q75)</f>
        <v>0</v>
      </c>
      <c r="R76" s="277"/>
      <c r="S76" s="280">
        <f>SUM(S43:S75)</f>
        <v>0</v>
      </c>
      <c r="T76" s="277"/>
      <c r="U76" s="278">
        <f>SUM(U43:U75)</f>
        <v>5</v>
      </c>
      <c r="V76" s="277"/>
      <c r="W76" s="279">
        <f>SUM(W43:W75)</f>
        <v>57</v>
      </c>
      <c r="X76" s="277"/>
      <c r="Y76" s="280">
        <f>SUM(Y43:Y75)</f>
        <v>60.333333333333329</v>
      </c>
      <c r="Z76" s="11"/>
      <c r="AA76" s="2"/>
    </row>
    <row r="77" spans="1:27" ht="13" thickBot="1">
      <c r="A77" s="500"/>
      <c r="B77" s="137"/>
      <c r="C77" s="137"/>
      <c r="D77" s="148"/>
      <c r="E77" s="148"/>
      <c r="F77" s="271"/>
      <c r="G77" s="132"/>
      <c r="H77" s="137"/>
      <c r="I77" s="137"/>
      <c r="J77" s="137"/>
      <c r="K77" s="148"/>
      <c r="L77" s="148"/>
      <c r="M77" s="272"/>
      <c r="N77" s="132"/>
      <c r="O77" s="623" t="s">
        <v>90</v>
      </c>
      <c r="P77" s="624"/>
      <c r="Q77" s="624"/>
      <c r="R77" s="624"/>
      <c r="S77" s="624"/>
      <c r="T77" s="624"/>
      <c r="U77" s="624"/>
      <c r="V77" s="624"/>
      <c r="W77" s="624"/>
      <c r="X77" s="624"/>
      <c r="Y77" s="239">
        <f>FLOOR(S76+Y76,1)</f>
        <v>60</v>
      </c>
      <c r="Z77" s="14"/>
      <c r="AA77" s="2"/>
    </row>
    <row r="78" spans="1:27" ht="13" thickBot="1">
      <c r="A78" s="569"/>
      <c r="B78" s="228"/>
      <c r="C78" s="274" t="s">
        <v>109</v>
      </c>
      <c r="D78" s="158"/>
      <c r="E78" s="158"/>
      <c r="F78" s="282"/>
      <c r="G78" s="286"/>
      <c r="H78" s="228"/>
      <c r="I78" s="228"/>
      <c r="J78" s="274" t="s">
        <v>109</v>
      </c>
      <c r="K78" s="158"/>
      <c r="L78" s="158"/>
      <c r="M78" s="230"/>
      <c r="N78" s="132"/>
      <c r="O78" s="132"/>
      <c r="P78" s="132"/>
      <c r="Q78" s="459"/>
      <c r="R78" s="132"/>
      <c r="S78" s="283"/>
      <c r="T78" s="132"/>
      <c r="U78" s="132"/>
      <c r="V78" s="132"/>
      <c r="W78" s="132"/>
      <c r="X78" s="132"/>
      <c r="Y78" s="283"/>
      <c r="Z78" s="2"/>
      <c r="AA78" s="2"/>
    </row>
    <row r="79" spans="1:27">
      <c r="A79" s="513"/>
      <c r="B79" s="102" t="s">
        <v>335</v>
      </c>
      <c r="C79" s="102" t="s">
        <v>38</v>
      </c>
      <c r="D79" s="76" t="s">
        <v>0</v>
      </c>
      <c r="E79" s="77" t="s">
        <v>342</v>
      </c>
      <c r="F79" s="131">
        <v>1</v>
      </c>
      <c r="G79" s="236"/>
      <c r="H79" s="99"/>
      <c r="I79" s="99"/>
      <c r="J79" s="306" t="s">
        <v>46</v>
      </c>
      <c r="K79" s="577"/>
      <c r="L79" s="578"/>
      <c r="M79" s="571"/>
      <c r="N79" s="167"/>
      <c r="O79" s="307">
        <f t="shared" ref="O79:O96" si="24">SUMIF($E79,$H$141,$F79)</f>
        <v>1</v>
      </c>
      <c r="P79" s="307"/>
      <c r="Q79" s="168">
        <f t="shared" ref="Q79:Q96" si="25">SUMIF($L79,$H$141,$M79)</f>
        <v>0</v>
      </c>
      <c r="R79" s="307"/>
      <c r="S79" s="308">
        <f>2/3* O79 + Q79</f>
        <v>0.66666666666666663</v>
      </c>
      <c r="T79" s="167"/>
      <c r="U79" s="307">
        <f t="shared" ref="U79:U96" si="26">SUMIF($E79,$H$142,$F79)</f>
        <v>0</v>
      </c>
      <c r="V79" s="307"/>
      <c r="W79" s="168">
        <f t="shared" ref="W79:W96" si="27">SUMIF($L79,$H$142,$M79)</f>
        <v>0</v>
      </c>
      <c r="X79" s="307"/>
      <c r="Y79" s="308">
        <f>2/3* U79 + W79</f>
        <v>0</v>
      </c>
      <c r="Z79" s="18"/>
      <c r="AA79" s="17"/>
    </row>
    <row r="80" spans="1:27" ht="13" thickBot="1">
      <c r="A80" s="514">
        <v>2122</v>
      </c>
      <c r="B80" s="309" t="s">
        <v>336</v>
      </c>
      <c r="C80" s="309" t="s">
        <v>32</v>
      </c>
      <c r="D80" s="110" t="s">
        <v>0</v>
      </c>
      <c r="E80" s="111" t="s">
        <v>355</v>
      </c>
      <c r="F80" s="312">
        <v>1</v>
      </c>
      <c r="G80" s="371"/>
      <c r="H80" s="309"/>
      <c r="I80" s="309"/>
      <c r="J80" s="313"/>
      <c r="K80" s="310" t="s">
        <v>0</v>
      </c>
      <c r="L80" s="311"/>
      <c r="M80" s="314"/>
      <c r="N80" s="167"/>
      <c r="O80" s="307">
        <f t="shared" si="24"/>
        <v>0</v>
      </c>
      <c r="P80" s="307"/>
      <c r="Q80" s="168">
        <f t="shared" si="25"/>
        <v>0</v>
      </c>
      <c r="R80" s="307"/>
      <c r="S80" s="308">
        <f t="shared" ref="S80:S116" si="28">2/3* O80 + Q80</f>
        <v>0</v>
      </c>
      <c r="T80" s="167"/>
      <c r="U80" s="307">
        <f t="shared" si="26"/>
        <v>1</v>
      </c>
      <c r="V80" s="307"/>
      <c r="W80" s="168">
        <f t="shared" si="27"/>
        <v>0</v>
      </c>
      <c r="X80" s="307"/>
      <c r="Y80" s="308">
        <f t="shared" ref="Y80:Y116" si="29">2/3* U80 + W80</f>
        <v>0.66666666666666663</v>
      </c>
      <c r="Z80" s="18"/>
      <c r="AA80" s="17"/>
    </row>
    <row r="81" spans="1:27">
      <c r="A81" s="515"/>
      <c r="B81" s="287" t="str">
        <f>IF(F1=B171,B151,IF(F1=B175,B151,""))</f>
        <v>4003-440</v>
      </c>
      <c r="C81" s="287" t="str">
        <f>IF(B81=B151,C151,"")</f>
        <v>Operating Systems I (All) (Computer)</v>
      </c>
      <c r="D81" s="85" t="s">
        <v>0</v>
      </c>
      <c r="E81" s="86"/>
      <c r="F81" s="585">
        <f>IF(B81=B151,4,0)</f>
        <v>4</v>
      </c>
      <c r="G81" s="87"/>
      <c r="H81" s="84">
        <v>2165</v>
      </c>
      <c r="I81" s="84"/>
      <c r="J81" s="287" t="str">
        <f>IF(B81=B151,J151,"")</f>
        <v>Restrictive EE/CE/CS Elec. (Computer)</v>
      </c>
      <c r="K81" s="85" t="s">
        <v>0</v>
      </c>
      <c r="L81" s="86" t="s">
        <v>355</v>
      </c>
      <c r="M81" s="586">
        <f>IF(J81=J151,3,)</f>
        <v>3</v>
      </c>
      <c r="N81" s="195"/>
      <c r="O81" s="248">
        <f t="shared" si="24"/>
        <v>0</v>
      </c>
      <c r="P81" s="248"/>
      <c r="Q81" s="175">
        <f t="shared" si="25"/>
        <v>0</v>
      </c>
      <c r="R81" s="248"/>
      <c r="S81" s="171">
        <f t="shared" si="28"/>
        <v>0</v>
      </c>
      <c r="T81" s="367"/>
      <c r="U81" s="248">
        <f t="shared" si="26"/>
        <v>0</v>
      </c>
      <c r="V81" s="248"/>
      <c r="W81" s="175">
        <f t="shared" si="27"/>
        <v>3</v>
      </c>
      <c r="X81" s="248"/>
      <c r="Y81" s="171">
        <f t="shared" si="29"/>
        <v>3</v>
      </c>
      <c r="Z81" s="26"/>
      <c r="AA81" s="17"/>
    </row>
    <row r="82" spans="1:27">
      <c r="A82" s="516"/>
      <c r="B82" s="88"/>
      <c r="C82" s="88" t="s">
        <v>361</v>
      </c>
      <c r="D82" s="47" t="s">
        <v>0</v>
      </c>
      <c r="E82" s="89" t="s">
        <v>342</v>
      </c>
      <c r="F82" s="55">
        <v>5</v>
      </c>
      <c r="G82" s="90"/>
      <c r="H82" s="88"/>
      <c r="I82" s="88"/>
      <c r="J82" s="88" t="s">
        <v>359</v>
      </c>
      <c r="K82" s="47" t="s">
        <v>0</v>
      </c>
      <c r="L82" s="89"/>
      <c r="M82" s="79">
        <v>3</v>
      </c>
      <c r="N82" s="213"/>
      <c r="O82" s="303">
        <f t="shared" si="24"/>
        <v>5</v>
      </c>
      <c r="P82" s="303"/>
      <c r="Q82" s="178">
        <f t="shared" si="25"/>
        <v>0</v>
      </c>
      <c r="R82" s="303"/>
      <c r="S82" s="171">
        <f t="shared" si="28"/>
        <v>3.333333333333333</v>
      </c>
      <c r="T82" s="304"/>
      <c r="U82" s="303">
        <f t="shared" si="26"/>
        <v>0</v>
      </c>
      <c r="V82" s="303"/>
      <c r="W82" s="178">
        <f t="shared" si="27"/>
        <v>0</v>
      </c>
      <c r="X82" s="303"/>
      <c r="Y82" s="171">
        <f t="shared" si="29"/>
        <v>0</v>
      </c>
      <c r="Z82" s="27"/>
      <c r="AA82" s="17"/>
    </row>
    <row r="83" spans="1:27" s="17" customFormat="1" ht="13.5" customHeight="1">
      <c r="A83" s="517"/>
      <c r="B83" s="92" t="s">
        <v>0</v>
      </c>
      <c r="C83" s="88" t="s">
        <v>354</v>
      </c>
      <c r="D83" s="49" t="s">
        <v>0</v>
      </c>
      <c r="E83" s="93" t="s">
        <v>342</v>
      </c>
      <c r="F83" s="57">
        <v>1</v>
      </c>
      <c r="G83" s="94"/>
      <c r="H83" s="92"/>
      <c r="I83" s="92"/>
      <c r="J83" s="92" t="s">
        <v>359</v>
      </c>
      <c r="K83" s="49" t="s">
        <v>0</v>
      </c>
      <c r="L83" s="93"/>
      <c r="M83" s="80">
        <v>3</v>
      </c>
      <c r="N83" s="304"/>
      <c r="O83" s="303">
        <f t="shared" si="24"/>
        <v>1</v>
      </c>
      <c r="P83" s="303"/>
      <c r="Q83" s="178">
        <f t="shared" si="25"/>
        <v>0</v>
      </c>
      <c r="R83" s="303"/>
      <c r="S83" s="171">
        <f t="shared" si="28"/>
        <v>0.66666666666666663</v>
      </c>
      <c r="T83" s="304"/>
      <c r="U83" s="303">
        <f t="shared" si="26"/>
        <v>0</v>
      </c>
      <c r="V83" s="303"/>
      <c r="W83" s="178">
        <f t="shared" si="27"/>
        <v>0</v>
      </c>
      <c r="X83" s="303"/>
      <c r="Y83" s="171">
        <f t="shared" si="29"/>
        <v>0</v>
      </c>
      <c r="Z83" s="27"/>
    </row>
    <row r="84" spans="1:27" s="17" customFormat="1" ht="13.5" customHeight="1">
      <c r="A84" s="518">
        <v>2122</v>
      </c>
      <c r="B84" s="372" t="s">
        <v>357</v>
      </c>
      <c r="C84" s="372" t="s">
        <v>358</v>
      </c>
      <c r="D84" s="35"/>
      <c r="E84" s="120" t="s">
        <v>355</v>
      </c>
      <c r="F84" s="96">
        <v>4</v>
      </c>
      <c r="G84" s="95"/>
      <c r="H84" s="34">
        <v>2151</v>
      </c>
      <c r="I84" s="372" t="s">
        <v>311</v>
      </c>
      <c r="J84" s="453" t="s">
        <v>312</v>
      </c>
      <c r="K84" s="114"/>
      <c r="L84" s="115" t="s">
        <v>79</v>
      </c>
      <c r="M84" s="116">
        <v>3</v>
      </c>
      <c r="N84" s="315"/>
      <c r="O84" s="303">
        <f t="shared" si="24"/>
        <v>0</v>
      </c>
      <c r="P84" s="303"/>
      <c r="Q84" s="178">
        <f t="shared" si="25"/>
        <v>0</v>
      </c>
      <c r="R84" s="303"/>
      <c r="S84" s="171">
        <f t="shared" ref="S84:S87" si="30">2/3* O84 + Q84</f>
        <v>0</v>
      </c>
      <c r="T84" s="304"/>
      <c r="U84" s="303">
        <f t="shared" si="26"/>
        <v>4</v>
      </c>
      <c r="V84" s="303"/>
      <c r="W84" s="178">
        <f t="shared" si="27"/>
        <v>3</v>
      </c>
      <c r="X84" s="303"/>
      <c r="Y84" s="171">
        <f t="shared" ref="Y84:Y87" si="31">2/3* U84 + W84</f>
        <v>5.6666666666666661</v>
      </c>
      <c r="Z84" s="27"/>
    </row>
    <row r="85" spans="1:27" s="17" customFormat="1" ht="13.5" customHeight="1">
      <c r="A85" s="518"/>
      <c r="B85" s="372"/>
      <c r="C85" s="372"/>
      <c r="D85" s="35"/>
      <c r="E85" s="120"/>
      <c r="F85" s="96"/>
      <c r="G85" s="95"/>
      <c r="H85" s="34"/>
      <c r="I85" s="372"/>
      <c r="J85" s="372"/>
      <c r="K85" s="114"/>
      <c r="L85" s="115"/>
      <c r="M85" s="116">
        <v>0</v>
      </c>
      <c r="N85" s="315"/>
      <c r="O85" s="303">
        <f t="shared" si="24"/>
        <v>0</v>
      </c>
      <c r="P85" s="303"/>
      <c r="Q85" s="178">
        <f t="shared" si="25"/>
        <v>0</v>
      </c>
      <c r="R85" s="303"/>
      <c r="S85" s="171">
        <f t="shared" si="30"/>
        <v>0</v>
      </c>
      <c r="T85" s="304"/>
      <c r="U85" s="303">
        <f t="shared" si="26"/>
        <v>0</v>
      </c>
      <c r="V85" s="303"/>
      <c r="W85" s="178">
        <f t="shared" si="27"/>
        <v>0</v>
      </c>
      <c r="X85" s="303"/>
      <c r="Y85" s="171">
        <f t="shared" si="31"/>
        <v>0</v>
      </c>
      <c r="Z85" s="27"/>
    </row>
    <row r="86" spans="1:27" s="17" customFormat="1" ht="13.5" customHeight="1">
      <c r="A86" s="518"/>
      <c r="B86" s="372"/>
      <c r="C86" s="372"/>
      <c r="D86" s="35"/>
      <c r="E86" s="120"/>
      <c r="F86" s="96"/>
      <c r="G86" s="95"/>
      <c r="H86" s="34"/>
      <c r="I86" s="372"/>
      <c r="J86" s="372"/>
      <c r="K86" s="114"/>
      <c r="L86" s="115"/>
      <c r="M86" s="116"/>
      <c r="N86" s="315"/>
      <c r="O86" s="303">
        <f t="shared" si="24"/>
        <v>0</v>
      </c>
      <c r="P86" s="303"/>
      <c r="Q86" s="178">
        <f t="shared" si="25"/>
        <v>0</v>
      </c>
      <c r="R86" s="303"/>
      <c r="S86" s="171">
        <f t="shared" si="30"/>
        <v>0</v>
      </c>
      <c r="T86" s="304"/>
      <c r="U86" s="303">
        <f t="shared" si="26"/>
        <v>0</v>
      </c>
      <c r="V86" s="303"/>
      <c r="W86" s="178">
        <f t="shared" si="27"/>
        <v>0</v>
      </c>
      <c r="X86" s="303"/>
      <c r="Y86" s="171">
        <f t="shared" si="31"/>
        <v>0</v>
      </c>
      <c r="Z86" s="27"/>
    </row>
    <row r="87" spans="1:27" s="17" customFormat="1" ht="13.5" customHeight="1">
      <c r="A87" s="518"/>
      <c r="B87" s="372"/>
      <c r="C87" s="372"/>
      <c r="D87" s="35"/>
      <c r="E87" s="120"/>
      <c r="F87" s="96"/>
      <c r="G87" s="95"/>
      <c r="H87" s="34"/>
      <c r="I87" s="372"/>
      <c r="J87" s="372"/>
      <c r="K87" s="114"/>
      <c r="L87" s="115"/>
      <c r="M87" s="116"/>
      <c r="N87" s="315"/>
      <c r="O87" s="303">
        <f t="shared" si="24"/>
        <v>0</v>
      </c>
      <c r="P87" s="303"/>
      <c r="Q87" s="178">
        <f t="shared" si="25"/>
        <v>0</v>
      </c>
      <c r="R87" s="303"/>
      <c r="S87" s="171">
        <f t="shared" si="30"/>
        <v>0</v>
      </c>
      <c r="T87" s="304"/>
      <c r="U87" s="303">
        <f t="shared" si="26"/>
        <v>0</v>
      </c>
      <c r="V87" s="303"/>
      <c r="W87" s="178">
        <f t="shared" si="27"/>
        <v>0</v>
      </c>
      <c r="X87" s="303"/>
      <c r="Y87" s="171">
        <f t="shared" si="31"/>
        <v>0</v>
      </c>
      <c r="Z87" s="27"/>
    </row>
    <row r="88" spans="1:27" s="17" customFormat="1" ht="13.5" customHeight="1">
      <c r="A88" s="518"/>
      <c r="B88" s="372"/>
      <c r="C88" s="372"/>
      <c r="D88" s="35"/>
      <c r="E88" s="120"/>
      <c r="F88" s="96"/>
      <c r="G88" s="95"/>
      <c r="H88" s="34"/>
      <c r="I88" s="377"/>
      <c r="J88" s="377"/>
      <c r="K88" s="114"/>
      <c r="L88" s="115"/>
      <c r="M88" s="116"/>
      <c r="N88" s="315"/>
      <c r="O88" s="316">
        <f t="shared" si="24"/>
        <v>0</v>
      </c>
      <c r="P88" s="303"/>
      <c r="Q88" s="178">
        <f t="shared" si="25"/>
        <v>0</v>
      </c>
      <c r="R88" s="303"/>
      <c r="S88" s="171">
        <f t="shared" si="28"/>
        <v>0</v>
      </c>
      <c r="T88" s="304"/>
      <c r="U88" s="303">
        <f t="shared" si="26"/>
        <v>0</v>
      </c>
      <c r="V88" s="303"/>
      <c r="W88" s="178">
        <f t="shared" si="27"/>
        <v>0</v>
      </c>
      <c r="X88" s="303"/>
      <c r="Y88" s="171">
        <f t="shared" si="29"/>
        <v>0</v>
      </c>
      <c r="Z88" s="27"/>
    </row>
    <row r="89" spans="1:27" s="17" customFormat="1" ht="13.5" customHeight="1">
      <c r="A89" s="518"/>
      <c r="B89" s="372"/>
      <c r="C89" s="372"/>
      <c r="D89" s="35"/>
      <c r="E89" s="120"/>
      <c r="F89" s="96"/>
      <c r="G89" s="236"/>
      <c r="H89" s="34"/>
      <c r="I89" s="94"/>
      <c r="J89" s="92"/>
      <c r="K89" s="114"/>
      <c r="L89" s="115"/>
      <c r="M89" s="116"/>
      <c r="N89" s="315"/>
      <c r="O89" s="316">
        <f t="shared" si="24"/>
        <v>0</v>
      </c>
      <c r="P89" s="303"/>
      <c r="Q89" s="178">
        <f t="shared" si="25"/>
        <v>0</v>
      </c>
      <c r="R89" s="303"/>
      <c r="S89" s="171">
        <f t="shared" si="28"/>
        <v>0</v>
      </c>
      <c r="T89" s="304"/>
      <c r="U89" s="303">
        <f t="shared" si="26"/>
        <v>0</v>
      </c>
      <c r="V89" s="303"/>
      <c r="W89" s="178">
        <f t="shared" si="27"/>
        <v>0</v>
      </c>
      <c r="X89" s="303"/>
      <c r="Y89" s="171">
        <f t="shared" si="29"/>
        <v>0</v>
      </c>
      <c r="Z89" s="27"/>
    </row>
    <row r="90" spans="1:27" s="17" customFormat="1" ht="13.5" customHeight="1">
      <c r="A90" s="518"/>
      <c r="B90" s="572"/>
      <c r="C90" s="572"/>
      <c r="D90" s="114"/>
      <c r="E90" s="115"/>
      <c r="F90" s="576"/>
      <c r="G90" s="380"/>
      <c r="H90" s="108"/>
      <c r="I90" s="572"/>
      <c r="J90" s="572"/>
      <c r="K90" s="112"/>
      <c r="L90" s="113"/>
      <c r="M90" s="573"/>
      <c r="N90" s="315"/>
      <c r="O90" s="316">
        <f t="shared" si="24"/>
        <v>0</v>
      </c>
      <c r="P90" s="303"/>
      <c r="Q90" s="178">
        <f t="shared" si="25"/>
        <v>0</v>
      </c>
      <c r="R90" s="303"/>
      <c r="S90" s="171">
        <f t="shared" si="28"/>
        <v>0</v>
      </c>
      <c r="T90" s="304"/>
      <c r="U90" s="303">
        <f t="shared" si="26"/>
        <v>0</v>
      </c>
      <c r="V90" s="303"/>
      <c r="W90" s="178">
        <f t="shared" si="27"/>
        <v>0</v>
      </c>
      <c r="X90" s="303"/>
      <c r="Y90" s="171">
        <f t="shared" si="29"/>
        <v>0</v>
      </c>
      <c r="Z90" s="27"/>
    </row>
    <row r="91" spans="1:27">
      <c r="A91" s="519"/>
      <c r="B91" s="34"/>
      <c r="C91" s="34"/>
      <c r="D91" s="112"/>
      <c r="E91" s="113"/>
      <c r="F91" s="96"/>
      <c r="G91" s="379"/>
      <c r="H91" s="92"/>
      <c r="I91" s="92"/>
      <c r="J91" s="92"/>
      <c r="K91" s="49"/>
      <c r="L91" s="93"/>
      <c r="M91" s="80"/>
      <c r="N91" s="317"/>
      <c r="O91" s="316">
        <f t="shared" si="24"/>
        <v>0</v>
      </c>
      <c r="P91" s="303"/>
      <c r="Q91" s="178">
        <f t="shared" si="25"/>
        <v>0</v>
      </c>
      <c r="R91" s="303"/>
      <c r="S91" s="399">
        <f t="shared" si="28"/>
        <v>0</v>
      </c>
      <c r="T91" s="304"/>
      <c r="U91" s="303">
        <f t="shared" si="26"/>
        <v>0</v>
      </c>
      <c r="V91" s="303"/>
      <c r="W91" s="178">
        <f t="shared" si="27"/>
        <v>0</v>
      </c>
      <c r="X91" s="303"/>
      <c r="Y91" s="400">
        <f t="shared" si="29"/>
        <v>0</v>
      </c>
      <c r="Z91" s="22"/>
      <c r="AA91" s="17"/>
    </row>
    <row r="92" spans="1:27">
      <c r="A92" s="520"/>
      <c r="B92" s="92"/>
      <c r="C92" s="92"/>
      <c r="D92" s="49"/>
      <c r="E92" s="93"/>
      <c r="F92" s="614"/>
      <c r="G92" s="379"/>
      <c r="H92" s="92"/>
      <c r="I92" s="92"/>
      <c r="J92" s="94"/>
      <c r="K92" s="392"/>
      <c r="L92" s="66"/>
      <c r="M92" s="574"/>
      <c r="N92" s="169"/>
      <c r="O92" s="316">
        <f t="shared" si="24"/>
        <v>0</v>
      </c>
      <c r="P92" s="303"/>
      <c r="Q92" s="178">
        <f t="shared" si="25"/>
        <v>0</v>
      </c>
      <c r="R92" s="303"/>
      <c r="S92" s="399">
        <f t="shared" ref="S92:S93" si="32">2/3* O92 + Q92</f>
        <v>0</v>
      </c>
      <c r="T92" s="304"/>
      <c r="U92" s="303">
        <f t="shared" si="26"/>
        <v>0</v>
      </c>
      <c r="V92" s="303"/>
      <c r="W92" s="178">
        <f t="shared" si="27"/>
        <v>0</v>
      </c>
      <c r="X92" s="303"/>
      <c r="Y92" s="400">
        <f t="shared" ref="Y92:Y93" si="33">2/3* U92 + W92</f>
        <v>0</v>
      </c>
      <c r="Z92" s="18"/>
      <c r="AA92" s="17"/>
    </row>
    <row r="93" spans="1:27">
      <c r="A93" s="372"/>
      <c r="B93" s="34"/>
      <c r="C93" s="34"/>
      <c r="D93" s="35"/>
      <c r="E93" s="120"/>
      <c r="F93" s="96"/>
      <c r="G93" s="379"/>
      <c r="H93" s="92"/>
      <c r="I93" s="92"/>
      <c r="J93" s="92"/>
      <c r="K93" s="49"/>
      <c r="L93" s="93"/>
      <c r="M93" s="80"/>
      <c r="N93" s="169"/>
      <c r="O93" s="316">
        <f t="shared" si="24"/>
        <v>0</v>
      </c>
      <c r="P93" s="303"/>
      <c r="Q93" s="178">
        <f t="shared" si="25"/>
        <v>0</v>
      </c>
      <c r="R93" s="303"/>
      <c r="S93" s="399">
        <f t="shared" si="32"/>
        <v>0</v>
      </c>
      <c r="T93" s="304"/>
      <c r="U93" s="303">
        <f t="shared" si="26"/>
        <v>0</v>
      </c>
      <c r="V93" s="303"/>
      <c r="W93" s="178">
        <f t="shared" si="27"/>
        <v>0</v>
      </c>
      <c r="X93" s="303"/>
      <c r="Y93" s="400">
        <f t="shared" si="33"/>
        <v>0</v>
      </c>
      <c r="Z93" s="18"/>
      <c r="AA93" s="17"/>
    </row>
    <row r="94" spans="1:27" s="17" customFormat="1">
      <c r="A94" s="372">
        <v>2122</v>
      </c>
      <c r="B94" s="94"/>
      <c r="C94" s="109" t="s">
        <v>356</v>
      </c>
      <c r="D94" s="35"/>
      <c r="E94" s="120" t="s">
        <v>355</v>
      </c>
      <c r="F94" s="100">
        <v>0</v>
      </c>
      <c r="G94" s="236"/>
      <c r="H94" s="34"/>
      <c r="I94" s="575"/>
      <c r="J94" s="615" t="s">
        <v>292</v>
      </c>
      <c r="K94" s="394"/>
      <c r="L94" s="395"/>
      <c r="M94" s="396">
        <v>0</v>
      </c>
      <c r="N94" s="169"/>
      <c r="O94" s="170">
        <f t="shared" si="24"/>
        <v>0</v>
      </c>
      <c r="P94" s="170"/>
      <c r="Q94" s="172">
        <f t="shared" si="25"/>
        <v>0</v>
      </c>
      <c r="R94" s="170"/>
      <c r="S94" s="171">
        <f t="shared" si="28"/>
        <v>0</v>
      </c>
      <c r="T94" s="169"/>
      <c r="U94" s="170">
        <f t="shared" si="26"/>
        <v>0</v>
      </c>
      <c r="V94" s="170"/>
      <c r="W94" s="172">
        <f t="shared" si="27"/>
        <v>0</v>
      </c>
      <c r="X94" s="170"/>
      <c r="Y94" s="171">
        <f t="shared" si="29"/>
        <v>0</v>
      </c>
      <c r="Z94" s="18"/>
    </row>
    <row r="95" spans="1:27">
      <c r="A95" s="372"/>
      <c r="B95" s="572"/>
      <c r="C95" s="572" t="s">
        <v>292</v>
      </c>
      <c r="D95" s="114"/>
      <c r="E95" s="115"/>
      <c r="F95" s="363">
        <v>0</v>
      </c>
      <c r="G95" s="364"/>
      <c r="H95" s="107">
        <v>2131</v>
      </c>
      <c r="I95" s="572"/>
      <c r="J95" s="572" t="s">
        <v>292</v>
      </c>
      <c r="K95" s="114"/>
      <c r="L95" s="115" t="s">
        <v>355</v>
      </c>
      <c r="M95" s="365">
        <v>0</v>
      </c>
      <c r="N95" s="169"/>
      <c r="O95" s="170">
        <f t="shared" si="24"/>
        <v>0</v>
      </c>
      <c r="P95" s="170"/>
      <c r="Q95" s="172">
        <f t="shared" si="25"/>
        <v>0</v>
      </c>
      <c r="R95" s="170"/>
      <c r="S95" s="171">
        <f t="shared" si="28"/>
        <v>0</v>
      </c>
      <c r="T95" s="169"/>
      <c r="U95" s="170">
        <f t="shared" si="26"/>
        <v>0</v>
      </c>
      <c r="V95" s="170"/>
      <c r="W95" s="172">
        <f t="shared" si="27"/>
        <v>0</v>
      </c>
      <c r="X95" s="170"/>
      <c r="Y95" s="171">
        <f t="shared" si="29"/>
        <v>0</v>
      </c>
      <c r="Z95" s="18"/>
      <c r="AA95" s="17"/>
    </row>
    <row r="96" spans="1:27" s="17" customFormat="1" ht="13" thickBot="1">
      <c r="A96" s="372"/>
      <c r="B96" s="34"/>
      <c r="C96" s="103" t="s">
        <v>293</v>
      </c>
      <c r="D96" s="112"/>
      <c r="E96" s="113"/>
      <c r="F96" s="100">
        <v>0</v>
      </c>
      <c r="G96" s="380"/>
      <c r="H96" s="108">
        <v>2151</v>
      </c>
      <c r="I96" s="34"/>
      <c r="J96" s="103" t="s">
        <v>293</v>
      </c>
      <c r="K96" s="112"/>
      <c r="L96" s="113" t="s">
        <v>355</v>
      </c>
      <c r="M96" s="288">
        <v>0</v>
      </c>
      <c r="N96" s="169"/>
      <c r="O96" s="170">
        <f t="shared" si="24"/>
        <v>0</v>
      </c>
      <c r="P96" s="170"/>
      <c r="Q96" s="172">
        <f t="shared" si="25"/>
        <v>0</v>
      </c>
      <c r="R96" s="170"/>
      <c r="S96" s="171">
        <f t="shared" si="28"/>
        <v>0</v>
      </c>
      <c r="T96" s="169"/>
      <c r="U96" s="170">
        <f t="shared" si="26"/>
        <v>0</v>
      </c>
      <c r="V96" s="170"/>
      <c r="W96" s="172">
        <f t="shared" si="27"/>
        <v>0</v>
      </c>
      <c r="X96" s="170"/>
      <c r="Y96" s="171">
        <f t="shared" si="29"/>
        <v>0</v>
      </c>
      <c r="Z96" s="18"/>
    </row>
    <row r="97" spans="1:27" ht="13" thickBot="1">
      <c r="A97" s="521"/>
      <c r="B97" s="403"/>
      <c r="C97" s="404" t="s">
        <v>110</v>
      </c>
      <c r="D97" s="419"/>
      <c r="E97" s="420"/>
      <c r="F97" s="405">
        <f>SUM(F79:F96)</f>
        <v>16</v>
      </c>
      <c r="G97" s="236"/>
      <c r="H97" s="403"/>
      <c r="I97" s="403"/>
      <c r="J97" s="406" t="s">
        <v>110</v>
      </c>
      <c r="K97" s="421"/>
      <c r="L97" s="422"/>
      <c r="M97" s="407">
        <f>SUM(M79:M96)</f>
        <v>12</v>
      </c>
      <c r="N97" s="169"/>
      <c r="O97" s="408">
        <f>SUM(O79:O96)</f>
        <v>7</v>
      </c>
      <c r="P97" s="409"/>
      <c r="Q97" s="408">
        <f>SUM(Q79:Q96)</f>
        <v>0</v>
      </c>
      <c r="R97" s="409"/>
      <c r="S97" s="410">
        <f>SUM(S79:S96)</f>
        <v>4.6666666666666661</v>
      </c>
      <c r="T97" s="411"/>
      <c r="U97" s="408">
        <f>SUM(U79:U96)</f>
        <v>5</v>
      </c>
      <c r="V97" s="409"/>
      <c r="W97" s="408">
        <f>SUM(W79:W96)</f>
        <v>6</v>
      </c>
      <c r="X97" s="409"/>
      <c r="Y97" s="412">
        <f>SUM(Y79:Y96)</f>
        <v>9.3333333333333321</v>
      </c>
      <c r="Z97" s="172"/>
      <c r="AA97" s="169"/>
    </row>
    <row r="98" spans="1:27" s="17" customFormat="1" ht="14" thickTop="1" thickBot="1">
      <c r="A98" s="522"/>
      <c r="B98" s="393"/>
      <c r="C98" s="169" t="s">
        <v>244</v>
      </c>
      <c r="D98" s="164"/>
      <c r="E98" s="423"/>
      <c r="F98" s="100">
        <f>F40+F76+F97</f>
        <v>200</v>
      </c>
      <c r="G98" s="236"/>
      <c r="H98" s="103"/>
      <c r="I98" s="393"/>
      <c r="J98" s="393" t="s">
        <v>245</v>
      </c>
      <c r="K98" s="424"/>
      <c r="L98" s="425"/>
      <c r="M98" s="396">
        <f>M40+M76+M97</f>
        <v>138</v>
      </c>
      <c r="N98" s="366"/>
      <c r="O98" s="579">
        <f>O40+O76+O97</f>
        <v>63</v>
      </c>
      <c r="P98" s="414"/>
      <c r="Q98" s="413">
        <f>Q40+Q76+Q97</f>
        <v>0</v>
      </c>
      <c r="R98" s="414"/>
      <c r="S98" s="415">
        <f>S40+S76+S97</f>
        <v>41.999999999999993</v>
      </c>
      <c r="T98" s="416"/>
      <c r="U98" s="579">
        <f>U40+U76+U97</f>
        <v>21</v>
      </c>
      <c r="V98" s="414"/>
      <c r="W98" s="413">
        <f>W40+W76+W97</f>
        <v>79</v>
      </c>
      <c r="X98" s="414"/>
      <c r="Y98" s="417">
        <f>Y40+Y76+Y97</f>
        <v>92.999999999999986</v>
      </c>
      <c r="Z98" s="251"/>
      <c r="AA98" s="169"/>
    </row>
    <row r="99" spans="1:27" s="17" customFormat="1" ht="13" thickBot="1">
      <c r="A99" s="522"/>
      <c r="B99" s="418"/>
      <c r="C99" s="169"/>
      <c r="D99" s="164"/>
      <c r="E99" s="423"/>
      <c r="F99" s="100"/>
      <c r="G99" s="236"/>
      <c r="H99" s="103"/>
      <c r="I99" s="418"/>
      <c r="J99" s="418"/>
      <c r="K99" s="424"/>
      <c r="L99" s="425"/>
      <c r="M99" s="288"/>
      <c r="N99" s="169"/>
      <c r="O99" s="623" t="s">
        <v>246</v>
      </c>
      <c r="P99" s="624"/>
      <c r="Q99" s="624"/>
      <c r="R99" s="624"/>
      <c r="S99" s="624"/>
      <c r="T99" s="624"/>
      <c r="U99" s="624"/>
      <c r="V99" s="624"/>
      <c r="W99" s="624"/>
      <c r="X99" s="624"/>
      <c r="Y99" s="239">
        <f>FLOOR(S98+Y98,1)</f>
        <v>135</v>
      </c>
      <c r="Z99" s="26"/>
    </row>
    <row r="100" spans="1:27" s="17" customFormat="1">
      <c r="A100" s="496"/>
      <c r="B100" s="401" t="s">
        <v>204</v>
      </c>
      <c r="C100" s="169"/>
      <c r="D100" s="164"/>
      <c r="E100" s="423"/>
      <c r="F100" s="100"/>
      <c r="G100" s="236"/>
      <c r="H100" s="103"/>
      <c r="I100" s="401" t="s">
        <v>204</v>
      </c>
      <c r="J100" s="101"/>
      <c r="K100" s="426"/>
      <c r="L100" s="427"/>
      <c r="M100" s="402"/>
      <c r="N100" s="169"/>
      <c r="O100" s="398"/>
      <c r="P100" s="389"/>
      <c r="Q100" s="398"/>
      <c r="R100" s="389"/>
      <c r="S100" s="397"/>
      <c r="T100" s="169"/>
      <c r="U100" s="398"/>
      <c r="V100" s="389"/>
      <c r="W100" s="398"/>
      <c r="X100" s="389"/>
      <c r="Y100" s="397"/>
      <c r="Z100" s="26"/>
    </row>
    <row r="101" spans="1:27" s="17" customFormat="1">
      <c r="A101" s="553"/>
      <c r="B101" s="491"/>
      <c r="C101" s="492"/>
      <c r="D101" s="493"/>
      <c r="E101" s="494"/>
      <c r="F101" s="495"/>
      <c r="G101" s="447"/>
      <c r="H101" s="448">
        <f>IF(AND(OR(F1=B173,F1=B174,F1=B175,F1=B176),H65=H126),H126,IF(AND(OR(F1=B173,F1=B174,F1=B175,F1=B176),H65=H127),H127,IF(AND(OR(F1=B173,F1=B174,F1=B175,F1=B176),H65=H128),H128,IF(AND(OR(F1=B173,F1=B174,F1=B175,F1=B176),H65=H129),H129,IF(AND(OR(F1=B173,F1=B174,F1=B175,F1=B176),H65=H130),H130,IF(AND(OR(F1=B173,F1=B174,F1=B175,F1=B176),H65=H131),H131,IF(AND(OR(F1=B173,F1=B174,F1=B175,F1=B176),H65=H132),H132,IF(AND(OR(F1=B173,F1=B174,F1=B175,F1=B176),H65=H133),H133,IF(AND(OR(F1=B173,F1=B174,F1=B175,F1=B176),H65=H134),H134,IF(AND(OR(F1=B173,F1=B174,F1=B175,F1=B176),H65=H135),H135,IF(AND(OR(F1=B173,F1=B174,F1=B175,F1=B176),H65=H136),H136,IF(AND(OR(F1=B173,F1=B174,F1=B175,F1=B176),H65=H137),H137,""))))))))))))</f>
        <v>2151</v>
      </c>
      <c r="I101" s="442" t="s">
        <v>201</v>
      </c>
      <c r="J101" s="442" t="s">
        <v>262</v>
      </c>
      <c r="K101" s="449" t="str">
        <f>IF(AND(OR(F1=B173,F1=B174,F1=B175,F1=B176),K65=O128),O128,IF(AND(OR(F1=B173,F1=B174,F1=B175,F1=B176),K65=O129),O129,""))</f>
        <v/>
      </c>
      <c r="L101" s="450" t="str">
        <f>IF(AND(OR(F1=B173,F1=B174,F1=B175,F1=B176),L65=H142),H142,IF(AND(OR(F1=B173,F1=B174,F1=B175,F1=B176),L65=H143),H143,""))</f>
        <v>P</v>
      </c>
      <c r="M101" s="451">
        <v>3</v>
      </c>
      <c r="N101" s="169"/>
      <c r="O101" s="485">
        <f t="shared" ref="O101:O116" si="34">SUMIF($E101,$H$141,$F101)</f>
        <v>0</v>
      </c>
      <c r="P101" s="486"/>
      <c r="Q101" s="487">
        <f t="shared" ref="Q101:Q116" si="35">SUMIF($L101,$H$141,$M101)</f>
        <v>0</v>
      </c>
      <c r="R101" s="486"/>
      <c r="S101" s="488">
        <f t="shared" ref="S101" si="36">2/3* O101 + Q101</f>
        <v>0</v>
      </c>
      <c r="T101" s="489"/>
      <c r="U101" s="486">
        <f t="shared" ref="U101:U116" si="37">SUMIF($E101,$H$142,$F101)</f>
        <v>0</v>
      </c>
      <c r="V101" s="486"/>
      <c r="W101" s="487">
        <f t="shared" ref="W101:W116" si="38">SUMIF($L101,$H$142,$M101)</f>
        <v>3</v>
      </c>
      <c r="X101" s="486"/>
      <c r="Y101" s="488">
        <f t="shared" ref="Y101" si="39">2/3* U101 + W101</f>
        <v>3</v>
      </c>
      <c r="Z101" s="26"/>
    </row>
    <row r="102" spans="1:27" s="17" customFormat="1">
      <c r="A102" s="523" t="str">
        <f>IF(AND(OR(F1=B173,F1=B174,F1=B175,F1=B176),A66=A126),A126,IF(AND(OR(F1=B173,F1=B174,F1=B175,F1=B176),A66=A127),A127,IF(AND(OR(F1=B173,F1=B174,F1=B175,F1=B176),A66=A128),A128,IF(AND(OR(F1=B173,F1=B174,F1=B175,F1=B176),A66=A129),A129,IF(AND(OR(F1=B173,F1=B174,F1=B175,F1=B176),A66=A130),A130,IF(AND(OR(F1=B173,F1=B174,F1=B175,F1=B176),A66=A131),A131,IF(AND(OR(F1=B173,F1=B174,F1=B175,F1=B176),A66=A132),A132,IF(AND(OR(F1=B173,F1=B174,F1=B175,F1=B176),A66=A133),A133,IF(AND(OR(F1=B173,F1=B174,F1=B175,F1=B176),A66=A134),A134,IF(AND(OR(F1=B173,F1=B174,F1=B175,F1=B176),A66=A135),A135,IF(AND(OR(F1=B173,F1=B174,F1=B175,F1=B176),A66=A136),A136,IF(AND(OR(F1=B173,F1=B174,F1=B175,F1=B176),A66=A137),A137,IF(AND(OR(F1=B173,F1=B174,F1=B175,F1=B176),A66=A138),A138,IF(AND(OR(F1=B173,F1=B174,F1=B175,F1=B176),A66=A139),A139,IF(AND(OR(F1=B173,F1=B174,F1=B175,F1=B176),A66=A140),A140,IF(AND(OR(F1=B173,F1=B174,F1=B175,F1=B176),A66=A141),A141,""))))))))))))))))</f>
        <v/>
      </c>
      <c r="B102" s="442" t="s">
        <v>169</v>
      </c>
      <c r="C102" s="443" t="s">
        <v>262</v>
      </c>
      <c r="D102" s="444" t="str">
        <f>IF(AND(OR(F1=B173,F1=B174,F1=B175,F1=B176),D66=O128),O128,IF(AND(OR(F1=B173,F1=B174,F1=B175,F1=B176),D66=O129),O129,""))</f>
        <v/>
      </c>
      <c r="E102" s="445" t="str">
        <f>IF(AND(E66=H141,F1=B173),H141,IF(AND(E66=H141,F1=B174),H141,IF(AND(E66=H141,F1=B175),H141,IF(AND(E66=H141,F1=B176),H141,IF(AND(E66=H142,F1=B173),H142,IF(AND(E66=H142,F1=B174),H142,IF(AND(E66=H142,F1=B175),H142,IF(AND(E66=H142,F1=B176),H142,""))))))))</f>
        <v/>
      </c>
      <c r="F102" s="446">
        <v>4</v>
      </c>
      <c r="G102" s="447"/>
      <c r="H102" s="448">
        <f>IF(AND(OR(F1=B173,F1=B174,F1=B175,F1=B176),H66=H126),H126,IF(AND(OR(F1=B173,F1=B174,F1=B175,F1=B176),H66=H127),H127,IF(AND(OR(F1=B173,F1=B174,F1=B175,F1=B176),H66=H128),H128,IF(AND(OR(F1=B173,F1=B174,F1=B175,F1=B176),H66=H129),H129,IF(AND(OR(F1=B173,F1=B174,F1=B175,F1=B176),H66=H130),H130,IF(AND(OR(F1=B173,F1=B174,F1=B175,F1=B176),H66=H131),H131,IF(AND(OR(F1=B173,F1=B174,F1=B175,F1=B176),H66=H132),H132,IF(AND(OR(F1=B173,F1=B174,F1=B175,F1=B176),H66=H133),H133,IF(AND(OR(F1=B173,F1=B174,F1=B175,F1=B176),H66=H134),H134,IF(AND(OR(F1=B173,F1=B174,F1=B175,F1=B176),H66=H135),H135,IF(AND(OR(F1=B173,F1=B174,F1=B175,F1=B176),H66=H136),H136,IF(AND(OR(F1=B173,F1=B174,F1=B175,F1=B176),H66=H137),H137,""))))))))))))</f>
        <v>2161</v>
      </c>
      <c r="I102" s="442" t="s">
        <v>201</v>
      </c>
      <c r="J102" s="442" t="s">
        <v>262</v>
      </c>
      <c r="K102" s="449" t="str">
        <f>IF(AND(OR(F1=B173,F1=B174,F1=B175,F1=B176),K66=O128),O128,IF(AND(OR(F1=B173,F1=B174,F1=B175,F1=B176),K66=O129),O129,""))</f>
        <v/>
      </c>
      <c r="L102" s="450" t="str">
        <f>IF(AND(OR(F1=B173,F1=B174,F1=B175,F1=B176),L66=H142),H142,IF(AND(OR(F1=B173,F1=B174,F1=B175,F1=B176),L66=H143),H143,""))</f>
        <v>P</v>
      </c>
      <c r="M102" s="451">
        <v>3</v>
      </c>
      <c r="N102" s="169"/>
      <c r="O102" s="485">
        <f t="shared" si="34"/>
        <v>0</v>
      </c>
      <c r="P102" s="486"/>
      <c r="Q102" s="487">
        <f t="shared" si="35"/>
        <v>0</v>
      </c>
      <c r="R102" s="486"/>
      <c r="S102" s="488">
        <f t="shared" ref="S102" si="40">2/3* O102 + Q102</f>
        <v>0</v>
      </c>
      <c r="T102" s="489"/>
      <c r="U102" s="486">
        <f t="shared" si="37"/>
        <v>0</v>
      </c>
      <c r="V102" s="486"/>
      <c r="W102" s="487">
        <f t="shared" si="38"/>
        <v>3</v>
      </c>
      <c r="X102" s="486"/>
      <c r="Y102" s="488">
        <f t="shared" ref="Y102" si="41">2/3* U102 + W102</f>
        <v>3</v>
      </c>
      <c r="Z102" s="26"/>
    </row>
    <row r="103" spans="1:27" s="17" customFormat="1">
      <c r="A103" s="523" t="str">
        <f>IF(AND(OR(F1=B173,F1=B174,F1=B175,F1=B176),A67=A126),A126,IF(AND(OR(F1=B173,F1=B174,F1=B175,F1=B176),A67=A127),A127,IF(AND(OR(F1=B173,F1=B174,F1=B175,F1=B176),A67=A128),A128,IF(AND(OR(F1=B173,F1=B174,F1=B175,F1=B176),A67=A129),A129,IF(AND(OR(F1=B173,F1=B174,F1=B175,F1=B176),A67=A130),A130,IF(AND(OR(F1=B173,F1=B174,F1=B175,F1=B176),A67=A131),A131,IF(AND(OR(F1=B173,F1=B174,F1=B175,F1=B176),A67=A132),A132,IF(AND(OR(F1=B173,F1=B174,F1=B175,F1=B176),A67=A133),A133,IF(AND(OR(F1=B173,F1=B174,F1=B175,F1=B176),A67=A134),A134,IF(AND(OR(F1=B173,F1=B174,F1=B175,F1=B176),A67=A135),A135,IF(AND(OR(F1=B173,F1=B174,F1=B175,F1=B176),A67=A136),A136,IF(AND(OR(F1=B173,F1=B174,F1=B175,F1=B176),A67=A137),A137,IF(AND(OR(F1=B173,F1=B174,F1=B175,F1=B176),A67=A138),A138,IF(AND(OR(F1=B173,F1=B174,F1=B175,F1=B176),A67=A139),A139,IF(AND(OR(F1=B173,F1=B174,F1=B175,F1=B176),A67=A140),A140,IF(AND(OR(F1=B173,F1=B174,F1=B175,F1=B176),A67=A141),A141,""))))))))))))))))</f>
        <v/>
      </c>
      <c r="B103" s="442" t="s">
        <v>169</v>
      </c>
      <c r="C103" s="443" t="s">
        <v>262</v>
      </c>
      <c r="D103" s="444" t="str">
        <f>IF(AND(OR(F1=B173,F1=B174,F1=B175,F1=B176),D67=O128),O128,IF(AND(OR(F1=B173,F1=B174,F1=B175,F1=B176),D67=O129),O129,""))</f>
        <v/>
      </c>
      <c r="E103" s="445" t="str">
        <f>IF(AND(E67=H141,F1=B173),H141,IF(AND(E67=H141,F1=B174),H141,IF(AND(E67=H141,F1=B175),H141,IF(AND(E67=H141,F1=B176),H141,IF(AND(E67=H142,F1=B173),H142,IF(AND(E67=H142,F1=B174),H142,IF(AND(E67=H142,F1=B175),H142,IF(AND(E67=H142,F1=B176),H142,""))))))))</f>
        <v/>
      </c>
      <c r="F103" s="446">
        <v>4</v>
      </c>
      <c r="G103" s="447"/>
      <c r="H103" s="448">
        <f>IF(AND(OR(F1=B173,F1=B174,F1=B175,F1=B176),H67=H126),H126,IF(AND(OR(F1=B173,F1=B174,F1=B175,F1=B176),H67=H127),H127,IF(AND(OR(F1=B173,F1=B174,F1=B175,F1=B176),H67=H128),H128,IF(AND(OR(F1=B173,F1=B174,F1=B175,F1=B176),H67=H129),H129,IF(AND(OR(F1=B173,F1=B174,F1=B175,F1=B176),H67=H130),H130,IF(AND(OR(F1=B173,F1=B174,F1=B175,F1=B176),H67=H131),H131,IF(AND(OR(F1=B173,F1=B174,F1=B175,F1=B176),H67=H132),H132,IF(AND(OR(F1=B173,F1=B174,F1=B175,F1=B176),H67=H133),H133,IF(AND(OR(F1=B173,F1=B174,F1=B175,F1=B176),H67=H134),H134,IF(AND(OR(F1=B173,F1=B174,F1=B175,F1=B176),H67=H135),H135,IF(AND(OR(F1=B173,F1=B174,F1=B175,F1=B176),H67=H136),H136,IF(AND(OR(F1=B173,F1=B174,F1=B175,F1=B176),H67=H137),H137,""))))))))))))</f>
        <v>2165</v>
      </c>
      <c r="I103" s="442" t="s">
        <v>201</v>
      </c>
      <c r="J103" s="442" t="s">
        <v>262</v>
      </c>
      <c r="K103" s="449" t="str">
        <f>IF(AND(OR(F1=B173,F1=B174,F1=B175,F1=B176),K67=O128),O128,IF(AND(OR(F1=B173,F1=B174,F1=B175,F1=B176),K67=O129),O129,""))</f>
        <v/>
      </c>
      <c r="L103" s="450" t="str">
        <f>IF(AND(OR(F1=B173,F1=B174,F1=B175,F1=B176),L67=H142),H142,IF(AND(OR(F1=B173,F1=B174,F1=B175,F1=B176),L67=H143),H143,""))</f>
        <v>P</v>
      </c>
      <c r="M103" s="451">
        <v>3</v>
      </c>
      <c r="N103" s="169"/>
      <c r="O103" s="485">
        <f t="shared" si="34"/>
        <v>0</v>
      </c>
      <c r="P103" s="486"/>
      <c r="Q103" s="487">
        <f t="shared" si="35"/>
        <v>0</v>
      </c>
      <c r="R103" s="486"/>
      <c r="S103" s="488">
        <f t="shared" ref="S103" si="42">2/3* O103 + Q103</f>
        <v>0</v>
      </c>
      <c r="T103" s="489"/>
      <c r="U103" s="486">
        <f t="shared" si="37"/>
        <v>0</v>
      </c>
      <c r="V103" s="486"/>
      <c r="W103" s="487">
        <f t="shared" si="38"/>
        <v>3</v>
      </c>
      <c r="X103" s="486"/>
      <c r="Y103" s="488">
        <f t="shared" ref="Y103" si="43">2/3* U103 + W103</f>
        <v>3</v>
      </c>
      <c r="Z103" s="26"/>
    </row>
    <row r="104" spans="1:27">
      <c r="A104" s="518"/>
      <c r="B104" s="101" t="s">
        <v>205</v>
      </c>
      <c r="C104" s="101" t="s">
        <v>206</v>
      </c>
      <c r="D104" s="114"/>
      <c r="E104" s="115"/>
      <c r="F104" s="363">
        <v>4</v>
      </c>
      <c r="G104" s="236"/>
      <c r="H104" s="34">
        <v>2155</v>
      </c>
      <c r="I104" s="101" t="s">
        <v>215</v>
      </c>
      <c r="J104" s="101" t="s">
        <v>206</v>
      </c>
      <c r="K104" s="114"/>
      <c r="L104" s="115" t="s">
        <v>79</v>
      </c>
      <c r="M104" s="365">
        <v>3</v>
      </c>
      <c r="N104" s="317"/>
      <c r="O104" s="316">
        <f t="shared" si="34"/>
        <v>0</v>
      </c>
      <c r="P104" s="303"/>
      <c r="Q104" s="178">
        <f t="shared" si="35"/>
        <v>0</v>
      </c>
      <c r="R104" s="303"/>
      <c r="S104" s="171">
        <f t="shared" si="28"/>
        <v>0</v>
      </c>
      <c r="T104" s="304"/>
      <c r="U104" s="303">
        <f t="shared" si="37"/>
        <v>0</v>
      </c>
      <c r="V104" s="303"/>
      <c r="W104" s="178">
        <f t="shared" si="38"/>
        <v>3</v>
      </c>
      <c r="X104" s="303"/>
      <c r="Y104" s="171">
        <f t="shared" si="29"/>
        <v>3</v>
      </c>
      <c r="Z104" s="27"/>
      <c r="AA104" s="17"/>
    </row>
    <row r="105" spans="1:27" s="17" customFormat="1">
      <c r="A105" s="372"/>
      <c r="B105" s="103" t="s">
        <v>207</v>
      </c>
      <c r="C105" s="103" t="s">
        <v>208</v>
      </c>
      <c r="D105" s="112"/>
      <c r="E105" s="113"/>
      <c r="F105" s="100">
        <v>4</v>
      </c>
      <c r="G105" s="236"/>
      <c r="H105" s="34">
        <v>2155</v>
      </c>
      <c r="I105" s="103" t="s">
        <v>216</v>
      </c>
      <c r="J105" s="103" t="s">
        <v>217</v>
      </c>
      <c r="K105" s="112"/>
      <c r="L105" s="113" t="s">
        <v>79</v>
      </c>
      <c r="M105" s="288">
        <v>3</v>
      </c>
      <c r="N105" s="169"/>
      <c r="O105" s="316">
        <f t="shared" si="34"/>
        <v>0</v>
      </c>
      <c r="P105" s="303"/>
      <c r="Q105" s="178">
        <f t="shared" si="35"/>
        <v>0</v>
      </c>
      <c r="R105" s="303"/>
      <c r="S105" s="171">
        <f t="shared" si="28"/>
        <v>0</v>
      </c>
      <c r="T105" s="304"/>
      <c r="U105" s="303">
        <f t="shared" si="37"/>
        <v>0</v>
      </c>
      <c r="V105" s="303"/>
      <c r="W105" s="178">
        <f t="shared" si="38"/>
        <v>3</v>
      </c>
      <c r="X105" s="303"/>
      <c r="Y105" s="171">
        <f t="shared" si="29"/>
        <v>3</v>
      </c>
      <c r="Z105" s="27"/>
    </row>
    <row r="106" spans="1:27">
      <c r="A106" s="504"/>
      <c r="B106" s="34" t="s">
        <v>209</v>
      </c>
      <c r="C106" s="34" t="s">
        <v>338</v>
      </c>
      <c r="D106" s="35"/>
      <c r="E106" s="120"/>
      <c r="F106" s="100">
        <v>4</v>
      </c>
      <c r="G106" s="236"/>
      <c r="H106" s="34">
        <v>2161</v>
      </c>
      <c r="I106" s="34" t="s">
        <v>218</v>
      </c>
      <c r="J106" s="34" t="s">
        <v>338</v>
      </c>
      <c r="K106" s="35"/>
      <c r="L106" s="120" t="s">
        <v>79</v>
      </c>
      <c r="M106" s="288">
        <v>3</v>
      </c>
      <c r="N106" s="169"/>
      <c r="O106" s="316">
        <f t="shared" si="34"/>
        <v>0</v>
      </c>
      <c r="P106" s="303"/>
      <c r="Q106" s="178">
        <f t="shared" si="35"/>
        <v>0</v>
      </c>
      <c r="R106" s="303"/>
      <c r="S106" s="171">
        <f t="shared" si="28"/>
        <v>0</v>
      </c>
      <c r="T106" s="304"/>
      <c r="U106" s="303">
        <f t="shared" si="37"/>
        <v>0</v>
      </c>
      <c r="V106" s="303"/>
      <c r="W106" s="178">
        <f t="shared" si="38"/>
        <v>3</v>
      </c>
      <c r="X106" s="303"/>
      <c r="Y106" s="171">
        <f t="shared" si="29"/>
        <v>3</v>
      </c>
      <c r="Z106" s="27"/>
      <c r="AA106" s="17"/>
    </row>
    <row r="107" spans="1:27" s="17" customFormat="1" ht="13.5" customHeight="1">
      <c r="A107" s="504"/>
      <c r="B107" s="34" t="s">
        <v>209</v>
      </c>
      <c r="C107" s="34" t="s">
        <v>338</v>
      </c>
      <c r="D107" s="35"/>
      <c r="E107" s="120"/>
      <c r="F107" s="100">
        <v>4</v>
      </c>
      <c r="G107" s="95"/>
      <c r="H107" s="34">
        <v>2161</v>
      </c>
      <c r="I107" s="34" t="s">
        <v>218</v>
      </c>
      <c r="J107" s="34" t="s">
        <v>338</v>
      </c>
      <c r="K107" s="35"/>
      <c r="L107" s="120" t="s">
        <v>79</v>
      </c>
      <c r="M107" s="288">
        <v>3</v>
      </c>
      <c r="N107" s="169"/>
      <c r="O107" s="316">
        <f t="shared" si="34"/>
        <v>0</v>
      </c>
      <c r="P107" s="303"/>
      <c r="Q107" s="178">
        <f t="shared" si="35"/>
        <v>0</v>
      </c>
      <c r="R107" s="303"/>
      <c r="S107" s="171">
        <f t="shared" si="28"/>
        <v>0</v>
      </c>
      <c r="T107" s="304"/>
      <c r="U107" s="303">
        <f t="shared" si="37"/>
        <v>0</v>
      </c>
      <c r="V107" s="303"/>
      <c r="W107" s="178">
        <f t="shared" si="38"/>
        <v>3</v>
      </c>
      <c r="X107" s="303"/>
      <c r="Y107" s="171">
        <f t="shared" si="29"/>
        <v>3</v>
      </c>
      <c r="Z107" s="27"/>
    </row>
    <row r="108" spans="1:27">
      <c r="A108" s="504"/>
      <c r="B108" s="34" t="s">
        <v>210</v>
      </c>
      <c r="C108" s="34" t="s">
        <v>338</v>
      </c>
      <c r="D108" s="35"/>
      <c r="E108" s="120"/>
      <c r="F108" s="100">
        <v>4</v>
      </c>
      <c r="G108" s="95"/>
      <c r="H108" s="34">
        <v>2161</v>
      </c>
      <c r="I108" s="34" t="s">
        <v>218</v>
      </c>
      <c r="J108" s="34" t="s">
        <v>338</v>
      </c>
      <c r="K108" s="35"/>
      <c r="L108" s="120" t="s">
        <v>79</v>
      </c>
      <c r="M108" s="288">
        <v>3</v>
      </c>
      <c r="N108" s="169"/>
      <c r="O108" s="316">
        <f t="shared" si="34"/>
        <v>0</v>
      </c>
      <c r="P108" s="303"/>
      <c r="Q108" s="178">
        <f t="shared" si="35"/>
        <v>0</v>
      </c>
      <c r="R108" s="303"/>
      <c r="S108" s="171">
        <f t="shared" si="28"/>
        <v>0</v>
      </c>
      <c r="T108" s="304"/>
      <c r="U108" s="303">
        <f t="shared" si="37"/>
        <v>0</v>
      </c>
      <c r="V108" s="303"/>
      <c r="W108" s="178">
        <f t="shared" si="38"/>
        <v>3</v>
      </c>
      <c r="X108" s="303"/>
      <c r="Y108" s="171">
        <f t="shared" si="29"/>
        <v>3</v>
      </c>
      <c r="Z108" s="27"/>
      <c r="AA108" s="17"/>
    </row>
    <row r="109" spans="1:27" s="17" customFormat="1">
      <c r="A109" s="504"/>
      <c r="B109" s="34" t="s">
        <v>209</v>
      </c>
      <c r="C109" s="34" t="s">
        <v>338</v>
      </c>
      <c r="D109" s="35"/>
      <c r="E109" s="120"/>
      <c r="F109" s="100">
        <v>4</v>
      </c>
      <c r="G109" s="97"/>
      <c r="H109" s="34">
        <v>2165</v>
      </c>
      <c r="I109" s="34" t="s">
        <v>218</v>
      </c>
      <c r="J109" s="34" t="s">
        <v>338</v>
      </c>
      <c r="K109" s="35"/>
      <c r="L109" s="120" t="s">
        <v>79</v>
      </c>
      <c r="M109" s="117">
        <v>3</v>
      </c>
      <c r="N109" s="169"/>
      <c r="O109" s="316">
        <f t="shared" si="34"/>
        <v>0</v>
      </c>
      <c r="P109" s="303"/>
      <c r="Q109" s="178">
        <f t="shared" si="35"/>
        <v>0</v>
      </c>
      <c r="R109" s="303"/>
      <c r="S109" s="171">
        <f t="shared" si="28"/>
        <v>0</v>
      </c>
      <c r="T109" s="304"/>
      <c r="U109" s="303">
        <f t="shared" si="37"/>
        <v>0</v>
      </c>
      <c r="V109" s="303"/>
      <c r="W109" s="178">
        <f t="shared" si="38"/>
        <v>3</v>
      </c>
      <c r="X109" s="303"/>
      <c r="Y109" s="171">
        <f t="shared" si="29"/>
        <v>3</v>
      </c>
      <c r="Z109" s="27"/>
    </row>
    <row r="110" spans="1:27">
      <c r="A110" s="504"/>
      <c r="B110" s="92" t="s">
        <v>209</v>
      </c>
      <c r="C110" s="34" t="s">
        <v>338</v>
      </c>
      <c r="D110" s="114"/>
      <c r="E110" s="115"/>
      <c r="F110" s="291">
        <v>4</v>
      </c>
      <c r="G110" s="97"/>
      <c r="H110" s="34"/>
      <c r="I110" s="34" t="s">
        <v>218</v>
      </c>
      <c r="J110" s="34" t="s">
        <v>339</v>
      </c>
      <c r="K110" s="35"/>
      <c r="L110" s="120"/>
      <c r="M110" s="620"/>
      <c r="N110" s="169"/>
      <c r="O110" s="303">
        <f t="shared" si="34"/>
        <v>0</v>
      </c>
      <c r="P110" s="303"/>
      <c r="Q110" s="178">
        <f t="shared" si="35"/>
        <v>0</v>
      </c>
      <c r="R110" s="303"/>
      <c r="S110" s="171">
        <f t="shared" si="28"/>
        <v>0</v>
      </c>
      <c r="T110" s="304"/>
      <c r="U110" s="303">
        <f t="shared" si="37"/>
        <v>0</v>
      </c>
      <c r="V110" s="303"/>
      <c r="W110" s="178">
        <f t="shared" si="38"/>
        <v>0</v>
      </c>
      <c r="X110" s="303"/>
      <c r="Y110" s="171">
        <f t="shared" si="29"/>
        <v>0</v>
      </c>
      <c r="Z110" s="27"/>
      <c r="AA110" s="17"/>
    </row>
    <row r="111" spans="1:27" s="17" customFormat="1">
      <c r="A111" s="504"/>
      <c r="B111" s="452" t="str">
        <f>IF(C111=C168,B168,"")</f>
        <v>GR 7xx</v>
      </c>
      <c r="C111" s="91" t="s">
        <v>291</v>
      </c>
      <c r="D111" s="114"/>
      <c r="E111" s="115"/>
      <c r="F111" s="291">
        <f>IF(B111=B168,E168,0)</f>
        <v>4</v>
      </c>
      <c r="G111" s="97"/>
      <c r="H111" s="109"/>
      <c r="I111" s="478" t="str">
        <f>IF(J111=J168,I168,"")</f>
        <v>EEEE-7xx</v>
      </c>
      <c r="J111" s="477" t="s">
        <v>291</v>
      </c>
      <c r="K111" s="35"/>
      <c r="L111" s="120"/>
      <c r="M111" s="382">
        <f>IF(I111=I168,L168,0)</f>
        <v>3</v>
      </c>
      <c r="N111" s="169"/>
      <c r="O111" s="316">
        <f t="shared" si="34"/>
        <v>0</v>
      </c>
      <c r="P111" s="303"/>
      <c r="Q111" s="178">
        <f t="shared" si="35"/>
        <v>0</v>
      </c>
      <c r="R111" s="303"/>
      <c r="S111" s="171">
        <f t="shared" si="28"/>
        <v>0</v>
      </c>
      <c r="T111" s="304"/>
      <c r="U111" s="303">
        <f t="shared" si="37"/>
        <v>0</v>
      </c>
      <c r="V111" s="303"/>
      <c r="W111" s="178">
        <f t="shared" si="38"/>
        <v>0</v>
      </c>
      <c r="X111" s="303"/>
      <c r="Y111" s="171">
        <f t="shared" si="29"/>
        <v>0</v>
      </c>
      <c r="Z111" s="27"/>
    </row>
    <row r="112" spans="1:27" ht="13.5" customHeight="1">
      <c r="A112" s="504"/>
      <c r="B112" s="34" t="s">
        <v>213</v>
      </c>
      <c r="C112" s="34" t="s">
        <v>214</v>
      </c>
      <c r="D112" s="35"/>
      <c r="E112" s="120"/>
      <c r="F112" s="96">
        <v>2</v>
      </c>
      <c r="G112" s="97"/>
      <c r="H112" s="109">
        <v>2165</v>
      </c>
      <c r="I112" s="34" t="s">
        <v>220</v>
      </c>
      <c r="J112" s="34" t="s">
        <v>214</v>
      </c>
      <c r="K112" s="35"/>
      <c r="L112" s="120" t="s">
        <v>79</v>
      </c>
      <c r="M112" s="117">
        <v>3</v>
      </c>
      <c r="N112" s="169"/>
      <c r="O112" s="316">
        <f t="shared" si="34"/>
        <v>0</v>
      </c>
      <c r="P112" s="303"/>
      <c r="Q112" s="178">
        <f t="shared" si="35"/>
        <v>0</v>
      </c>
      <c r="R112" s="303"/>
      <c r="S112" s="171">
        <f t="shared" si="28"/>
        <v>0</v>
      </c>
      <c r="T112" s="304"/>
      <c r="U112" s="303">
        <f t="shared" si="37"/>
        <v>0</v>
      </c>
      <c r="V112" s="303"/>
      <c r="W112" s="178">
        <f t="shared" si="38"/>
        <v>3</v>
      </c>
      <c r="X112" s="303"/>
      <c r="Y112" s="171">
        <f t="shared" si="29"/>
        <v>3</v>
      </c>
      <c r="Z112" s="27"/>
      <c r="AA112" s="17"/>
    </row>
    <row r="113" spans="1:27" s="17" customFormat="1">
      <c r="A113" s="504"/>
      <c r="B113" s="109" t="s">
        <v>213</v>
      </c>
      <c r="C113" s="109" t="s">
        <v>214</v>
      </c>
      <c r="D113" s="35"/>
      <c r="E113" s="119"/>
      <c r="F113" s="96">
        <v>2</v>
      </c>
      <c r="G113" s="97"/>
      <c r="H113" s="109"/>
      <c r="I113" s="109" t="s">
        <v>220</v>
      </c>
      <c r="J113" s="109" t="s">
        <v>214</v>
      </c>
      <c r="K113" s="35"/>
      <c r="L113" s="120"/>
      <c r="M113" s="117">
        <v>1</v>
      </c>
      <c r="N113" s="169"/>
      <c r="O113" s="316">
        <f t="shared" si="34"/>
        <v>0</v>
      </c>
      <c r="P113" s="303"/>
      <c r="Q113" s="178">
        <f t="shared" si="35"/>
        <v>0</v>
      </c>
      <c r="R113" s="303"/>
      <c r="S113" s="171">
        <f t="shared" si="28"/>
        <v>0</v>
      </c>
      <c r="T113" s="304"/>
      <c r="U113" s="303">
        <f t="shared" si="37"/>
        <v>0</v>
      </c>
      <c r="V113" s="303"/>
      <c r="W113" s="178">
        <f t="shared" si="38"/>
        <v>0</v>
      </c>
      <c r="X113" s="303"/>
      <c r="Y113" s="171">
        <f t="shared" si="29"/>
        <v>0</v>
      </c>
      <c r="Z113" s="27"/>
    </row>
    <row r="114" spans="1:27">
      <c r="A114" s="504"/>
      <c r="B114" s="109" t="s">
        <v>213</v>
      </c>
      <c r="C114" s="109" t="s">
        <v>214</v>
      </c>
      <c r="D114" s="35"/>
      <c r="E114" s="119"/>
      <c r="F114" s="96">
        <v>1</v>
      </c>
      <c r="G114" s="169"/>
      <c r="H114" s="109"/>
      <c r="I114" s="109" t="s">
        <v>220</v>
      </c>
      <c r="J114" s="109" t="s">
        <v>214</v>
      </c>
      <c r="K114" s="35"/>
      <c r="L114" s="120"/>
      <c r="M114" s="117">
        <v>1</v>
      </c>
      <c r="N114" s="169"/>
      <c r="O114" s="316">
        <f t="shared" si="34"/>
        <v>0</v>
      </c>
      <c r="P114" s="303"/>
      <c r="Q114" s="178">
        <f t="shared" si="35"/>
        <v>0</v>
      </c>
      <c r="R114" s="303"/>
      <c r="S114" s="171">
        <f t="shared" si="28"/>
        <v>0</v>
      </c>
      <c r="T114" s="304"/>
      <c r="U114" s="303">
        <f t="shared" si="37"/>
        <v>0</v>
      </c>
      <c r="V114" s="303"/>
      <c r="W114" s="178">
        <f t="shared" si="38"/>
        <v>0</v>
      </c>
      <c r="X114" s="303"/>
      <c r="Y114" s="171">
        <f t="shared" si="29"/>
        <v>0</v>
      </c>
      <c r="Z114" s="27"/>
      <c r="AA114" s="17"/>
    </row>
    <row r="115" spans="1:27" s="17" customFormat="1">
      <c r="A115" s="504"/>
      <c r="B115" s="109"/>
      <c r="C115" s="109"/>
      <c r="D115" s="35"/>
      <c r="E115" s="119"/>
      <c r="F115" s="96">
        <v>0</v>
      </c>
      <c r="G115" s="169"/>
      <c r="H115" s="109"/>
      <c r="I115" s="109"/>
      <c r="J115" s="109"/>
      <c r="K115" s="35"/>
      <c r="L115" s="120"/>
      <c r="M115" s="117">
        <v>0</v>
      </c>
      <c r="N115" s="169"/>
      <c r="O115" s="316">
        <f t="shared" si="34"/>
        <v>0</v>
      </c>
      <c r="P115" s="303"/>
      <c r="Q115" s="178">
        <f t="shared" si="35"/>
        <v>0</v>
      </c>
      <c r="R115" s="303"/>
      <c r="S115" s="171">
        <f t="shared" si="28"/>
        <v>0</v>
      </c>
      <c r="T115" s="304"/>
      <c r="U115" s="303">
        <f t="shared" si="37"/>
        <v>0</v>
      </c>
      <c r="V115" s="303"/>
      <c r="W115" s="178">
        <f t="shared" si="38"/>
        <v>0</v>
      </c>
      <c r="X115" s="303"/>
      <c r="Y115" s="171">
        <f t="shared" si="29"/>
        <v>0</v>
      </c>
      <c r="Z115" s="27"/>
    </row>
    <row r="116" spans="1:27" ht="13" thickBot="1">
      <c r="A116" s="505"/>
      <c r="B116" s="383" t="s">
        <v>211</v>
      </c>
      <c r="C116" s="383" t="s">
        <v>212</v>
      </c>
      <c r="D116" s="36"/>
      <c r="E116" s="378"/>
      <c r="F116" s="390">
        <v>0</v>
      </c>
      <c r="G116" s="169"/>
      <c r="H116" s="383"/>
      <c r="I116" s="383" t="s">
        <v>219</v>
      </c>
      <c r="J116" s="383" t="s">
        <v>212</v>
      </c>
      <c r="K116" s="36"/>
      <c r="L116" s="384"/>
      <c r="M116" s="391">
        <v>0</v>
      </c>
      <c r="N116" s="169"/>
      <c r="O116" s="385">
        <f t="shared" si="34"/>
        <v>0</v>
      </c>
      <c r="P116" s="252"/>
      <c r="Q116" s="388">
        <f t="shared" si="35"/>
        <v>0</v>
      </c>
      <c r="R116" s="252"/>
      <c r="S116" s="387">
        <f t="shared" si="28"/>
        <v>0</v>
      </c>
      <c r="T116" s="265"/>
      <c r="U116" s="386">
        <f t="shared" si="37"/>
        <v>0</v>
      </c>
      <c r="V116" s="252"/>
      <c r="W116" s="388">
        <f t="shared" si="38"/>
        <v>0</v>
      </c>
      <c r="X116" s="252"/>
      <c r="Y116" s="387">
        <f t="shared" si="29"/>
        <v>0</v>
      </c>
      <c r="Z116" s="22"/>
      <c r="AA116" s="17"/>
    </row>
    <row r="117" spans="1:27" ht="13" thickBot="1">
      <c r="A117" s="499"/>
      <c r="B117" s="132"/>
      <c r="C117" s="132" t="s">
        <v>243</v>
      </c>
      <c r="D117" s="104"/>
      <c r="E117" s="104"/>
      <c r="F117" s="268">
        <f>SUM(F101:F116)</f>
        <v>45</v>
      </c>
      <c r="G117" s="132"/>
      <c r="H117" s="132"/>
      <c r="I117" s="132"/>
      <c r="J117" s="132" t="s">
        <v>243</v>
      </c>
      <c r="K117" s="132"/>
      <c r="L117" s="132"/>
      <c r="M117" s="269">
        <f>SUM(M101:M116)</f>
        <v>35</v>
      </c>
      <c r="N117" s="132"/>
      <c r="O117" s="268">
        <f>SUM(O101:O116)</f>
        <v>0</v>
      </c>
      <c r="P117" s="132"/>
      <c r="Q117" s="269">
        <f>SUM(Q101:Q116)</f>
        <v>0</v>
      </c>
      <c r="R117" s="132"/>
      <c r="S117" s="270">
        <f>SUM(S101:S116)</f>
        <v>0</v>
      </c>
      <c r="T117" s="132"/>
      <c r="U117" s="268">
        <f>SUM(U101:U116)</f>
        <v>0</v>
      </c>
      <c r="V117" s="132"/>
      <c r="W117" s="269">
        <f>SUM(W101:W116)</f>
        <v>30</v>
      </c>
      <c r="X117" s="132"/>
      <c r="Y117" s="270">
        <f>SUM(Y101:Y116)</f>
        <v>30</v>
      </c>
      <c r="Z117" s="9"/>
      <c r="AA117" s="2"/>
    </row>
    <row r="118" spans="1:27" ht="13" thickBot="1">
      <c r="A118" s="499"/>
      <c r="B118" s="132"/>
      <c r="C118" s="322"/>
      <c r="D118" s="104"/>
      <c r="E118" s="104"/>
      <c r="F118" s="322"/>
      <c r="G118" s="132"/>
      <c r="H118" s="132"/>
      <c r="I118" s="132"/>
      <c r="J118" s="322"/>
      <c r="K118" s="132"/>
      <c r="L118" s="132"/>
      <c r="M118" s="323"/>
      <c r="N118" s="132"/>
      <c r="O118" s="322"/>
      <c r="P118" s="132"/>
      <c r="Q118" s="460"/>
      <c r="R118" s="132"/>
      <c r="S118" s="641" t="s">
        <v>337</v>
      </c>
      <c r="T118" s="642"/>
      <c r="U118" s="642"/>
      <c r="V118" s="642"/>
      <c r="W118" s="642"/>
      <c r="X118" s="642"/>
      <c r="Y118" s="618">
        <f>SUM(S117,Y117)</f>
        <v>30</v>
      </c>
      <c r="Z118" s="619"/>
      <c r="AA118" s="2"/>
    </row>
    <row r="119" spans="1:27" ht="14" thickTop="1" thickBot="1">
      <c r="A119" s="524"/>
      <c r="B119" s="277"/>
      <c r="C119" s="277" t="s">
        <v>39</v>
      </c>
      <c r="D119" s="129"/>
      <c r="E119" s="129"/>
      <c r="F119" s="278">
        <f>F98+F104+F105+F106+F107+F108+F109+F110+F111+F112+F113+F114+F115+F116</f>
        <v>237</v>
      </c>
      <c r="G119" s="132"/>
      <c r="H119" s="277"/>
      <c r="I119" s="277"/>
      <c r="J119" s="277" t="s">
        <v>39</v>
      </c>
      <c r="K119" s="277"/>
      <c r="L119" s="277"/>
      <c r="M119" s="279">
        <f>M98+M104+M105+M106+M107+M108+M111+M112+M113+M114+M115+M116</f>
        <v>161</v>
      </c>
      <c r="N119" s="277"/>
      <c r="O119" s="278">
        <f>O98+ SUM(O104:O116)</f>
        <v>63</v>
      </c>
      <c r="P119" s="277"/>
      <c r="Q119" s="279">
        <f>Q98+ SUM(Q104:Q116)</f>
        <v>0</v>
      </c>
      <c r="R119" s="277"/>
      <c r="S119" s="280">
        <f>S98+ SUM(S104:S116)</f>
        <v>41.999999999999993</v>
      </c>
      <c r="T119" s="277"/>
      <c r="U119" s="278">
        <f>U98+ SUM(U104:U116)</f>
        <v>21</v>
      </c>
      <c r="V119" s="277"/>
      <c r="W119" s="279">
        <f>W98+ SUM(W104:W116)</f>
        <v>100</v>
      </c>
      <c r="X119" s="454"/>
      <c r="Y119" s="280">
        <f>Y98+ SUM(Y104:Y116)</f>
        <v>113.99999999999999</v>
      </c>
      <c r="Z119" s="11"/>
      <c r="AA119" s="2"/>
    </row>
    <row r="120" spans="1:27" ht="13" thickBot="1">
      <c r="A120" s="499"/>
      <c r="B120" s="132"/>
      <c r="C120" s="132"/>
      <c r="D120" s="132"/>
      <c r="E120" s="132"/>
      <c r="F120" s="132"/>
      <c r="G120" s="132"/>
      <c r="H120" s="132"/>
      <c r="I120" s="132"/>
      <c r="J120" s="132"/>
      <c r="K120" s="132"/>
      <c r="L120" s="132"/>
      <c r="M120" s="497"/>
      <c r="N120" s="132"/>
      <c r="O120" s="623" t="s">
        <v>247</v>
      </c>
      <c r="P120" s="624"/>
      <c r="Q120" s="624"/>
      <c r="R120" s="624"/>
      <c r="S120" s="624"/>
      <c r="T120" s="624"/>
      <c r="U120" s="624"/>
      <c r="V120" s="624"/>
      <c r="W120" s="624"/>
      <c r="X120" s="624"/>
      <c r="Y120" s="239">
        <f>FLOOR(S119+Y119,1)</f>
        <v>156</v>
      </c>
      <c r="Z120" s="14"/>
      <c r="AA120" s="2"/>
    </row>
    <row r="121" spans="1:27">
      <c r="A121" s="499"/>
      <c r="B121" s="132"/>
      <c r="C121" s="622" t="s">
        <v>225</v>
      </c>
      <c r="D121" s="622"/>
      <c r="E121" s="622"/>
      <c r="F121" s="622"/>
      <c r="G121" s="622"/>
      <c r="H121" s="622"/>
      <c r="I121" s="622"/>
      <c r="J121" s="622"/>
      <c r="K121" s="622"/>
      <c r="L121" s="622"/>
      <c r="M121" s="622"/>
      <c r="N121" s="622"/>
      <c r="O121" s="622"/>
      <c r="P121" s="622"/>
      <c r="Q121" s="622"/>
      <c r="R121" s="622"/>
      <c r="S121" s="622"/>
      <c r="T121" s="497"/>
      <c r="U121" s="497"/>
      <c r="V121" s="497"/>
      <c r="W121" s="497"/>
      <c r="X121" s="497"/>
      <c r="Y121" s="497"/>
      <c r="Z121" s="118"/>
      <c r="AA121" s="2"/>
    </row>
    <row r="122" spans="1:27">
      <c r="A122" s="499"/>
      <c r="B122" s="132"/>
      <c r="C122" s="132"/>
      <c r="D122" s="132"/>
      <c r="E122" s="132"/>
      <c r="F122" s="132"/>
      <c r="G122" s="132"/>
      <c r="H122" s="132"/>
      <c r="I122" s="132"/>
      <c r="J122" s="132"/>
      <c r="K122" s="132"/>
      <c r="L122" s="132"/>
      <c r="M122" s="497"/>
      <c r="N122" s="132"/>
      <c r="O122" s="132"/>
      <c r="P122" s="132"/>
      <c r="Q122" s="459"/>
      <c r="R122" s="132"/>
      <c r="S122" s="283"/>
      <c r="T122" s="132"/>
      <c r="U122" s="132"/>
      <c r="V122" s="132"/>
      <c r="W122" s="132"/>
      <c r="X122" s="132"/>
      <c r="Y122" s="132"/>
      <c r="Z122" s="2"/>
      <c r="AA122" s="2"/>
    </row>
    <row r="123" spans="1:27" ht="13" thickBot="1">
      <c r="A123" s="525" t="s">
        <v>75</v>
      </c>
      <c r="B123" s="325"/>
      <c r="C123" s="325"/>
      <c r="D123" s="325"/>
      <c r="E123" s="325"/>
      <c r="F123" s="325"/>
      <c r="G123" s="325"/>
      <c r="H123" s="325"/>
      <c r="I123" s="325"/>
      <c r="J123" s="325"/>
      <c r="K123" s="325"/>
      <c r="L123" s="325"/>
      <c r="M123" s="326"/>
      <c r="N123" s="326"/>
      <c r="O123" s="326"/>
      <c r="P123" s="326"/>
      <c r="Q123" s="461"/>
      <c r="R123" s="326"/>
      <c r="S123" s="326"/>
      <c r="T123" s="326"/>
      <c r="U123" s="326"/>
      <c r="V123" s="326"/>
      <c r="W123" s="326"/>
      <c r="X123" s="326"/>
      <c r="Y123" s="326"/>
      <c r="Z123" s="2"/>
      <c r="AA123" s="2"/>
    </row>
    <row r="124" spans="1:27" ht="13" thickTop="1">
      <c r="A124" s="499"/>
      <c r="B124" s="132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497"/>
      <c r="N124" s="132"/>
      <c r="O124" s="132"/>
      <c r="P124" s="132"/>
      <c r="Q124" s="459"/>
      <c r="R124" s="132"/>
      <c r="S124" s="283"/>
      <c r="T124" s="132"/>
      <c r="U124" s="132"/>
      <c r="V124" s="132"/>
      <c r="W124" s="132"/>
      <c r="X124" s="132"/>
      <c r="Y124" s="132"/>
      <c r="Z124" s="2"/>
      <c r="AA124" s="2"/>
    </row>
    <row r="125" spans="1:27" ht="13.5" customHeight="1" thickBot="1">
      <c r="A125" s="526" t="s">
        <v>43</v>
      </c>
      <c r="B125" s="328" t="s">
        <v>48</v>
      </c>
      <c r="C125" s="328" t="s">
        <v>47</v>
      </c>
      <c r="D125" s="328" t="s">
        <v>86</v>
      </c>
      <c r="E125" s="328"/>
      <c r="F125" s="329" t="s">
        <v>3</v>
      </c>
      <c r="G125" s="132"/>
      <c r="H125" s="327" t="s">
        <v>42</v>
      </c>
      <c r="I125" s="328" t="s">
        <v>48</v>
      </c>
      <c r="J125" s="328" t="s">
        <v>47</v>
      </c>
      <c r="K125" s="328" t="s">
        <v>86</v>
      </c>
      <c r="L125" s="328"/>
      <c r="M125" s="330" t="s">
        <v>1</v>
      </c>
      <c r="N125" s="132"/>
      <c r="O125" s="625" t="s">
        <v>106</v>
      </c>
      <c r="P125" s="625"/>
      <c r="Q125" s="625"/>
      <c r="R125" s="625"/>
      <c r="S125" s="625"/>
      <c r="T125" s="625"/>
      <c r="U125" s="625"/>
      <c r="V125" s="625"/>
      <c r="W125" s="625"/>
      <c r="X125" s="625"/>
      <c r="Y125" s="625"/>
      <c r="Z125" s="2"/>
      <c r="AA125" s="2"/>
    </row>
    <row r="126" spans="1:27">
      <c r="A126" s="527" t="s">
        <v>49</v>
      </c>
      <c r="B126" s="104" t="s">
        <v>67</v>
      </c>
      <c r="C126" s="104" t="s">
        <v>71</v>
      </c>
      <c r="D126" s="318">
        <f>COUNTIF($A$7:$A$95,A126) + COUNTIF(A104:A116,A126)</f>
        <v>0</v>
      </c>
      <c r="E126" s="132"/>
      <c r="F126" s="319">
        <f t="shared" ref="F126:F142" si="44">SUMIF($A$7:$A$96,A126,$F$7:$F$96) + SUMIF($A$104:$A$116,A126,$F$104:$F$116)</f>
        <v>0</v>
      </c>
      <c r="G126" s="132"/>
      <c r="H126" s="320">
        <v>2131</v>
      </c>
      <c r="I126" s="104" t="s">
        <v>63</v>
      </c>
      <c r="J126" s="104" t="s">
        <v>61</v>
      </c>
      <c r="K126" s="318">
        <f t="shared" ref="K126:K138" si="45">COUNTIF($H$7:$H$95,H126) + COUNTIF($H$104:$H$116,H126)</f>
        <v>7</v>
      </c>
      <c r="L126" s="132"/>
      <c r="M126" s="321">
        <f t="shared" ref="M126:M138" si="46">SUMIF($H$7:$H$96,H126,$M$7:$M$96) + SUMIF($H$104:$H$116,H126,$M$104:$M$116)</f>
        <v>16</v>
      </c>
      <c r="N126" s="132"/>
      <c r="O126" s="132"/>
      <c r="P126" s="132"/>
      <c r="Q126" s="459"/>
      <c r="R126" s="132"/>
      <c r="S126" s="283"/>
      <c r="T126" s="132"/>
      <c r="U126" s="143"/>
      <c r="V126" s="144"/>
      <c r="W126" s="143"/>
      <c r="X126" s="132"/>
      <c r="Y126" s="143" t="s">
        <v>93</v>
      </c>
      <c r="Z126" s="2"/>
      <c r="AA126" s="2"/>
    </row>
    <row r="127" spans="1:27" ht="13" thickBot="1">
      <c r="A127" s="528" t="s">
        <v>50</v>
      </c>
      <c r="B127" s="128" t="s">
        <v>67</v>
      </c>
      <c r="C127" s="128" t="s">
        <v>72</v>
      </c>
      <c r="D127" s="331">
        <f>COUNTIF($A$7:$A$95,A127) + COUNTIF(A104:A116,A127)</f>
        <v>0</v>
      </c>
      <c r="E127" s="332"/>
      <c r="F127" s="130">
        <f t="shared" si="44"/>
        <v>0</v>
      </c>
      <c r="G127" s="132"/>
      <c r="H127" s="331">
        <v>2135</v>
      </c>
      <c r="I127" s="128" t="s">
        <v>63</v>
      </c>
      <c r="J127" s="128" t="s">
        <v>62</v>
      </c>
      <c r="K127" s="331">
        <f t="shared" si="45"/>
        <v>5</v>
      </c>
      <c r="L127" s="332"/>
      <c r="M127" s="333">
        <f t="shared" si="46"/>
        <v>15</v>
      </c>
      <c r="N127" s="132"/>
      <c r="O127" s="137" t="s">
        <v>77</v>
      </c>
      <c r="P127" s="137"/>
      <c r="Q127" s="458" t="s">
        <v>80</v>
      </c>
      <c r="R127" s="137"/>
      <c r="S127" s="273"/>
      <c r="T127" s="132"/>
      <c r="U127" s="150" t="s">
        <v>3</v>
      </c>
      <c r="V127" s="151" t="s">
        <v>4</v>
      </c>
      <c r="W127" s="152" t="s">
        <v>1</v>
      </c>
      <c r="X127" s="151" t="s">
        <v>5</v>
      </c>
      <c r="Y127" s="152" t="s">
        <v>1</v>
      </c>
      <c r="Z127" s="2"/>
      <c r="AA127" s="2"/>
    </row>
    <row r="128" spans="1:27" ht="13" thickBot="1">
      <c r="A128" s="527" t="s">
        <v>51</v>
      </c>
      <c r="B128" s="104" t="s">
        <v>67</v>
      </c>
      <c r="C128" s="104" t="s">
        <v>73</v>
      </c>
      <c r="D128" s="318">
        <f>COUNTIF($A$7:$A$95,A128) + COUNTIF(A104:A116,A128)</f>
        <v>0</v>
      </c>
      <c r="E128" s="132"/>
      <c r="F128" s="319">
        <f t="shared" si="44"/>
        <v>0</v>
      </c>
      <c r="G128" s="132"/>
      <c r="H128" s="334">
        <v>2138</v>
      </c>
      <c r="I128" s="148" t="s">
        <v>63</v>
      </c>
      <c r="J128" s="148" t="s">
        <v>222</v>
      </c>
      <c r="K128" s="334">
        <f t="shared" si="45"/>
        <v>1</v>
      </c>
      <c r="L128" s="137"/>
      <c r="M128" s="335">
        <f t="shared" si="46"/>
        <v>0</v>
      </c>
      <c r="N128" s="132"/>
      <c r="O128" s="318" t="s">
        <v>94</v>
      </c>
      <c r="P128" s="132" t="s">
        <v>98</v>
      </c>
      <c r="Q128" s="462" t="s">
        <v>95</v>
      </c>
      <c r="R128" s="132"/>
      <c r="S128" s="283"/>
      <c r="T128" s="132"/>
      <c r="U128" s="336">
        <f>SUMIF($D$7:$D$116,$O$128,$F$7:$F$116)</f>
        <v>0</v>
      </c>
      <c r="V128" s="132"/>
      <c r="W128" s="187">
        <f>SUMIF($K$7:$K$116,$O$128,$M$7:$M$116)</f>
        <v>0</v>
      </c>
      <c r="X128" s="132"/>
      <c r="Y128" s="337">
        <f t="shared" ref="Y128:Y129" si="47">0.66666* U128 + W128</f>
        <v>0</v>
      </c>
      <c r="Z128" s="2"/>
      <c r="AA128" s="2"/>
    </row>
    <row r="129" spans="1:27" ht="13" thickBot="1">
      <c r="A129" s="529" t="s">
        <v>52</v>
      </c>
      <c r="B129" s="338" t="s">
        <v>67</v>
      </c>
      <c r="C129" s="338" t="s">
        <v>74</v>
      </c>
      <c r="D129" s="339">
        <f>COUNTIF($A$7:$A$95,A129) + COUNTIF(A104:A116,A129)</f>
        <v>0</v>
      </c>
      <c r="E129" s="340"/>
      <c r="F129" s="341">
        <f t="shared" si="44"/>
        <v>0</v>
      </c>
      <c r="G129" s="132"/>
      <c r="H129" s="331">
        <v>2141</v>
      </c>
      <c r="I129" s="128" t="s">
        <v>64</v>
      </c>
      <c r="J129" s="128" t="s">
        <v>61</v>
      </c>
      <c r="K129" s="331">
        <f t="shared" si="45"/>
        <v>4</v>
      </c>
      <c r="L129" s="332"/>
      <c r="M129" s="333">
        <f t="shared" si="46"/>
        <v>14</v>
      </c>
      <c r="N129" s="132"/>
      <c r="O129" s="318" t="s">
        <v>97</v>
      </c>
      <c r="P129" s="132" t="s">
        <v>99</v>
      </c>
      <c r="Q129" s="462" t="s">
        <v>96</v>
      </c>
      <c r="R129" s="132"/>
      <c r="S129" s="283"/>
      <c r="T129" s="132"/>
      <c r="U129" s="336">
        <f>SUMIF($D$7:$D$116,$O$129,$F$7:$F$116)</f>
        <v>0</v>
      </c>
      <c r="V129" s="132"/>
      <c r="W129" s="187">
        <f>SUMIF($K$7:$K$116,$O$129,$M$7:$M$116)</f>
        <v>0</v>
      </c>
      <c r="X129" s="132"/>
      <c r="Y129" s="342">
        <f t="shared" si="47"/>
        <v>0</v>
      </c>
      <c r="Z129" s="2"/>
      <c r="AA129" s="2"/>
    </row>
    <row r="130" spans="1:27">
      <c r="A130" s="527" t="s">
        <v>53</v>
      </c>
      <c r="B130" s="104" t="s">
        <v>68</v>
      </c>
      <c r="C130" s="104" t="s">
        <v>71</v>
      </c>
      <c r="D130" s="318">
        <f>COUNTIF($A$7:$A$95,A130) + COUNTIF(A104:A116,A130)</f>
        <v>0</v>
      </c>
      <c r="E130" s="132"/>
      <c r="F130" s="319">
        <f t="shared" si="44"/>
        <v>0</v>
      </c>
      <c r="G130" s="132"/>
      <c r="H130" s="318">
        <v>2145</v>
      </c>
      <c r="I130" s="104" t="s">
        <v>64</v>
      </c>
      <c r="J130" s="104" t="s">
        <v>62</v>
      </c>
      <c r="K130" s="318">
        <f t="shared" si="45"/>
        <v>1</v>
      </c>
      <c r="L130" s="132"/>
      <c r="M130" s="321">
        <f t="shared" si="46"/>
        <v>0</v>
      </c>
      <c r="N130" s="132"/>
      <c r="O130" s="132"/>
      <c r="P130" s="132"/>
      <c r="Q130" s="459"/>
      <c r="R130" s="132"/>
      <c r="S130" s="283"/>
      <c r="T130" s="132"/>
      <c r="U130" s="132"/>
      <c r="V130" s="132"/>
      <c r="W130" s="132" t="s">
        <v>113</v>
      </c>
      <c r="X130" s="132" t="s">
        <v>5</v>
      </c>
      <c r="Y130" s="337">
        <f>SUM(Y128:Y129)</f>
        <v>0</v>
      </c>
      <c r="Z130" s="2"/>
      <c r="AA130" s="2"/>
    </row>
    <row r="131" spans="1:27" ht="13" thickBot="1">
      <c r="A131" s="528" t="s">
        <v>54</v>
      </c>
      <c r="B131" s="128" t="s">
        <v>68</v>
      </c>
      <c r="C131" s="128" t="s">
        <v>72</v>
      </c>
      <c r="D131" s="331">
        <f>COUNTIF($A$7:$A$95,A131) + COUNTIF(A104:A116,A131)</f>
        <v>0</v>
      </c>
      <c r="E131" s="332"/>
      <c r="F131" s="130">
        <f t="shared" si="44"/>
        <v>0</v>
      </c>
      <c r="G131" s="132"/>
      <c r="H131" s="339">
        <v>2148</v>
      </c>
      <c r="I131" s="338" t="s">
        <v>64</v>
      </c>
      <c r="J131" s="338" t="s">
        <v>222</v>
      </c>
      <c r="K131" s="339">
        <f t="shared" si="45"/>
        <v>1</v>
      </c>
      <c r="L131" s="340"/>
      <c r="M131" s="343">
        <f t="shared" si="46"/>
        <v>0</v>
      </c>
      <c r="N131" s="132"/>
      <c r="O131" s="344" t="s">
        <v>101</v>
      </c>
      <c r="P131" s="132"/>
      <c r="Q131" s="459"/>
      <c r="R131" s="132"/>
      <c r="S131" s="283"/>
      <c r="T131" s="132"/>
      <c r="U131" s="132"/>
      <c r="V131" s="132"/>
      <c r="W131" s="132"/>
      <c r="X131" s="132"/>
      <c r="Y131" s="132"/>
      <c r="Z131" s="2"/>
      <c r="AA131" s="2"/>
    </row>
    <row r="132" spans="1:27">
      <c r="A132" s="527" t="s">
        <v>55</v>
      </c>
      <c r="B132" s="104" t="s">
        <v>68</v>
      </c>
      <c r="C132" s="104" t="s">
        <v>73</v>
      </c>
      <c r="D132" s="318">
        <f>COUNTIF($A$7:$A$95,A132) + COUNTIF(A104:A116,A132)</f>
        <v>0</v>
      </c>
      <c r="E132" s="132"/>
      <c r="F132" s="319">
        <f t="shared" si="44"/>
        <v>0</v>
      </c>
      <c r="G132" s="132"/>
      <c r="H132" s="318">
        <v>2151</v>
      </c>
      <c r="I132" s="104" t="s">
        <v>65</v>
      </c>
      <c r="J132" s="104" t="s">
        <v>61</v>
      </c>
      <c r="K132" s="318">
        <f t="shared" si="45"/>
        <v>4</v>
      </c>
      <c r="L132" s="132"/>
      <c r="M132" s="321">
        <f t="shared" si="46"/>
        <v>13</v>
      </c>
      <c r="N132" s="132"/>
      <c r="O132" s="344" t="s">
        <v>102</v>
      </c>
      <c r="P132" s="132"/>
      <c r="Q132" s="459"/>
      <c r="R132" s="132"/>
      <c r="S132" s="283"/>
      <c r="T132" s="132"/>
      <c r="U132" s="132"/>
      <c r="V132" s="132"/>
      <c r="W132" s="132"/>
      <c r="X132" s="132"/>
      <c r="Y132" s="132"/>
      <c r="Z132" s="2"/>
      <c r="AA132" s="2"/>
    </row>
    <row r="133" spans="1:27" ht="13" thickBot="1">
      <c r="A133" s="529" t="s">
        <v>56</v>
      </c>
      <c r="B133" s="338" t="s">
        <v>68</v>
      </c>
      <c r="C133" s="338" t="s">
        <v>74</v>
      </c>
      <c r="D133" s="339">
        <f>COUNTIF($A$7:$A$95,A133) + COUNTIF(A104:A116,A133)</f>
        <v>0</v>
      </c>
      <c r="E133" s="340"/>
      <c r="F133" s="341">
        <f t="shared" si="44"/>
        <v>0</v>
      </c>
      <c r="G133" s="132"/>
      <c r="H133" s="331">
        <v>2155</v>
      </c>
      <c r="I133" s="128" t="s">
        <v>65</v>
      </c>
      <c r="J133" s="128" t="s">
        <v>62</v>
      </c>
      <c r="K133" s="331">
        <f t="shared" si="45"/>
        <v>4</v>
      </c>
      <c r="L133" s="332"/>
      <c r="M133" s="333">
        <f t="shared" si="46"/>
        <v>12</v>
      </c>
      <c r="N133" s="132"/>
      <c r="O133" s="344" t="s">
        <v>100</v>
      </c>
      <c r="P133" s="132"/>
      <c r="Q133" s="459"/>
      <c r="R133" s="132"/>
      <c r="S133" s="283"/>
      <c r="T133" s="132"/>
      <c r="U133" s="132"/>
      <c r="V133" s="132"/>
      <c r="W133" s="132"/>
      <c r="X133" s="132"/>
      <c r="Y133" s="132"/>
      <c r="Z133" s="2"/>
      <c r="AA133" s="2"/>
    </row>
    <row r="134" spans="1:27" ht="13" thickBot="1">
      <c r="A134" s="527" t="s">
        <v>57</v>
      </c>
      <c r="B134" s="104" t="s">
        <v>69</v>
      </c>
      <c r="C134" s="104" t="s">
        <v>71</v>
      </c>
      <c r="D134" s="318">
        <f>COUNTIF($A$7:$A$95,A134) + COUNTIF(A104:A116,A134)</f>
        <v>0</v>
      </c>
      <c r="E134" s="132"/>
      <c r="F134" s="319">
        <f t="shared" si="44"/>
        <v>0</v>
      </c>
      <c r="G134" s="132"/>
      <c r="H134" s="334">
        <v>2158</v>
      </c>
      <c r="I134" s="148" t="s">
        <v>65</v>
      </c>
      <c r="J134" s="148" t="s">
        <v>222</v>
      </c>
      <c r="K134" s="334">
        <f t="shared" si="45"/>
        <v>1</v>
      </c>
      <c r="L134" s="137"/>
      <c r="M134" s="335">
        <f t="shared" si="46"/>
        <v>0</v>
      </c>
      <c r="N134" s="132"/>
      <c r="O134" s="625" t="s">
        <v>107</v>
      </c>
      <c r="P134" s="625"/>
      <c r="Q134" s="625"/>
      <c r="R134" s="625"/>
      <c r="S134" s="625"/>
      <c r="T134" s="625"/>
      <c r="U134" s="625"/>
      <c r="V134" s="625"/>
      <c r="W134" s="625"/>
      <c r="X134" s="625"/>
      <c r="Y134" s="625"/>
      <c r="Z134" s="2"/>
      <c r="AA134" s="2"/>
    </row>
    <row r="135" spans="1:27" ht="13" thickBot="1">
      <c r="A135" s="528" t="s">
        <v>58</v>
      </c>
      <c r="B135" s="128" t="s">
        <v>69</v>
      </c>
      <c r="C135" s="128" t="s">
        <v>72</v>
      </c>
      <c r="D135" s="331">
        <f>COUNTIF($A$7:$A$95,A135) + COUNTIF(A104:A116,A135)</f>
        <v>0</v>
      </c>
      <c r="E135" s="332"/>
      <c r="F135" s="130">
        <f t="shared" si="44"/>
        <v>0</v>
      </c>
      <c r="G135" s="132"/>
      <c r="H135" s="331">
        <v>2161</v>
      </c>
      <c r="I135" s="128" t="s">
        <v>66</v>
      </c>
      <c r="J135" s="128" t="s">
        <v>61</v>
      </c>
      <c r="K135" s="331">
        <f t="shared" si="45"/>
        <v>5</v>
      </c>
      <c r="L135" s="332"/>
      <c r="M135" s="333">
        <f t="shared" si="46"/>
        <v>15</v>
      </c>
      <c r="N135" s="132"/>
      <c r="O135" s="132"/>
      <c r="P135" s="132"/>
      <c r="Q135" s="459"/>
      <c r="R135" s="132"/>
      <c r="S135" s="283"/>
      <c r="T135" s="132"/>
      <c r="U135" s="132"/>
      <c r="V135" s="132"/>
      <c r="W135" s="132"/>
      <c r="X135" s="132"/>
      <c r="Y135" s="132"/>
      <c r="Z135" s="2"/>
      <c r="AA135" s="2"/>
    </row>
    <row r="136" spans="1:27">
      <c r="A136" s="527" t="s">
        <v>59</v>
      </c>
      <c r="B136" s="104" t="s">
        <v>69</v>
      </c>
      <c r="C136" s="104" t="s">
        <v>73</v>
      </c>
      <c r="D136" s="318">
        <f>COUNTIF($A$7:$A$95,A136) + COUNTIF(A104:A116,A136)</f>
        <v>0</v>
      </c>
      <c r="E136" s="132"/>
      <c r="F136" s="319">
        <f t="shared" si="44"/>
        <v>0</v>
      </c>
      <c r="G136" s="132"/>
      <c r="H136" s="318">
        <v>2165</v>
      </c>
      <c r="I136" s="104" t="s">
        <v>66</v>
      </c>
      <c r="J136" s="104" t="s">
        <v>62</v>
      </c>
      <c r="K136" s="318">
        <f t="shared" si="45"/>
        <v>5</v>
      </c>
      <c r="L136" s="132"/>
      <c r="M136" s="321">
        <f t="shared" si="46"/>
        <v>15</v>
      </c>
      <c r="N136" s="132"/>
      <c r="O136" s="132"/>
      <c r="P136" s="132"/>
      <c r="Q136" s="626"/>
      <c r="R136" s="627"/>
      <c r="S136" s="627"/>
      <c r="T136" s="627"/>
      <c r="U136" s="627"/>
      <c r="V136" s="627"/>
      <c r="W136" s="628"/>
      <c r="X136" s="132"/>
      <c r="Y136" s="132"/>
      <c r="Z136" s="2"/>
      <c r="AA136" s="2"/>
    </row>
    <row r="137" spans="1:27" ht="13.5" customHeight="1" thickBot="1">
      <c r="A137" s="529" t="s">
        <v>60</v>
      </c>
      <c r="B137" s="338" t="s">
        <v>69</v>
      </c>
      <c r="C137" s="338" t="s">
        <v>74</v>
      </c>
      <c r="D137" s="339">
        <f>COUNTIF($A$7:$A$95,A137) + COUNTIF(A104:A116,A137)</f>
        <v>0</v>
      </c>
      <c r="E137" s="340"/>
      <c r="F137" s="341">
        <f t="shared" si="44"/>
        <v>0</v>
      </c>
      <c r="G137" s="132"/>
      <c r="H137" s="339">
        <v>2168</v>
      </c>
      <c r="I137" s="338" t="s">
        <v>66</v>
      </c>
      <c r="J137" s="338" t="s">
        <v>222</v>
      </c>
      <c r="K137" s="339">
        <f t="shared" si="45"/>
        <v>0</v>
      </c>
      <c r="L137" s="340"/>
      <c r="M137" s="343">
        <f t="shared" si="46"/>
        <v>0</v>
      </c>
      <c r="N137" s="132"/>
      <c r="O137" s="132"/>
      <c r="P137" s="132"/>
      <c r="Q137" s="629"/>
      <c r="R137" s="630"/>
      <c r="S137" s="630"/>
      <c r="T137" s="630"/>
      <c r="U137" s="630"/>
      <c r="V137" s="630"/>
      <c r="W137" s="631"/>
      <c r="X137" s="132"/>
      <c r="Y137" s="132"/>
      <c r="Z137" s="2"/>
      <c r="AA137" s="2"/>
    </row>
    <row r="138" spans="1:27" ht="13.5" customHeight="1" thickBot="1">
      <c r="A138" s="527">
        <v>2121</v>
      </c>
      <c r="B138" s="104" t="s">
        <v>70</v>
      </c>
      <c r="C138" s="104" t="s">
        <v>71</v>
      </c>
      <c r="D138" s="318">
        <f>COUNTIF($A$7:$A$95,A138) + COUNTIF(A104:A116,A138)</f>
        <v>0</v>
      </c>
      <c r="E138" s="132"/>
      <c r="F138" s="319">
        <f t="shared" si="44"/>
        <v>0</v>
      </c>
      <c r="G138" s="132"/>
      <c r="H138" s="132"/>
      <c r="I138" s="104" t="s">
        <v>85</v>
      </c>
      <c r="J138" s="104" t="s">
        <v>87</v>
      </c>
      <c r="K138" s="345">
        <f t="shared" si="45"/>
        <v>0</v>
      </c>
      <c r="L138" s="346"/>
      <c r="M138" s="347">
        <f t="shared" si="46"/>
        <v>0</v>
      </c>
      <c r="N138" s="132"/>
      <c r="O138" s="132"/>
      <c r="P138" s="132"/>
      <c r="Q138" s="459"/>
      <c r="R138" s="132"/>
      <c r="S138" s="283"/>
      <c r="T138" s="132"/>
      <c r="U138" s="132"/>
      <c r="V138" s="132"/>
      <c r="W138" s="132"/>
      <c r="X138" s="132"/>
      <c r="Y138" s="132"/>
      <c r="Z138" s="2"/>
      <c r="AA138" s="2"/>
    </row>
    <row r="139" spans="1:27" ht="14" thickTop="1" thickBot="1">
      <c r="A139" s="528">
        <v>2122</v>
      </c>
      <c r="B139" s="128" t="s">
        <v>70</v>
      </c>
      <c r="C139" s="128" t="s">
        <v>72</v>
      </c>
      <c r="D139" s="331">
        <f>COUNTIF($A$7:$A$95,A139) + COUNTIF(A104:A116,A139)</f>
        <v>4</v>
      </c>
      <c r="E139" s="332"/>
      <c r="F139" s="130">
        <f t="shared" si="44"/>
        <v>6</v>
      </c>
      <c r="G139" s="132"/>
      <c r="H139" s="348" t="s">
        <v>77</v>
      </c>
      <c r="I139" s="328" t="s">
        <v>80</v>
      </c>
      <c r="J139" s="328" t="s">
        <v>47</v>
      </c>
      <c r="K139" s="318">
        <f>SUM(K126:K138)</f>
        <v>38</v>
      </c>
      <c r="L139" s="349" t="s">
        <v>114</v>
      </c>
      <c r="M139" s="321">
        <f>SUM(L126:M138)</f>
        <v>100</v>
      </c>
      <c r="N139" s="132"/>
      <c r="O139" s="328" t="s">
        <v>104</v>
      </c>
      <c r="P139" s="328"/>
      <c r="Q139" s="463"/>
      <c r="R139" s="328"/>
      <c r="S139" s="350"/>
      <c r="T139" s="328"/>
      <c r="U139" s="328"/>
      <c r="V139" s="328"/>
      <c r="W139" s="328"/>
      <c r="X139" s="328"/>
      <c r="Y139" s="328"/>
      <c r="Z139" s="2"/>
      <c r="AA139" s="2"/>
    </row>
    <row r="140" spans="1:27" ht="13" thickBot="1">
      <c r="A140" s="527">
        <v>2123</v>
      </c>
      <c r="B140" s="104" t="s">
        <v>70</v>
      </c>
      <c r="C140" s="104" t="s">
        <v>73</v>
      </c>
      <c r="D140" s="318">
        <f>COUNTIF($A$7:$A$95,A140) + COUNTIF(A104:A116,A140)</f>
        <v>4</v>
      </c>
      <c r="E140" s="132"/>
      <c r="F140" s="319">
        <f t="shared" si="44"/>
        <v>15</v>
      </c>
      <c r="G140" s="132"/>
      <c r="H140" s="318"/>
      <c r="I140" s="104" t="s">
        <v>85</v>
      </c>
      <c r="J140" s="104" t="s">
        <v>84</v>
      </c>
      <c r="K140" s="132"/>
      <c r="L140" s="132"/>
      <c r="M140" s="324"/>
      <c r="N140" s="132"/>
      <c r="O140" s="132"/>
      <c r="P140" s="132"/>
      <c r="Q140" s="459"/>
      <c r="R140" s="132"/>
      <c r="S140" s="283"/>
      <c r="T140" s="132"/>
      <c r="U140" s="132"/>
      <c r="V140" s="132"/>
      <c r="W140" s="132"/>
      <c r="X140" s="132"/>
      <c r="Y140" s="132"/>
      <c r="Z140" s="2"/>
      <c r="AA140" s="2"/>
    </row>
    <row r="141" spans="1:27" ht="13" thickBot="1">
      <c r="A141" s="529">
        <v>2124</v>
      </c>
      <c r="B141" s="338" t="s">
        <v>70</v>
      </c>
      <c r="C141" s="338" t="s">
        <v>74</v>
      </c>
      <c r="D141" s="339">
        <f>COUNTIF($A$7:$A$95,A141) + COUNTIF(A104:A116,A141)</f>
        <v>0</v>
      </c>
      <c r="E141" s="340"/>
      <c r="F141" s="341">
        <f t="shared" si="44"/>
        <v>0</v>
      </c>
      <c r="G141" s="132"/>
      <c r="H141" s="331" t="s">
        <v>78</v>
      </c>
      <c r="I141" s="128" t="s">
        <v>81</v>
      </c>
      <c r="J141" s="128" t="s">
        <v>83</v>
      </c>
      <c r="K141" s="132"/>
      <c r="L141" s="132"/>
      <c r="M141" s="324"/>
      <c r="N141" s="132"/>
      <c r="O141" s="132"/>
      <c r="P141" s="132"/>
      <c r="Q141" s="626">
        <v>2165</v>
      </c>
      <c r="R141" s="627"/>
      <c r="S141" s="627"/>
      <c r="T141" s="627"/>
      <c r="U141" s="627"/>
      <c r="V141" s="627"/>
      <c r="W141" s="628"/>
      <c r="X141" s="132"/>
      <c r="Y141" s="132"/>
      <c r="Z141" s="2"/>
      <c r="AA141" s="2"/>
    </row>
    <row r="142" spans="1:27" ht="13" thickBot="1">
      <c r="A142" s="499"/>
      <c r="B142" s="104" t="s">
        <v>85</v>
      </c>
      <c r="C142" s="104" t="s">
        <v>87</v>
      </c>
      <c r="D142" s="345">
        <f>COUNTIF($A$7:$A$123,A142)</f>
        <v>0</v>
      </c>
      <c r="E142" s="346"/>
      <c r="F142" s="351">
        <f t="shared" si="44"/>
        <v>0</v>
      </c>
      <c r="G142" s="132"/>
      <c r="H142" s="318" t="s">
        <v>79</v>
      </c>
      <c r="I142" s="104" t="s">
        <v>82</v>
      </c>
      <c r="J142" s="104" t="s">
        <v>105</v>
      </c>
      <c r="K142" s="132"/>
      <c r="L142" s="132"/>
      <c r="M142" s="324"/>
      <c r="N142" s="132"/>
      <c r="O142" s="132"/>
      <c r="P142" s="132"/>
      <c r="Q142" s="629"/>
      <c r="R142" s="630"/>
      <c r="S142" s="630"/>
      <c r="T142" s="630"/>
      <c r="U142" s="630"/>
      <c r="V142" s="630"/>
      <c r="W142" s="631"/>
      <c r="X142" s="132"/>
      <c r="Y142" s="132"/>
      <c r="Z142" s="2"/>
      <c r="AA142" s="2"/>
    </row>
    <row r="143" spans="1:27" ht="14" thickTop="1" thickBot="1">
      <c r="A143" s="499"/>
      <c r="B143" s="132"/>
      <c r="C143" s="132"/>
      <c r="D143" s="318">
        <f>SUM(D126:D142)</f>
        <v>8</v>
      </c>
      <c r="E143" s="349" t="s">
        <v>114</v>
      </c>
      <c r="F143" s="319">
        <f>SUM(E126:F142)</f>
        <v>21</v>
      </c>
      <c r="G143" s="132"/>
      <c r="H143" s="339" t="s">
        <v>111</v>
      </c>
      <c r="I143" s="338" t="s">
        <v>112</v>
      </c>
      <c r="J143" s="338" t="s">
        <v>307</v>
      </c>
      <c r="K143" s="132"/>
      <c r="L143" s="132"/>
      <c r="M143" s="324"/>
      <c r="N143" s="132"/>
      <c r="O143" s="132"/>
      <c r="P143" s="132"/>
      <c r="Q143" s="459"/>
      <c r="R143" s="132"/>
      <c r="S143" s="283"/>
      <c r="T143" s="132"/>
      <c r="U143" s="132"/>
      <c r="V143" s="132"/>
      <c r="W143" s="132"/>
      <c r="X143" s="132"/>
      <c r="Y143" s="132"/>
      <c r="Z143" s="2"/>
      <c r="AA143" s="2"/>
    </row>
    <row r="144" spans="1:27">
      <c r="A144" s="530"/>
      <c r="B144" s="352"/>
      <c r="C144" s="352"/>
      <c r="D144" s="352"/>
      <c r="E144" s="352"/>
      <c r="F144" s="352"/>
      <c r="G144" s="352"/>
      <c r="H144" s="352"/>
      <c r="I144" s="352"/>
      <c r="J144" s="352"/>
      <c r="K144" s="103"/>
      <c r="L144" s="352"/>
      <c r="M144" s="353"/>
      <c r="N144" s="352"/>
      <c r="O144" s="352"/>
      <c r="P144" s="352"/>
      <c r="Q144" s="464"/>
      <c r="R144" s="352"/>
      <c r="S144" s="354"/>
      <c r="T144" s="352"/>
      <c r="U144" s="352"/>
      <c r="V144" s="352"/>
      <c r="W144" s="352"/>
      <c r="X144" s="352"/>
      <c r="Y144" s="352"/>
    </row>
    <row r="145" spans="1:27">
      <c r="A145" s="531"/>
      <c r="B145" s="355"/>
      <c r="C145" s="352" t="s">
        <v>228</v>
      </c>
      <c r="D145" s="352"/>
      <c r="E145" s="353" t="s">
        <v>223</v>
      </c>
      <c r="F145" s="352"/>
      <c r="G145" s="352"/>
      <c r="H145" s="352"/>
      <c r="I145" s="352"/>
      <c r="J145" s="352" t="s">
        <v>229</v>
      </c>
      <c r="K145" s="352"/>
      <c r="L145" s="353" t="s">
        <v>224</v>
      </c>
      <c r="M145" s="353"/>
      <c r="N145" s="352"/>
      <c r="O145" s="352"/>
      <c r="P145" s="352"/>
      <c r="Q145" s="464"/>
      <c r="R145" s="352"/>
      <c r="S145" s="354"/>
      <c r="T145" s="352"/>
      <c r="U145" s="352"/>
      <c r="V145" s="352"/>
      <c r="W145" s="352"/>
      <c r="X145" s="352"/>
      <c r="Y145" s="352"/>
    </row>
    <row r="146" spans="1:27">
      <c r="A146" s="530" t="s">
        <v>0</v>
      </c>
      <c r="B146" s="352"/>
      <c r="C146" s="352"/>
      <c r="D146" s="352"/>
      <c r="E146" s="352"/>
      <c r="F146" s="352"/>
      <c r="G146" s="352"/>
      <c r="H146" s="352"/>
      <c r="I146" s="352"/>
      <c r="J146" s="352"/>
      <c r="K146" s="352"/>
      <c r="L146" s="352"/>
      <c r="M146" s="356"/>
      <c r="N146" s="352"/>
      <c r="O146" s="352"/>
      <c r="P146" s="352"/>
      <c r="Q146" s="464"/>
      <c r="R146" s="352"/>
      <c r="S146" s="354"/>
      <c r="T146" s="352"/>
      <c r="U146" s="352"/>
      <c r="V146" s="352"/>
      <c r="W146" s="352"/>
      <c r="X146" s="352"/>
      <c r="Y146" s="352"/>
    </row>
    <row r="147" spans="1:27">
      <c r="A147" s="532"/>
      <c r="B147" s="475" t="s">
        <v>299</v>
      </c>
      <c r="C147" s="358" t="s">
        <v>298</v>
      </c>
      <c r="D147" s="352"/>
      <c r="E147" s="356">
        <v>4</v>
      </c>
      <c r="F147" s="357"/>
      <c r="G147" s="352"/>
      <c r="H147" s="352"/>
      <c r="I147" s="361" t="s">
        <v>299</v>
      </c>
      <c r="J147" s="161" t="s">
        <v>298</v>
      </c>
      <c r="K147" s="352"/>
      <c r="L147" s="356">
        <v>3</v>
      </c>
      <c r="M147" s="353"/>
      <c r="N147" s="352"/>
      <c r="O147" s="352"/>
      <c r="P147" s="352"/>
      <c r="Q147" s="464"/>
      <c r="R147" s="352"/>
      <c r="S147" s="354"/>
      <c r="T147" s="352"/>
      <c r="U147" s="352"/>
      <c r="V147" s="352"/>
      <c r="W147" s="352"/>
      <c r="X147" s="352"/>
      <c r="Y147" s="352"/>
    </row>
    <row r="148" spans="1:27">
      <c r="A148" s="533"/>
      <c r="B148" s="361" t="s">
        <v>294</v>
      </c>
      <c r="C148" s="103" t="s">
        <v>297</v>
      </c>
      <c r="D148" s="352"/>
      <c r="E148" s="360">
        <v>5</v>
      </c>
      <c r="F148" s="355"/>
      <c r="G148" s="352"/>
      <c r="H148" s="352"/>
      <c r="I148" s="361" t="s">
        <v>300</v>
      </c>
      <c r="J148" s="103" t="s">
        <v>303</v>
      </c>
      <c r="K148" s="103"/>
      <c r="L148" s="356">
        <v>4</v>
      </c>
      <c r="M148" s="353"/>
      <c r="N148" s="352"/>
      <c r="O148" s="352"/>
      <c r="P148" s="352"/>
      <c r="Q148" s="464"/>
      <c r="R148" s="352"/>
      <c r="S148" s="354"/>
      <c r="T148" s="352"/>
      <c r="U148" s="352"/>
      <c r="V148" s="352"/>
      <c r="W148" s="352"/>
      <c r="X148" s="352"/>
      <c r="Y148" s="352"/>
    </row>
    <row r="149" spans="1:27">
      <c r="A149" s="533"/>
      <c r="B149" s="361" t="s">
        <v>295</v>
      </c>
      <c r="C149" s="361" t="s">
        <v>296</v>
      </c>
      <c r="D149" s="103"/>
      <c r="E149" s="360">
        <v>5</v>
      </c>
      <c r="F149" s="355"/>
      <c r="G149" s="352"/>
      <c r="H149" s="352"/>
      <c r="I149" s="361" t="s">
        <v>301</v>
      </c>
      <c r="J149" s="103" t="s">
        <v>302</v>
      </c>
      <c r="K149" s="103"/>
      <c r="L149" s="356">
        <v>4</v>
      </c>
      <c r="M149" s="353"/>
      <c r="N149" s="352"/>
      <c r="O149" s="352"/>
      <c r="P149" s="352"/>
      <c r="Q149" s="464"/>
      <c r="R149" s="352"/>
      <c r="S149" s="354"/>
      <c r="T149" s="352"/>
      <c r="U149" s="352"/>
      <c r="V149" s="352"/>
      <c r="W149" s="352"/>
      <c r="X149" s="352"/>
      <c r="Y149" s="352"/>
    </row>
    <row r="150" spans="1:27">
      <c r="A150" s="534"/>
      <c r="B150" s="359"/>
      <c r="C150" s="361"/>
      <c r="D150" s="103"/>
      <c r="E150" s="360"/>
      <c r="F150" s="355"/>
      <c r="G150" s="352"/>
      <c r="H150" s="352"/>
      <c r="I150" s="352"/>
      <c r="J150" s="352"/>
      <c r="K150" s="352"/>
      <c r="L150" s="352"/>
      <c r="M150" s="353"/>
      <c r="N150" s="352"/>
      <c r="O150" s="352"/>
      <c r="P150" s="352"/>
      <c r="Q150" s="464"/>
      <c r="R150" s="352"/>
      <c r="S150" s="354"/>
      <c r="T150" s="352"/>
      <c r="U150" s="352"/>
      <c r="V150" s="352"/>
      <c r="W150" s="352"/>
      <c r="X150" s="352"/>
      <c r="Y150" s="352"/>
    </row>
    <row r="151" spans="1:27">
      <c r="A151" s="534"/>
      <c r="B151" s="361" t="s">
        <v>263</v>
      </c>
      <c r="C151" s="103" t="s">
        <v>264</v>
      </c>
      <c r="D151" s="352"/>
      <c r="E151" s="356">
        <v>4</v>
      </c>
      <c r="F151" s="355"/>
      <c r="G151" s="352"/>
      <c r="H151" s="352"/>
      <c r="I151" s="361" t="s">
        <v>265</v>
      </c>
      <c r="J151" s="103" t="s">
        <v>331</v>
      </c>
      <c r="K151" s="103"/>
      <c r="L151" s="356">
        <v>3</v>
      </c>
      <c r="M151" s="353"/>
      <c r="N151" s="352"/>
      <c r="O151" s="352"/>
      <c r="P151" s="352"/>
      <c r="Q151" s="464"/>
      <c r="R151" s="352"/>
      <c r="S151" s="354"/>
      <c r="T151" s="352"/>
      <c r="U151" s="352"/>
      <c r="V151" s="352"/>
      <c r="W151" s="352"/>
      <c r="X151" s="352"/>
      <c r="Y151" s="352"/>
    </row>
    <row r="152" spans="1:27">
      <c r="A152" s="534"/>
      <c r="B152" s="359"/>
      <c r="C152" s="103"/>
      <c r="D152" s="352"/>
      <c r="E152" s="356"/>
      <c r="F152" s="355"/>
      <c r="G152" s="352"/>
      <c r="H152" s="352"/>
      <c r="I152" s="352"/>
      <c r="J152" s="103"/>
      <c r="K152" s="103"/>
      <c r="L152" s="356"/>
      <c r="M152" s="353"/>
      <c r="N152" s="352"/>
      <c r="O152" s="352"/>
      <c r="P152" s="352"/>
      <c r="Q152" s="464"/>
      <c r="R152" s="352"/>
      <c r="S152" s="354"/>
      <c r="T152" s="352"/>
      <c r="U152" s="352"/>
      <c r="V152" s="352"/>
      <c r="W152" s="352"/>
      <c r="X152" s="352"/>
      <c r="Y152" s="352"/>
    </row>
    <row r="153" spans="1:27">
      <c r="A153" s="534"/>
      <c r="B153" s="361" t="s">
        <v>266</v>
      </c>
      <c r="C153" s="103" t="s">
        <v>267</v>
      </c>
      <c r="D153" s="352"/>
      <c r="E153" s="356">
        <v>4</v>
      </c>
      <c r="F153" s="355"/>
      <c r="G153" s="352"/>
      <c r="H153" s="352"/>
      <c r="I153" s="361" t="s">
        <v>268</v>
      </c>
      <c r="J153" s="103" t="s">
        <v>269</v>
      </c>
      <c r="K153" s="294"/>
      <c r="L153" s="356">
        <v>3</v>
      </c>
      <c r="M153" s="353"/>
      <c r="N153" s="352"/>
      <c r="O153" s="352"/>
      <c r="P153" s="352"/>
      <c r="Q153" s="464"/>
      <c r="R153" s="352"/>
      <c r="S153" s="354"/>
      <c r="T153" s="352"/>
      <c r="U153" s="352"/>
      <c r="V153" s="352"/>
      <c r="W153" s="352"/>
      <c r="X153" s="352"/>
      <c r="Y153" s="352"/>
    </row>
    <row r="154" spans="1:27">
      <c r="A154" s="534"/>
      <c r="B154" s="359"/>
      <c r="C154" s="103"/>
      <c r="D154" s="352"/>
      <c r="E154" s="360"/>
      <c r="F154" s="355"/>
      <c r="G154" s="352"/>
      <c r="H154" s="352"/>
      <c r="I154" s="352"/>
      <c r="J154" s="352"/>
      <c r="K154" s="352"/>
      <c r="L154" s="352"/>
      <c r="M154" s="353"/>
      <c r="N154" s="352"/>
      <c r="O154" s="352"/>
      <c r="P154" s="352"/>
      <c r="Q154" s="464"/>
      <c r="R154" s="352"/>
      <c r="S154" s="354"/>
      <c r="T154" s="352"/>
      <c r="U154" s="352"/>
      <c r="V154" s="352"/>
      <c r="W154" s="352"/>
      <c r="X154" s="352"/>
      <c r="Y154" s="352"/>
    </row>
    <row r="155" spans="1:27" s="4" customFormat="1">
      <c r="A155" s="534"/>
      <c r="B155" s="361" t="s">
        <v>272</v>
      </c>
      <c r="C155" s="361" t="s">
        <v>273</v>
      </c>
      <c r="D155" s="361"/>
      <c r="E155" s="356">
        <v>4</v>
      </c>
      <c r="F155" s="355"/>
      <c r="G155" s="352"/>
      <c r="H155" s="352"/>
      <c r="I155" s="361" t="s">
        <v>274</v>
      </c>
      <c r="J155" s="361" t="s">
        <v>275</v>
      </c>
      <c r="K155" s="352"/>
      <c r="L155" s="356">
        <v>3</v>
      </c>
      <c r="M155" s="353"/>
      <c r="N155" s="352"/>
      <c r="O155" s="353"/>
      <c r="P155" s="103"/>
      <c r="Q155" s="465"/>
      <c r="R155" s="352"/>
      <c r="S155" s="354"/>
      <c r="T155" s="352"/>
      <c r="U155" s="352"/>
      <c r="V155" s="352"/>
      <c r="W155" s="352"/>
      <c r="X155" s="352"/>
      <c r="Y155" s="352"/>
      <c r="Z155" s="1"/>
      <c r="AA155" s="1"/>
    </row>
    <row r="156" spans="1:27" s="4" customFormat="1">
      <c r="A156" s="534"/>
      <c r="B156" s="359"/>
      <c r="C156" s="361"/>
      <c r="D156" s="361"/>
      <c r="E156" s="356"/>
      <c r="F156" s="355"/>
      <c r="G156" s="352"/>
      <c r="H156" s="352"/>
      <c r="I156" s="352"/>
      <c r="J156" s="103"/>
      <c r="K156" s="103"/>
      <c r="L156" s="356"/>
      <c r="M156" s="353"/>
      <c r="N156" s="352"/>
      <c r="O156" s="353"/>
      <c r="P156" s="353"/>
      <c r="Q156" s="466"/>
      <c r="R156" s="352"/>
      <c r="S156" s="354"/>
      <c r="T156" s="352"/>
      <c r="U156" s="352"/>
      <c r="V156" s="352"/>
      <c r="W156" s="352"/>
      <c r="X156" s="352"/>
      <c r="Y156" s="352"/>
      <c r="Z156" s="1"/>
      <c r="AA156" s="1"/>
    </row>
    <row r="157" spans="1:27" s="4" customFormat="1">
      <c r="A157" s="534"/>
      <c r="B157" s="361" t="s">
        <v>304</v>
      </c>
      <c r="C157" s="103" t="s">
        <v>276</v>
      </c>
      <c r="D157" s="352"/>
      <c r="E157" s="356">
        <v>4</v>
      </c>
      <c r="F157" s="355"/>
      <c r="G157" s="352"/>
      <c r="H157" s="352"/>
      <c r="I157" s="361" t="s">
        <v>278</v>
      </c>
      <c r="J157" s="103" t="s">
        <v>279</v>
      </c>
      <c r="K157" s="352"/>
      <c r="L157" s="356">
        <v>3</v>
      </c>
      <c r="M157" s="353"/>
      <c r="N157" s="352"/>
      <c r="O157" s="352"/>
      <c r="P157" s="352"/>
      <c r="Q157" s="464"/>
      <c r="R157" s="352"/>
      <c r="S157" s="354"/>
      <c r="T157" s="352"/>
      <c r="U157" s="352"/>
      <c r="V157" s="352"/>
      <c r="W157" s="352"/>
      <c r="X157" s="352"/>
      <c r="Y157" s="352"/>
      <c r="Z157" s="1"/>
      <c r="AA157" s="1"/>
    </row>
    <row r="158" spans="1:27" s="4" customFormat="1">
      <c r="A158" s="534"/>
      <c r="B158" s="475" t="s">
        <v>305</v>
      </c>
      <c r="C158" s="103" t="s">
        <v>277</v>
      </c>
      <c r="D158" s="352"/>
      <c r="E158" s="360">
        <v>4</v>
      </c>
      <c r="F158" s="355"/>
      <c r="G158" s="352"/>
      <c r="H158" s="352"/>
      <c r="I158" s="361" t="s">
        <v>280</v>
      </c>
      <c r="J158" s="103" t="s">
        <v>281</v>
      </c>
      <c r="K158" s="103"/>
      <c r="L158" s="356">
        <v>3</v>
      </c>
      <c r="M158" s="353"/>
      <c r="N158" s="352"/>
      <c r="O158" s="352"/>
      <c r="P158" s="352"/>
      <c r="Q158" s="464"/>
      <c r="R158" s="352"/>
      <c r="S158" s="354"/>
      <c r="T158" s="352"/>
      <c r="U158" s="352"/>
      <c r="V158" s="352"/>
      <c r="W158" s="352"/>
      <c r="X158" s="352"/>
      <c r="Y158" s="352"/>
      <c r="Z158" s="1"/>
      <c r="AA158" s="1"/>
    </row>
    <row r="159" spans="1:27" s="4" customFormat="1">
      <c r="A159" s="534"/>
      <c r="B159" s="361" t="s">
        <v>308</v>
      </c>
      <c r="C159" s="476" t="s">
        <v>309</v>
      </c>
      <c r="E159" s="368">
        <v>4</v>
      </c>
      <c r="F159" s="355"/>
      <c r="G159" s="352"/>
      <c r="H159" s="352"/>
      <c r="I159" s="475" t="s">
        <v>310</v>
      </c>
      <c r="J159" s="476" t="s">
        <v>309</v>
      </c>
      <c r="L159" s="368">
        <v>3</v>
      </c>
      <c r="M159" s="353"/>
      <c r="N159" s="352"/>
      <c r="O159" s="352"/>
      <c r="P159" s="352"/>
      <c r="Q159" s="464"/>
      <c r="R159" s="352"/>
      <c r="S159" s="354"/>
      <c r="T159" s="352"/>
      <c r="U159" s="352"/>
      <c r="V159" s="352"/>
      <c r="W159" s="352"/>
      <c r="X159" s="352"/>
      <c r="Y159" s="352"/>
      <c r="Z159" s="1"/>
      <c r="AA159" s="1"/>
    </row>
    <row r="160" spans="1:27" s="4" customFormat="1">
      <c r="A160" s="534"/>
      <c r="E160" s="368"/>
      <c r="F160" s="355"/>
      <c r="G160" s="352"/>
      <c r="H160" s="352"/>
      <c r="L160" s="368"/>
      <c r="M160" s="353"/>
      <c r="N160" s="352"/>
      <c r="O160" s="352"/>
      <c r="P160" s="352"/>
      <c r="Q160" s="464"/>
      <c r="R160" s="352"/>
      <c r="S160" s="354"/>
      <c r="T160" s="352"/>
      <c r="U160" s="352"/>
      <c r="V160" s="352"/>
      <c r="W160" s="352"/>
      <c r="X160" s="352"/>
      <c r="Y160" s="352"/>
      <c r="Z160" s="1"/>
      <c r="AA160" s="1"/>
    </row>
    <row r="161" spans="1:27" s="4" customFormat="1">
      <c r="A161" s="534"/>
      <c r="B161" s="361" t="s">
        <v>282</v>
      </c>
      <c r="C161" s="103" t="s">
        <v>284</v>
      </c>
      <c r="D161" s="103"/>
      <c r="E161" s="356">
        <v>4</v>
      </c>
      <c r="F161" s="355"/>
      <c r="G161" s="352"/>
      <c r="H161" s="352"/>
      <c r="I161" s="361" t="s">
        <v>286</v>
      </c>
      <c r="J161" s="294" t="s">
        <v>288</v>
      </c>
      <c r="K161" s="352"/>
      <c r="L161" s="356">
        <v>3</v>
      </c>
      <c r="M161" s="353"/>
      <c r="N161" s="352"/>
      <c r="O161" s="352"/>
      <c r="P161" s="352"/>
      <c r="Q161" s="464"/>
      <c r="R161" s="352"/>
      <c r="S161" s="354"/>
      <c r="T161" s="352"/>
      <c r="U161" s="352"/>
      <c r="V161" s="352"/>
      <c r="W161" s="352"/>
      <c r="X161" s="352"/>
      <c r="Y161" s="352"/>
      <c r="Z161" s="1"/>
      <c r="AA161" s="1"/>
    </row>
    <row r="162" spans="1:27" s="4" customFormat="1">
      <c r="A162" s="534"/>
      <c r="B162" s="361" t="s">
        <v>283</v>
      </c>
      <c r="C162" s="103" t="s">
        <v>285</v>
      </c>
      <c r="D162" s="352"/>
      <c r="E162" s="360">
        <v>4</v>
      </c>
      <c r="F162" s="355"/>
      <c r="G162" s="352"/>
      <c r="H162" s="352"/>
      <c r="I162" s="361" t="s">
        <v>287</v>
      </c>
      <c r="J162" s="103" t="s">
        <v>289</v>
      </c>
      <c r="K162" s="103"/>
      <c r="L162" s="356">
        <v>3</v>
      </c>
      <c r="M162" s="353"/>
      <c r="N162" s="352"/>
      <c r="O162" s="352"/>
      <c r="P162" s="352"/>
      <c r="Q162" s="464"/>
      <c r="R162" s="352"/>
      <c r="S162" s="354"/>
      <c r="T162" s="352"/>
      <c r="U162" s="352"/>
      <c r="V162" s="352"/>
      <c r="W162" s="352"/>
      <c r="X162" s="352"/>
      <c r="Y162" s="352"/>
      <c r="Z162" s="1"/>
      <c r="AA162" s="1"/>
    </row>
    <row r="163" spans="1:27" s="4" customFormat="1">
      <c r="A163" s="534"/>
      <c r="B163" s="361" t="s">
        <v>169</v>
      </c>
      <c r="C163" s="362" t="s">
        <v>170</v>
      </c>
      <c r="D163" s="353"/>
      <c r="E163" s="356">
        <v>4</v>
      </c>
      <c r="F163" s="355"/>
      <c r="G163" s="352"/>
      <c r="H163" s="352"/>
      <c r="I163" s="361" t="s">
        <v>201</v>
      </c>
      <c r="J163" s="362" t="s">
        <v>170</v>
      </c>
      <c r="K163" s="353"/>
      <c r="L163" s="356">
        <v>3</v>
      </c>
      <c r="M163" s="353"/>
      <c r="N163" s="352"/>
      <c r="O163" s="352"/>
      <c r="P163" s="352"/>
      <c r="Q163" s="464"/>
      <c r="R163" s="352"/>
      <c r="S163" s="354"/>
      <c r="T163" s="352"/>
      <c r="U163" s="352"/>
      <c r="V163" s="352"/>
      <c r="W163" s="352"/>
      <c r="X163" s="352"/>
      <c r="Y163" s="352"/>
      <c r="Z163" s="1"/>
      <c r="AA163" s="1"/>
    </row>
    <row r="164" spans="1:27" s="4" customFormat="1">
      <c r="A164" s="534"/>
      <c r="B164" s="442" t="s">
        <v>169</v>
      </c>
      <c r="C164" s="443" t="s">
        <v>262</v>
      </c>
      <c r="D164" s="353"/>
      <c r="E164" s="353"/>
      <c r="F164" s="355"/>
      <c r="G164" s="352"/>
      <c r="H164" s="352"/>
      <c r="I164" s="352"/>
      <c r="J164" s="353"/>
      <c r="K164" s="353"/>
      <c r="L164" s="353"/>
      <c r="M164" s="353"/>
      <c r="N164" s="352"/>
      <c r="O164" s="352"/>
      <c r="P164" s="352"/>
      <c r="Q164" s="464"/>
      <c r="R164" s="352"/>
      <c r="S164" s="354"/>
      <c r="T164" s="352"/>
      <c r="U164" s="352"/>
      <c r="V164" s="352"/>
      <c r="W164" s="352"/>
      <c r="X164" s="352"/>
      <c r="Y164" s="352"/>
      <c r="Z164" s="1"/>
      <c r="AA164" s="1"/>
    </row>
    <row r="165" spans="1:27" s="4" customFormat="1">
      <c r="A165" s="534"/>
      <c r="B165" s="359"/>
      <c r="C165" s="632"/>
      <c r="D165" s="633"/>
      <c r="E165" s="356"/>
      <c r="F165" s="355"/>
      <c r="G165" s="352"/>
      <c r="H165" s="352"/>
      <c r="I165" s="361" t="s">
        <v>311</v>
      </c>
      <c r="J165" s="362" t="s">
        <v>312</v>
      </c>
      <c r="K165" s="353"/>
      <c r="L165" s="356">
        <v>3</v>
      </c>
      <c r="M165" s="353"/>
      <c r="N165" s="352"/>
      <c r="O165" s="352"/>
      <c r="P165" s="352"/>
      <c r="Q165" s="464"/>
      <c r="R165" s="352"/>
      <c r="S165" s="354"/>
      <c r="T165" s="352"/>
      <c r="U165" s="352"/>
      <c r="V165" s="352"/>
      <c r="W165" s="352"/>
      <c r="X165" s="352"/>
      <c r="Y165" s="352"/>
      <c r="Z165" s="1"/>
      <c r="AA165" s="1"/>
    </row>
    <row r="166" spans="1:27" s="4" customFormat="1">
      <c r="A166" s="535"/>
      <c r="B166" s="16"/>
      <c r="C166" s="16"/>
      <c r="D166" s="15"/>
      <c r="E166" s="15"/>
      <c r="F166" s="15"/>
      <c r="G166" s="1"/>
      <c r="H166" s="1"/>
      <c r="I166" s="1"/>
      <c r="N166" s="1"/>
      <c r="O166" s="1"/>
      <c r="P166" s="1"/>
      <c r="Q166" s="467"/>
      <c r="R166" s="1"/>
      <c r="S166" s="13"/>
      <c r="T166" s="1"/>
      <c r="U166" s="1"/>
      <c r="V166" s="1"/>
      <c r="W166" s="1"/>
      <c r="X166" s="1"/>
      <c r="Y166" s="1"/>
      <c r="Z166" s="1"/>
      <c r="AA166" s="1"/>
    </row>
    <row r="167" spans="1:27" s="4" customFormat="1">
      <c r="A167" s="535"/>
      <c r="B167" s="12" t="s">
        <v>270</v>
      </c>
      <c r="C167" s="369" t="s">
        <v>271</v>
      </c>
      <c r="E167" s="368">
        <v>3</v>
      </c>
      <c r="F167" s="28"/>
      <c r="G167" s="1"/>
      <c r="H167" s="1"/>
      <c r="I167" s="12"/>
      <c r="J167" s="428"/>
      <c r="L167" s="368"/>
      <c r="N167" s="1"/>
      <c r="O167" s="1"/>
      <c r="P167" s="1"/>
      <c r="Q167" s="467"/>
      <c r="R167" s="1"/>
      <c r="S167" s="13"/>
      <c r="T167" s="1"/>
      <c r="U167" s="1"/>
      <c r="V167" s="1"/>
      <c r="W167" s="1"/>
      <c r="X167" s="1"/>
      <c r="Y167" s="1"/>
      <c r="Z167" s="1"/>
      <c r="AA167" s="1"/>
    </row>
    <row r="168" spans="1:27" s="4" customFormat="1">
      <c r="A168" s="535"/>
      <c r="B168" s="12" t="s">
        <v>290</v>
      </c>
      <c r="C168" s="12" t="s">
        <v>291</v>
      </c>
      <c r="E168" s="368">
        <v>4</v>
      </c>
      <c r="F168" s="28"/>
      <c r="G168" s="1"/>
      <c r="H168" s="1"/>
      <c r="I168" s="12" t="s">
        <v>218</v>
      </c>
      <c r="J168" s="476" t="s">
        <v>291</v>
      </c>
      <c r="K168" s="368"/>
      <c r="L168" s="368">
        <v>3</v>
      </c>
      <c r="N168" s="1"/>
      <c r="O168" s="1"/>
      <c r="P168" s="1"/>
      <c r="Q168" s="467"/>
      <c r="R168" s="1"/>
      <c r="S168" s="13"/>
      <c r="T168" s="1"/>
      <c r="U168" s="1"/>
      <c r="V168" s="1"/>
      <c r="W168" s="1"/>
      <c r="X168" s="1"/>
      <c r="Y168" s="1"/>
      <c r="Z168" s="1"/>
      <c r="AA168" s="1"/>
    </row>
    <row r="169" spans="1:27" s="4" customFormat="1">
      <c r="A169" s="535"/>
      <c r="B169" s="12" t="s">
        <v>252</v>
      </c>
      <c r="C169" s="294"/>
      <c r="D169" s="15"/>
      <c r="E169" s="368"/>
      <c r="F169" s="15"/>
      <c r="G169" s="1"/>
      <c r="H169" s="1"/>
      <c r="I169" s="12"/>
      <c r="N169" s="1"/>
      <c r="O169" s="1"/>
      <c r="P169" s="1"/>
      <c r="Q169" s="467"/>
      <c r="R169" s="1"/>
      <c r="S169" s="13"/>
      <c r="T169" s="1"/>
      <c r="U169" s="1"/>
      <c r="V169" s="1"/>
      <c r="W169" s="1"/>
      <c r="X169" s="1"/>
      <c r="Y169" s="1"/>
      <c r="Z169" s="1"/>
      <c r="AA169" s="1"/>
    </row>
    <row r="170" spans="1:27" s="4" customFormat="1">
      <c r="A170" s="535"/>
      <c r="B170" s="12" t="s">
        <v>253</v>
      </c>
      <c r="C170" s="16"/>
      <c r="D170" s="15"/>
      <c r="E170" s="15"/>
      <c r="F170" s="15"/>
      <c r="G170" s="1"/>
      <c r="H170" s="1"/>
      <c r="I170" s="12"/>
      <c r="N170" s="1"/>
      <c r="O170" s="1"/>
      <c r="P170" s="1"/>
      <c r="Q170" s="467"/>
      <c r="R170" s="1"/>
      <c r="S170" s="13"/>
      <c r="T170" s="1"/>
      <c r="U170" s="1"/>
      <c r="V170" s="1"/>
      <c r="W170" s="1"/>
      <c r="X170" s="1"/>
      <c r="Y170" s="1"/>
      <c r="Z170" s="1"/>
      <c r="AA170" s="1"/>
    </row>
    <row r="171" spans="1:27" s="4" customFormat="1">
      <c r="A171" s="535"/>
      <c r="B171" s="12" t="s">
        <v>254</v>
      </c>
      <c r="C171" s="16"/>
      <c r="D171" s="15"/>
      <c r="E171" s="15"/>
      <c r="F171" s="15"/>
      <c r="G171" s="1"/>
      <c r="H171" s="1"/>
      <c r="I171" s="12"/>
      <c r="N171" s="1"/>
      <c r="O171" s="1"/>
      <c r="P171" s="1"/>
      <c r="Q171" s="467"/>
      <c r="R171" s="1"/>
      <c r="S171" s="13"/>
      <c r="T171" s="1"/>
      <c r="U171" s="1"/>
      <c r="V171" s="1"/>
      <c r="W171" s="1"/>
      <c r="X171" s="1"/>
      <c r="Y171" s="1"/>
      <c r="Z171" s="1"/>
      <c r="AA171" s="1"/>
    </row>
    <row r="172" spans="1:27" s="4" customFormat="1">
      <c r="A172" s="535"/>
      <c r="B172" s="12" t="s">
        <v>255</v>
      </c>
      <c r="C172" s="16"/>
      <c r="D172" s="15"/>
      <c r="E172" s="15"/>
      <c r="F172" s="15"/>
      <c r="G172" s="1"/>
      <c r="Q172" s="468"/>
      <c r="Y172" s="1"/>
      <c r="Z172" s="1"/>
      <c r="AA172" s="1"/>
    </row>
    <row r="173" spans="1:27" s="4" customFormat="1">
      <c r="A173" s="535"/>
      <c r="B173" s="12" t="s">
        <v>256</v>
      </c>
      <c r="C173" s="16"/>
      <c r="D173" s="15"/>
      <c r="E173" s="15"/>
      <c r="F173" s="15"/>
      <c r="G173" s="1"/>
      <c r="H173" s="622" t="s">
        <v>202</v>
      </c>
      <c r="I173" s="622"/>
      <c r="J173" s="622"/>
      <c r="K173" s="622"/>
      <c r="L173" s="622"/>
      <c r="M173" s="622"/>
      <c r="N173" s="622"/>
      <c r="O173" s="622"/>
      <c r="P173" s="622"/>
      <c r="Q173" s="622"/>
      <c r="R173" s="622"/>
      <c r="S173" s="622"/>
      <c r="T173" s="622"/>
      <c r="U173" s="622"/>
      <c r="V173" s="622"/>
      <c r="W173" s="622"/>
      <c r="X173" s="622"/>
      <c r="Y173" s="1"/>
      <c r="Z173" s="1"/>
      <c r="AA173" s="1"/>
    </row>
    <row r="174" spans="1:27" s="4" customFormat="1">
      <c r="A174" s="535"/>
      <c r="B174" s="12" t="s">
        <v>258</v>
      </c>
      <c r="C174" s="16"/>
      <c r="D174" s="15"/>
      <c r="E174" s="15"/>
      <c r="F174" s="15"/>
      <c r="G174" s="1"/>
      <c r="H174" s="622" t="s">
        <v>257</v>
      </c>
      <c r="I174" s="622"/>
      <c r="J174" s="622"/>
      <c r="K174" s="622"/>
      <c r="L174" s="622"/>
      <c r="M174" s="622"/>
      <c r="N174" s="622"/>
      <c r="O174" s="622"/>
      <c r="P174" s="622"/>
      <c r="Q174" s="622"/>
      <c r="R174" s="622"/>
      <c r="S174" s="622"/>
      <c r="T174" s="622"/>
      <c r="U174" s="622"/>
      <c r="V174" s="622"/>
      <c r="W174" s="622"/>
      <c r="X174" s="622"/>
      <c r="Y174" s="1"/>
      <c r="Z174" s="1"/>
      <c r="AA174" s="1"/>
    </row>
    <row r="175" spans="1:27">
      <c r="A175" s="476"/>
      <c r="B175" s="12" t="s">
        <v>259</v>
      </c>
    </row>
    <row r="176" spans="1:27">
      <c r="B176" s="12" t="s">
        <v>260</v>
      </c>
    </row>
  </sheetData>
  <sheetProtection selectLockedCells="1"/>
  <mergeCells count="22">
    <mergeCell ref="C165:D165"/>
    <mergeCell ref="O120:X120"/>
    <mergeCell ref="C121:S121"/>
    <mergeCell ref="D3:E3"/>
    <mergeCell ref="I1:Y1"/>
    <mergeCell ref="F1:H1"/>
    <mergeCell ref="K3:L3"/>
    <mergeCell ref="O3:S3"/>
    <mergeCell ref="U3:Y3"/>
    <mergeCell ref="J20:L20"/>
    <mergeCell ref="J9:L9"/>
    <mergeCell ref="S118:X118"/>
    <mergeCell ref="H173:X173"/>
    <mergeCell ref="H174:X174"/>
    <mergeCell ref="O25:X25"/>
    <mergeCell ref="O41:X41"/>
    <mergeCell ref="O77:X77"/>
    <mergeCell ref="O125:Y125"/>
    <mergeCell ref="O134:Y134"/>
    <mergeCell ref="Q136:W137"/>
    <mergeCell ref="Q141:W142"/>
    <mergeCell ref="O99:X99"/>
  </mergeCells>
  <conditionalFormatting sqref="H175:H1048576 H2:H9 H11:H20 H22:H171">
    <cfRule type="cellIs" dxfId="43" priority="106" operator="equal">
      <formula>$H$137</formula>
    </cfRule>
    <cfRule type="cellIs" dxfId="42" priority="107" operator="equal">
      <formula>$H$136</formula>
    </cfRule>
    <cfRule type="cellIs" dxfId="41" priority="108" operator="equal">
      <formula>$H$135</formula>
    </cfRule>
    <cfRule type="cellIs" dxfId="40" priority="109" operator="equal">
      <formula>$H$134</formula>
    </cfRule>
    <cfRule type="cellIs" dxfId="39" priority="110" operator="equal">
      <formula>$H$133</formula>
    </cfRule>
    <cfRule type="cellIs" dxfId="38" priority="111" operator="equal">
      <formula>$H$132</formula>
    </cfRule>
    <cfRule type="cellIs" dxfId="37" priority="112" operator="equal">
      <formula>$H$131</formula>
    </cfRule>
    <cfRule type="cellIs" dxfId="36" priority="113" operator="equal">
      <formula>$H$130</formula>
    </cfRule>
    <cfRule type="cellIs" dxfId="35" priority="114" operator="equal">
      <formula>$H$129</formula>
    </cfRule>
    <cfRule type="cellIs" dxfId="34" priority="115" operator="equal">
      <formula>$H$128</formula>
    </cfRule>
    <cfRule type="cellIs" dxfId="33" priority="116" operator="equal">
      <formula>$H$127</formula>
    </cfRule>
    <cfRule type="cellIs" dxfId="32" priority="117" operator="equal">
      <formula>$H$126</formula>
    </cfRule>
  </conditionalFormatting>
  <conditionalFormatting sqref="A1:A1048576">
    <cfRule type="cellIs" dxfId="31" priority="118" operator="equal">
      <formula>$A$141</formula>
    </cfRule>
    <cfRule type="cellIs" dxfId="30" priority="119" operator="equal">
      <formula>$A$140</formula>
    </cfRule>
    <cfRule type="cellIs" dxfId="29" priority="120" operator="equal">
      <formula>$A$139</formula>
    </cfRule>
    <cfRule type="cellIs" dxfId="28" priority="121" operator="equal">
      <formula>$A$138</formula>
    </cfRule>
    <cfRule type="cellIs" dxfId="27" priority="122" operator="equal">
      <formula>$A$137</formula>
    </cfRule>
    <cfRule type="cellIs" dxfId="26" priority="123" operator="equal">
      <formula>$A$136</formula>
    </cfRule>
    <cfRule type="cellIs" dxfId="25" priority="124" operator="equal">
      <formula>$A$135</formula>
    </cfRule>
    <cfRule type="cellIs" dxfId="24" priority="125" operator="equal">
      <formula>$A$134</formula>
    </cfRule>
  </conditionalFormatting>
  <conditionalFormatting sqref="H21">
    <cfRule type="cellIs" dxfId="23" priority="13" operator="equal">
      <formula>$H$137</formula>
    </cfRule>
    <cfRule type="cellIs" dxfId="22" priority="14" operator="equal">
      <formula>$H$136</formula>
    </cfRule>
    <cfRule type="cellIs" dxfId="21" priority="15" operator="equal">
      <formula>$H$135</formula>
    </cfRule>
    <cfRule type="cellIs" dxfId="20" priority="16" operator="equal">
      <formula>$H$134</formula>
    </cfRule>
    <cfRule type="cellIs" dxfId="19" priority="17" operator="equal">
      <formula>$H$133</formula>
    </cfRule>
    <cfRule type="cellIs" dxfId="18" priority="18" operator="equal">
      <formula>$H$132</formula>
    </cfRule>
    <cfRule type="cellIs" dxfId="17" priority="19" operator="equal">
      <formula>$H$131</formula>
    </cfRule>
    <cfRule type="cellIs" dxfId="16" priority="20" operator="equal">
      <formula>$H$130</formula>
    </cfRule>
    <cfRule type="cellIs" dxfId="15" priority="21" operator="equal">
      <formula>$H$129</formula>
    </cfRule>
    <cfRule type="cellIs" dxfId="14" priority="22" operator="equal">
      <formula>$H$128</formula>
    </cfRule>
    <cfRule type="cellIs" dxfId="13" priority="23" operator="equal">
      <formula>$H$127</formula>
    </cfRule>
    <cfRule type="cellIs" dxfId="12" priority="24" operator="equal">
      <formula>$H$126</formula>
    </cfRule>
  </conditionalFormatting>
  <conditionalFormatting sqref="H10">
    <cfRule type="cellIs" dxfId="11" priority="1" operator="equal">
      <formula>$H$137</formula>
    </cfRule>
    <cfRule type="cellIs" dxfId="10" priority="2" operator="equal">
      <formula>$H$136</formula>
    </cfRule>
    <cfRule type="cellIs" dxfId="9" priority="3" operator="equal">
      <formula>$H$135</formula>
    </cfRule>
    <cfRule type="cellIs" dxfId="8" priority="4" operator="equal">
      <formula>$H$134</formula>
    </cfRule>
    <cfRule type="cellIs" dxfId="7" priority="5" operator="equal">
      <formula>$H$133</formula>
    </cfRule>
    <cfRule type="cellIs" dxfId="6" priority="6" operator="equal">
      <formula>$H$132</formula>
    </cfRule>
    <cfRule type="cellIs" dxfId="5" priority="7" operator="equal">
      <formula>$H$131</formula>
    </cfRule>
    <cfRule type="cellIs" dxfId="4" priority="8" operator="equal">
      <formula>$H$130</formula>
    </cfRule>
    <cfRule type="cellIs" dxfId="3" priority="9" operator="equal">
      <formula>$H$129</formula>
    </cfRule>
    <cfRule type="cellIs" dxfId="2" priority="10" operator="equal">
      <formula>$H$128</formula>
    </cfRule>
    <cfRule type="cellIs" dxfId="1" priority="11" operator="equal">
      <formula>$H$127</formula>
    </cfRule>
    <cfRule type="cellIs" dxfId="0" priority="12" operator="equal">
      <formula>$H$126</formula>
    </cfRule>
  </conditionalFormatting>
  <dataValidations count="12">
    <dataValidation type="list" showInputMessage="1" showErrorMessage="1" error="Invalid Quarter" sqref="H27">
      <formula1>ValidSemesters</formula1>
    </dataValidation>
    <dataValidation type="list" showInputMessage="1" showErrorMessage="1" error="Invalid Quarter" sqref="A7:A15 A17:A23 A27 A43:A75 A29:A37 A79:A100 A104:A116">
      <formula1>ValidQuarters</formula1>
    </dataValidation>
    <dataValidation type="list" showInputMessage="1" showErrorMessage="1" error="Invalid Semester" sqref="Q141:W142 H13:H15 H29:H37 H7:H11 H17:H18 H43:H51 H53 H55:H56 H58:H60 H62:H74 H21:H23 H81:H100 H104:H116">
      <formula1>ValidSemesters</formula1>
    </dataValidation>
    <dataValidation type="list" showInputMessage="1" showErrorMessage="1" error="Invalid Entry" sqref="E43:E75 E7:E15 E17:E23 E27 E29:E39 E79:E100 E104:E116 L21:L23 L13:L15 L43:L75 L27 L29:L37 L81:L96 L10:L11 L79 L17:L19 L8 L104:L116">
      <formula1>ValidStatus</formula1>
    </dataValidation>
    <dataValidation type="list" showInputMessage="1" showErrorMessage="1" error="Invalid Entry" sqref="D7:D15 K13:K15 D17:D23 K27 D27 D43:D75 K62:K74 K21:K23 K17:K18 K79 K29:K37 K43:K51 K53 K55:K56 K58:K60 D29:D37 D104:D116 D79:D101 K81:K100 K10:K11 K8 K104:K116">
      <formula1>ValidDD</formula1>
    </dataValidation>
    <dataValidation type="list" allowBlank="1" showInputMessage="1" showErrorMessage="1" sqref="Q136:W137">
      <formula1>ValidBlocks</formula1>
    </dataValidation>
    <dataValidation type="list" showInputMessage="1" showErrorMessage="1" error="Invalid Entry" sqref="L97:L100">
      <formula1>$H$142:$H$144</formula1>
    </dataValidation>
    <dataValidation type="list" showInputMessage="1" showErrorMessage="1" error="Invalid Entry" sqref="C61">
      <formula1>$C$166:$C$167</formula1>
    </dataValidation>
    <dataValidation type="list" showInputMessage="1" showErrorMessage="1" error="Invalid Entry" sqref="F1:H1">
      <formula1>$B$169:$B$177</formula1>
    </dataValidation>
    <dataValidation type="list" showInputMessage="1" showErrorMessage="1" error="Invalid Entry_x000a_" sqref="C111">
      <formula1>$C$168:$C$169</formula1>
    </dataValidation>
    <dataValidation type="list" showInputMessage="1" showErrorMessage="1" error="Invalid Entry" sqref="J111">
      <formula1>$J$168:$J$169</formula1>
    </dataValidation>
    <dataValidation type="list" showInputMessage="1" showErrorMessage="1" error="Invalid Entry" sqref="H79">
      <formula1>ValidSemesters</formula1>
    </dataValidation>
  </dataValidations>
  <printOptions horizontalCentered="1" verticalCentered="1"/>
  <pageMargins left="0.25" right="0.25" top="0.5" bottom="0.5" header="0.25" footer="0.25"/>
  <headerFooter alignWithMargins="0">
    <oddFooter>&amp;L&amp;"Arial,Bold"&amp;12Revision Date: 9 Nov 2011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opLeftCell="A49" workbookViewId="0">
      <selection activeCell="I100" sqref="I100"/>
    </sheetView>
  </sheetViews>
  <sheetFormatPr baseColWidth="10" defaultColWidth="8.83203125" defaultRowHeight="15" x14ac:dyDescent="0"/>
  <cols>
    <col min="1" max="1" width="4" style="440" customWidth="1"/>
    <col min="2" max="2" width="9.1640625" style="430" hidden="1" customWidth="1"/>
    <col min="3" max="3" width="3" style="438" hidden="1" customWidth="1"/>
    <col min="4" max="4" width="32.6640625" style="437" customWidth="1"/>
    <col min="5" max="5" width="8.83203125" style="437"/>
    <col min="6" max="6" width="5.33203125" style="440" customWidth="1"/>
    <col min="7" max="7" width="9.1640625" style="430" hidden="1" customWidth="1"/>
    <col min="8" max="8" width="3" style="438" hidden="1" customWidth="1"/>
    <col min="9" max="9" width="32.6640625" style="437" customWidth="1"/>
    <col min="10" max="16384" width="8.83203125" style="429"/>
  </cols>
  <sheetData>
    <row r="1" spans="1:9" ht="16" thickBot="1">
      <c r="A1" s="432" t="s">
        <v>250</v>
      </c>
      <c r="B1" s="433"/>
      <c r="C1" s="434"/>
      <c r="D1" s="435" t="s">
        <v>251</v>
      </c>
      <c r="E1" s="436"/>
      <c r="F1" s="435" t="s">
        <v>248</v>
      </c>
      <c r="G1" s="433"/>
      <c r="H1" s="434"/>
      <c r="I1" s="435" t="s">
        <v>249</v>
      </c>
    </row>
    <row r="2" spans="1:9">
      <c r="A2" s="647" t="s">
        <v>49</v>
      </c>
      <c r="B2" s="430" t="str">
        <f>A2</f>
        <v>2009-1</v>
      </c>
      <c r="C2" s="431">
        <v>1</v>
      </c>
      <c r="D2" s="437" t="str">
        <f t="array" ref="D2">IFERROR(INDEX('EE BS BSMS'!$A$7:$C$116,SMALL(IF(('EE BS BSMS'!$A$7:$A$116=B2)*((ROW('EE BS BSMS'!$A$7:$A$116)&lt;101)+(ROW('EE BS BSMS'!$A$7:$A$116)&gt;103)),ROW('EE BS BSMS'!$A$7:$A$116)-6),C2),3),"")</f>
        <v/>
      </c>
      <c r="F2" s="652">
        <v>2131</v>
      </c>
      <c r="G2" s="430">
        <f>F2</f>
        <v>2131</v>
      </c>
      <c r="H2" s="431">
        <v>1</v>
      </c>
      <c r="I2" s="437" t="str">
        <f t="array" ref="I2">IFERROR(INDEX('EE BS BSMS'!$H$7:$J$116,SMALL(IF(('EE BS BSMS'!$H$7:$H$116=G2)*((ROW('EE BS BSMS'!$H$7:$H$116)&lt;101)+(ROW('EE BS BSMS'!$H$7:$H$116)&gt;103)),ROW('EE BS BSMS'!$H$7:$H$116)-6),H2),3),"")</f>
        <v>Probability &amp; Statistics I</v>
      </c>
    </row>
    <row r="3" spans="1:9">
      <c r="A3" s="647"/>
      <c r="B3" s="430" t="str">
        <f>B2</f>
        <v>2009-1</v>
      </c>
      <c r="C3" s="431">
        <v>2</v>
      </c>
      <c r="D3" s="437" t="str">
        <f t="array" ref="D3">IFERROR(INDEX('EE BS BSMS'!$A$7:$C$116,SMALL(IF(('EE BS BSMS'!$A$7:$A$116=B3)*((ROW('EE BS BSMS'!$A$7:$A$116)&lt;101)+(ROW('EE BS BSMS'!$A$7:$A$116)&gt;103)),ROW('EE BS BSMS'!$A$7:$A$116)-6),C3),3),"")</f>
        <v/>
      </c>
      <c r="F3" s="648"/>
      <c r="G3" s="430">
        <f>G2</f>
        <v>2131</v>
      </c>
      <c r="H3" s="431">
        <v>2</v>
      </c>
      <c r="I3" s="437" t="str">
        <f t="array" ref="I3">IFERROR(INDEX('EE BS BSMS'!$H$7:$J$116,SMALL(IF(('EE BS BSMS'!$H$7:$H$116=G3)*((ROW('EE BS BSMS'!$H$7:$H$116)&lt;101)+(ROW('EE BS BSMS'!$H$7:$H$116)&gt;103)),ROW('EE BS BSMS'!$H$7:$H$116)-6),H3),3),"")</f>
        <v>University Physics II</v>
      </c>
    </row>
    <row r="4" spans="1:9">
      <c r="A4" s="647"/>
      <c r="B4" s="430" t="str">
        <f t="shared" ref="B4:B7" si="0">B3</f>
        <v>2009-1</v>
      </c>
      <c r="C4" s="431">
        <v>3</v>
      </c>
      <c r="D4" s="437" t="str">
        <f t="array" ref="D4">IFERROR(INDEX('EE BS BSMS'!$A$7:$C$116,SMALL(IF(('EE BS BSMS'!$A$7:$A$116=B4)*((ROW('EE BS BSMS'!$A$7:$A$116)&lt;101)+(ROW('EE BS BSMS'!$A$7:$A$116)&gt;103)),ROW('EE BS BSMS'!$A$7:$A$116)-6),C4),3),"")</f>
        <v/>
      </c>
      <c r="F4" s="648"/>
      <c r="G4" s="430">
        <f t="shared" ref="G4:G7" si="1">G3</f>
        <v>2131</v>
      </c>
      <c r="H4" s="431">
        <v>3</v>
      </c>
      <c r="I4" s="437" t="str">
        <f t="array" ref="I4">IFERROR(INDEX('EE BS BSMS'!$H$7:$J$116,SMALL(IF(('EE BS BSMS'!$H$7:$H$116=G4)*((ROW('EE BS BSMS'!$H$7:$H$116)&lt;101)+(ROW('EE BS BSMS'!$H$7:$H$116)&gt;103)),ROW('EE BS BSMS'!$H$7:$H$116)-6),H4),3),"")</f>
        <v>University Arts &amp; Sciences Immersion</v>
      </c>
    </row>
    <row r="5" spans="1:9">
      <c r="A5" s="647"/>
      <c r="B5" s="430" t="str">
        <f t="shared" si="0"/>
        <v>2009-1</v>
      </c>
      <c r="C5" s="431">
        <v>4</v>
      </c>
      <c r="D5" s="437" t="str">
        <f t="array" ref="D5">IFERROR(INDEX('EE BS BSMS'!$A$7:$C$116,SMALL(IF(('EE BS BSMS'!$A$7:$A$116=B5)*((ROW('EE BS BSMS'!$A$7:$A$116)&lt;101)+(ROW('EE BS BSMS'!$A$7:$A$116)&gt;103)),ROW('EE BS BSMS'!$A$7:$A$116)-6),C5),3),"")</f>
        <v/>
      </c>
      <c r="F5" s="648"/>
      <c r="G5" s="430">
        <f t="shared" si="1"/>
        <v>2131</v>
      </c>
      <c r="H5" s="431">
        <v>4</v>
      </c>
      <c r="I5" s="437" t="str">
        <f t="array" ref="I5">IFERROR(INDEX('EE BS BSMS'!$H$7:$J$116,SMALL(IF(('EE BS BSMS'!$H$7:$H$116=G5)*((ROW('EE BS BSMS'!$H$7:$H$116)&lt;101)+(ROW('EE BS BSMS'!$H$7:$H$116)&gt;103)),ROW('EE BS BSMS'!$H$7:$H$116)-6),H5),3),"")</f>
        <v>Digital System II</v>
      </c>
    </row>
    <row r="6" spans="1:9">
      <c r="A6" s="647"/>
      <c r="B6" s="430" t="str">
        <f t="shared" si="0"/>
        <v>2009-1</v>
      </c>
      <c r="C6" s="431">
        <v>5</v>
      </c>
      <c r="D6" s="437" t="str">
        <f t="array" ref="D6">IFERROR(INDEX('EE BS BSMS'!$A$7:$C$116,SMALL(IF(('EE BS BSMS'!$A$7:$A$116=B6)*((ROW('EE BS BSMS'!$A$7:$A$116)&lt;101)+(ROW('EE BS BSMS'!$A$7:$A$116)&gt;103)),ROW('EE BS BSMS'!$A$7:$A$116)-6),C6),3),"")</f>
        <v/>
      </c>
      <c r="F6" s="648"/>
      <c r="G6" s="430">
        <f t="shared" si="1"/>
        <v>2131</v>
      </c>
      <c r="H6" s="431">
        <v>5</v>
      </c>
      <c r="I6" s="437" t="str">
        <f t="array" ref="I6">IFERROR(INDEX('EE BS BSMS'!$H$7:$J$116,SMALL(IF(('EE BS BSMS'!$H$7:$H$116=G6)*((ROW('EE BS BSMS'!$H$7:$H$116)&lt;101)+(ROW('EE BS BSMS'!$H$7:$H$116)&gt;103)),ROW('EE BS BSMS'!$H$7:$H$116)-6),H6),3),"")</f>
        <v>Circuits I</v>
      </c>
    </row>
    <row r="7" spans="1:9">
      <c r="A7" s="647"/>
      <c r="B7" s="430" t="str">
        <f t="shared" si="0"/>
        <v>2009-1</v>
      </c>
      <c r="C7" s="431">
        <v>6</v>
      </c>
      <c r="D7" s="437" t="str">
        <f t="array" ref="D7">IFERROR(INDEX('EE BS BSMS'!$A$7:$C$116,SMALL(IF(('EE BS BSMS'!$A$7:$A$116=B7)*((ROW('EE BS BSMS'!$A$7:$A$116)&lt;101)+(ROW('EE BS BSMS'!$A$7:$A$116)&gt;103)),ROW('EE BS BSMS'!$A$7:$A$116)-6),C7),3),"")</f>
        <v/>
      </c>
      <c r="F7" s="648"/>
      <c r="G7" s="430">
        <f t="shared" si="1"/>
        <v>2131</v>
      </c>
      <c r="H7" s="431">
        <v>6</v>
      </c>
      <c r="I7" s="437" t="str">
        <f t="array" ref="I7">IFERROR(INDEX('EE BS BSMS'!$H$7:$J$116,SMALL(IF(('EE BS BSMS'!$H$7:$H$116=G7)*((ROW('EE BS BSMS'!$H$7:$H$116)&lt;101)+(ROW('EE BS BSMS'!$H$7:$H$116)&gt;103)),ROW('EE BS BSMS'!$H$7:$H$116)-6),H7),3),"")</f>
        <v>Co-Op  Preparation Course</v>
      </c>
    </row>
    <row r="8" spans="1:9">
      <c r="A8" s="647"/>
      <c r="D8" s="437" t="str">
        <f>IF(COUNTIF('EE BS BSMS'!$A$7:$C$116,B7)&gt;6,"Note: other courses not shown!","")</f>
        <v/>
      </c>
      <c r="F8" s="648"/>
      <c r="I8" s="439" t="str">
        <f>IF(COUNTIF('EE BS BSMS'!$H$7:$J$116,G7)&gt;6,"Note: other courses not shown!","")</f>
        <v>Note: other courses not shown!</v>
      </c>
    </row>
    <row r="10" spans="1:9">
      <c r="A10" s="647" t="s">
        <v>50</v>
      </c>
      <c r="B10" s="430" t="str">
        <f>A10</f>
        <v>2009-2</v>
      </c>
      <c r="C10" s="431">
        <v>1</v>
      </c>
      <c r="D10" s="437" t="str">
        <f t="array" ref="D10">IFERROR(INDEX('EE BS BSMS'!$A$7:$C$116,SMALL(IF(('EE BS BSMS'!$A$7:$A$116=B10)*((ROW('EE BS BSMS'!$A$7:$A$116)&lt;101)+(ROW('EE BS BSMS'!$A$7:$A$116)&gt;103)),ROW('EE BS BSMS'!$A$7:$A$116)-6),C10),3),"")</f>
        <v/>
      </c>
      <c r="F10" s="649">
        <v>2135</v>
      </c>
      <c r="G10" s="430">
        <f>F10</f>
        <v>2135</v>
      </c>
      <c r="H10" s="431">
        <v>1</v>
      </c>
      <c r="I10" s="437" t="str">
        <f t="array" ref="I10">IFERROR(INDEX('EE BS BSMS'!$H$7:$J$116,SMALL(IF(('EE BS BSMS'!$H$7:$H$116=G10)*((ROW('EE BS BSMS'!$H$7:$H$116)&lt;101)+(ROW('EE BS BSMS'!$H$7:$H$116)&gt;103)),ROW('EE BS BSMS'!$H$7:$H$116)-6),H10),3),"")</f>
        <v>Complex Variables</v>
      </c>
    </row>
    <row r="11" spans="1:9">
      <c r="A11" s="647"/>
      <c r="B11" s="430" t="str">
        <f>B10</f>
        <v>2009-2</v>
      </c>
      <c r="C11" s="431">
        <v>2</v>
      </c>
      <c r="D11" s="437" t="str">
        <f t="array" ref="D11">IFERROR(INDEX('EE BS BSMS'!$A$7:$C$116,SMALL(IF(('EE BS BSMS'!$A$7:$A$116=B11)*((ROW('EE BS BSMS'!$A$7:$A$116)&lt;101)+(ROW('EE BS BSMS'!$A$7:$A$116)&gt;103)),ROW('EE BS BSMS'!$A$7:$A$116)-6),C11),3),"")</f>
        <v/>
      </c>
      <c r="F11" s="649"/>
      <c r="G11" s="430">
        <f>G10</f>
        <v>2135</v>
      </c>
      <c r="H11" s="431">
        <v>2</v>
      </c>
      <c r="I11" s="437" t="str">
        <f t="array" ref="I11">IFERROR(INDEX('EE BS BSMS'!$H$7:$J$116,SMALL(IF(('EE BS BSMS'!$H$7:$H$116=G11)*((ROW('EE BS BSMS'!$H$7:$H$116)&lt;101)+(ROW('EE BS BSMS'!$H$7:$H$116)&gt;103)),ROW('EE BS BSMS'!$H$7:$H$116)-6),H11),3),"")</f>
        <v>University Arts &amp; Sciences Immersion</v>
      </c>
    </row>
    <row r="12" spans="1:9">
      <c r="A12" s="647"/>
      <c r="B12" s="430" t="str">
        <f t="shared" ref="B12:B15" si="2">B11</f>
        <v>2009-2</v>
      </c>
      <c r="C12" s="431">
        <v>3</v>
      </c>
      <c r="D12" s="437" t="str">
        <f t="array" ref="D12">IFERROR(INDEX('EE BS BSMS'!$A$7:$C$116,SMALL(IF(('EE BS BSMS'!$A$7:$A$116=B12)*((ROW('EE BS BSMS'!$A$7:$A$116)&lt;101)+(ROW('EE BS BSMS'!$A$7:$A$116)&gt;103)),ROW('EE BS BSMS'!$A$7:$A$116)-6),C12),3),"")</f>
        <v/>
      </c>
      <c r="F12" s="649"/>
      <c r="G12" s="430">
        <f t="shared" ref="G12:G15" si="3">G11</f>
        <v>2135</v>
      </c>
      <c r="H12" s="431">
        <v>3</v>
      </c>
      <c r="I12" s="437" t="str">
        <f t="array" ref="I12">IFERROR(INDEX('EE BS BSMS'!$H$7:$J$116,SMALL(IF(('EE BS BSMS'!$H$7:$H$116=G12)*((ROW('EE BS BSMS'!$H$7:$H$116)&lt;101)+(ROW('EE BS BSMS'!$H$7:$H$116)&gt;103)),ROW('EE BS BSMS'!$H$7:$H$116)-6),H12),3),"")</f>
        <v>Adv. Programming (Computer/Robotics)</v>
      </c>
    </row>
    <row r="13" spans="1:9">
      <c r="A13" s="647"/>
      <c r="B13" s="430" t="str">
        <f t="shared" si="2"/>
        <v>2009-2</v>
      </c>
      <c r="C13" s="431">
        <v>4</v>
      </c>
      <c r="D13" s="437" t="str">
        <f t="array" ref="D13">IFERROR(INDEX('EE BS BSMS'!$A$7:$C$116,SMALL(IF(('EE BS BSMS'!$A$7:$A$116=B13)*((ROW('EE BS BSMS'!$A$7:$A$116)&lt;101)+(ROW('EE BS BSMS'!$A$7:$A$116)&gt;103)),ROW('EE BS BSMS'!$A$7:$A$116)-6),C13),3),"")</f>
        <v/>
      </c>
      <c r="F13" s="649"/>
      <c r="G13" s="430">
        <f t="shared" si="3"/>
        <v>2135</v>
      </c>
      <c r="H13" s="431">
        <v>4</v>
      </c>
      <c r="I13" s="437" t="str">
        <f t="array" ref="I13">IFERROR(INDEX('EE BS BSMS'!$H$7:$J$116,SMALL(IF(('EE BS BSMS'!$H$7:$H$116=G13)*((ROW('EE BS BSMS'!$H$7:$H$116)&lt;101)+(ROW('EE BS BSMS'!$H$7:$H$116)&gt;103)),ROW('EE BS BSMS'!$H$7:$H$116)-6),H13),3),"")</f>
        <v>Semiconductor Devices</v>
      </c>
    </row>
    <row r="14" spans="1:9">
      <c r="A14" s="647"/>
      <c r="B14" s="430" t="str">
        <f t="shared" si="2"/>
        <v>2009-2</v>
      </c>
      <c r="C14" s="431">
        <v>5</v>
      </c>
      <c r="D14" s="437" t="str">
        <f t="array" ref="D14">IFERROR(INDEX('EE BS BSMS'!$A$7:$C$116,SMALL(IF(('EE BS BSMS'!$A$7:$A$116=B14)*((ROW('EE BS BSMS'!$A$7:$A$116)&lt;101)+(ROW('EE BS BSMS'!$A$7:$A$116)&gt;103)),ROW('EE BS BSMS'!$A$7:$A$116)-6),C14),3),"")</f>
        <v/>
      </c>
      <c r="F14" s="649"/>
      <c r="G14" s="430">
        <f t="shared" si="3"/>
        <v>2135</v>
      </c>
      <c r="H14" s="431">
        <v>5</v>
      </c>
      <c r="I14" s="437" t="str">
        <f t="array" ref="I14">IFERROR(INDEX('EE BS BSMS'!$H$7:$J$116,SMALL(IF(('EE BS BSMS'!$H$7:$H$116=G14)*((ROW('EE BS BSMS'!$H$7:$H$116)&lt;101)+(ROW('EE BS BSMS'!$H$7:$H$116)&gt;103)),ROW('EE BS BSMS'!$H$7:$H$116)-6),H14),3),"")</f>
        <v>Circuits II</v>
      </c>
    </row>
    <row r="15" spans="1:9">
      <c r="A15" s="647"/>
      <c r="B15" s="430" t="str">
        <f t="shared" si="2"/>
        <v>2009-2</v>
      </c>
      <c r="C15" s="431">
        <v>6</v>
      </c>
      <c r="D15" s="437" t="str">
        <f t="array" ref="D15">IFERROR(INDEX('EE BS BSMS'!$A$7:$C$116,SMALL(IF(('EE BS BSMS'!$A$7:$A$116=B15)*((ROW('EE BS BSMS'!$A$7:$A$116)&lt;101)+(ROW('EE BS BSMS'!$A$7:$A$116)&gt;103)),ROW('EE BS BSMS'!$A$7:$A$116)-6),C15),3),"")</f>
        <v/>
      </c>
      <c r="F15" s="649"/>
      <c r="G15" s="430">
        <f t="shared" si="3"/>
        <v>2135</v>
      </c>
      <c r="H15" s="431">
        <v>6</v>
      </c>
      <c r="I15" s="437" t="str">
        <f t="array" ref="I15">IFERROR(INDEX('EE BS BSMS'!$H$7:$J$116,SMALL(IF(('EE BS BSMS'!$H$7:$H$116=G15)*((ROW('EE BS BSMS'!$H$7:$H$116)&lt;101)+(ROW('EE BS BSMS'!$H$7:$H$116)&gt;103)),ROW('EE BS BSMS'!$H$7:$H$116)-6),H15),3),"")</f>
        <v/>
      </c>
    </row>
    <row r="16" spans="1:9">
      <c r="A16" s="647"/>
      <c r="D16" s="437" t="str">
        <f>IF(COUNTIF('EE BS BSMS'!$A$7:$C$116,B15)&gt;6,"Note: other courses not shown!","")</f>
        <v/>
      </c>
      <c r="F16" s="649"/>
      <c r="I16" s="439" t="str">
        <f>IF(COUNTIF('EE BS BSMS'!$H$7:$J$116,G15)&gt;6,"Note: other courses not shown!","")</f>
        <v/>
      </c>
    </row>
    <row r="18" spans="1:9">
      <c r="A18" s="647" t="s">
        <v>51</v>
      </c>
      <c r="B18" s="430" t="str">
        <f>A18</f>
        <v>2009-3</v>
      </c>
      <c r="C18" s="431">
        <v>1</v>
      </c>
      <c r="D18" s="437" t="str">
        <f t="array" ref="D18">IFERROR(INDEX('EE BS BSMS'!$A$7:$C$116,SMALL(IF(('EE BS BSMS'!$A$7:$A$116=B18)*((ROW('EE BS BSMS'!$A$7:$A$116)&lt;101)+(ROW('EE BS BSMS'!$A$7:$A$116)&gt;103)),ROW('EE BS BSMS'!$A$7:$A$116)-6),C18),3),"")</f>
        <v/>
      </c>
      <c r="F18" s="653">
        <v>2138</v>
      </c>
      <c r="G18" s="430">
        <f>F18</f>
        <v>2138</v>
      </c>
      <c r="H18" s="431">
        <v>1</v>
      </c>
      <c r="I18" s="437" t="str">
        <f t="array" ref="I18">IFERROR(INDEX('EE BS BSMS'!$H$7:$J$116,SMALL(IF(('EE BS BSMS'!$H$7:$H$116=G18)*((ROW('EE BS BSMS'!$H$7:$H$116)&lt;101)+(ROW('EE BS BSMS'!$H$7:$H$116)&gt;103)),ROW('EE BS BSMS'!$H$7:$H$116)-6),H18),3),"")</f>
        <v>Summer Co-Op</v>
      </c>
    </row>
    <row r="19" spans="1:9">
      <c r="A19" s="647"/>
      <c r="B19" s="430" t="str">
        <f>B18</f>
        <v>2009-3</v>
      </c>
      <c r="C19" s="431">
        <v>2</v>
      </c>
      <c r="D19" s="437" t="str">
        <f t="array" ref="D19">IFERROR(INDEX('EE BS BSMS'!$A$7:$C$116,SMALL(IF(('EE BS BSMS'!$A$7:$A$116=B19)*((ROW('EE BS BSMS'!$A$7:$A$116)&lt;101)+(ROW('EE BS BSMS'!$A$7:$A$116)&gt;103)),ROW('EE BS BSMS'!$A$7:$A$116)-6),C19),3),"")</f>
        <v/>
      </c>
      <c r="F19" s="653"/>
      <c r="G19" s="430">
        <f>G18</f>
        <v>2138</v>
      </c>
      <c r="H19" s="431">
        <v>2</v>
      </c>
      <c r="I19" s="437" t="str">
        <f t="array" ref="I19">IFERROR(INDEX('EE BS BSMS'!$H$7:$J$116,SMALL(IF(('EE BS BSMS'!$H$7:$H$116=G19)*((ROW('EE BS BSMS'!$H$7:$H$116)&lt;101)+(ROW('EE BS BSMS'!$H$7:$H$116)&gt;103)),ROW('EE BS BSMS'!$H$7:$H$116)-6),H19),3),"")</f>
        <v/>
      </c>
    </row>
    <row r="20" spans="1:9">
      <c r="A20" s="647"/>
      <c r="B20" s="430" t="str">
        <f t="shared" ref="B20:B23" si="4">B19</f>
        <v>2009-3</v>
      </c>
      <c r="C20" s="431">
        <v>3</v>
      </c>
      <c r="D20" s="437" t="str">
        <f t="array" ref="D20">IFERROR(INDEX('EE BS BSMS'!$A$7:$C$116,SMALL(IF(('EE BS BSMS'!$A$7:$A$116=B20)*((ROW('EE BS BSMS'!$A$7:$A$116)&lt;101)+(ROW('EE BS BSMS'!$A$7:$A$116)&gt;103)),ROW('EE BS BSMS'!$A$7:$A$116)-6),C20),3),"")</f>
        <v/>
      </c>
      <c r="F20" s="653"/>
      <c r="G20" s="430">
        <f t="shared" ref="G20:G23" si="5">G19</f>
        <v>2138</v>
      </c>
      <c r="H20" s="431">
        <v>3</v>
      </c>
      <c r="I20" s="437" t="str">
        <f t="array" ref="I20">IFERROR(INDEX('EE BS BSMS'!$H$7:$J$116,SMALL(IF(('EE BS BSMS'!$H$7:$H$116=G20)*((ROW('EE BS BSMS'!$H$7:$H$116)&lt;101)+(ROW('EE BS BSMS'!$H$7:$H$116)&gt;103)),ROW('EE BS BSMS'!$H$7:$H$116)-6),H20),3),"")</f>
        <v/>
      </c>
    </row>
    <row r="21" spans="1:9">
      <c r="A21" s="647"/>
      <c r="B21" s="430" t="str">
        <f t="shared" si="4"/>
        <v>2009-3</v>
      </c>
      <c r="C21" s="431">
        <v>4</v>
      </c>
      <c r="D21" s="437" t="str">
        <f t="array" ref="D21">IFERROR(INDEX('EE BS BSMS'!$A$7:$C$116,SMALL(IF(('EE BS BSMS'!$A$7:$A$116=B21)*((ROW('EE BS BSMS'!$A$7:$A$116)&lt;101)+(ROW('EE BS BSMS'!$A$7:$A$116)&gt;103)),ROW('EE BS BSMS'!$A$7:$A$116)-6),C21),3),"")</f>
        <v/>
      </c>
      <c r="F21" s="653"/>
      <c r="G21" s="430">
        <f t="shared" si="5"/>
        <v>2138</v>
      </c>
      <c r="H21" s="431">
        <v>4</v>
      </c>
      <c r="I21" s="437" t="str">
        <f t="array" ref="I21">IFERROR(INDEX('EE BS BSMS'!$H$7:$J$116,SMALL(IF(('EE BS BSMS'!$H$7:$H$116=G21)*((ROW('EE BS BSMS'!$H$7:$H$116)&lt;101)+(ROW('EE BS BSMS'!$H$7:$H$116)&gt;103)),ROW('EE BS BSMS'!$H$7:$H$116)-6),H21),3),"")</f>
        <v/>
      </c>
    </row>
    <row r="22" spans="1:9">
      <c r="A22" s="647"/>
      <c r="B22" s="430" t="str">
        <f t="shared" si="4"/>
        <v>2009-3</v>
      </c>
      <c r="C22" s="431">
        <v>5</v>
      </c>
      <c r="D22" s="437" t="str">
        <f t="array" ref="D22">IFERROR(INDEX('EE BS BSMS'!$A$7:$C$116,SMALL(IF(('EE BS BSMS'!$A$7:$A$116=B22)*((ROW('EE BS BSMS'!$A$7:$A$116)&lt;101)+(ROW('EE BS BSMS'!$A$7:$A$116)&gt;103)),ROW('EE BS BSMS'!$A$7:$A$116)-6),C22),3),"")</f>
        <v/>
      </c>
      <c r="F22" s="653"/>
      <c r="G22" s="430">
        <f t="shared" si="5"/>
        <v>2138</v>
      </c>
      <c r="H22" s="431">
        <v>5</v>
      </c>
      <c r="I22" s="437" t="str">
        <f t="array" ref="I22">IFERROR(INDEX('EE BS BSMS'!$H$7:$J$116,SMALL(IF(('EE BS BSMS'!$H$7:$H$116=G22)*((ROW('EE BS BSMS'!$H$7:$H$116)&lt;101)+(ROW('EE BS BSMS'!$H$7:$H$116)&gt;103)),ROW('EE BS BSMS'!$H$7:$H$116)-6),H22),3),"")</f>
        <v/>
      </c>
    </row>
    <row r="23" spans="1:9">
      <c r="A23" s="647"/>
      <c r="B23" s="430" t="str">
        <f t="shared" si="4"/>
        <v>2009-3</v>
      </c>
      <c r="C23" s="431">
        <v>6</v>
      </c>
      <c r="D23" s="437" t="str">
        <f t="array" ref="D23">IFERROR(INDEX('EE BS BSMS'!$A$7:$C$116,SMALL(IF(('EE BS BSMS'!$A$7:$A$116=B23)*((ROW('EE BS BSMS'!$A$7:$A$116)&lt;101)+(ROW('EE BS BSMS'!$A$7:$A$116)&gt;103)),ROW('EE BS BSMS'!$A$7:$A$116)-6),C23),3),"")</f>
        <v/>
      </c>
      <c r="F23" s="653"/>
      <c r="G23" s="430">
        <f t="shared" si="5"/>
        <v>2138</v>
      </c>
      <c r="H23" s="431">
        <v>6</v>
      </c>
      <c r="I23" s="437" t="str">
        <f t="array" ref="I23">IFERROR(INDEX('EE BS BSMS'!$H$7:$J$116,SMALL(IF(('EE BS BSMS'!$H$7:$H$116=G23)*((ROW('EE BS BSMS'!$H$7:$H$116)&lt;101)+(ROW('EE BS BSMS'!$H$7:$H$116)&gt;103)),ROW('EE BS BSMS'!$H$7:$H$116)-6),H23),3),"")</f>
        <v/>
      </c>
    </row>
    <row r="24" spans="1:9">
      <c r="A24" s="647"/>
      <c r="D24" s="437" t="str">
        <f>IF(COUNTIF('EE BS BSMS'!$A$7:$C$116,B23)&gt;6,"Note: other courses not shown!","")</f>
        <v/>
      </c>
      <c r="F24" s="653"/>
      <c r="I24" s="439" t="str">
        <f>IF(COUNTIF('EE BS BSMS'!$H$7:$J$116,G23)&gt;6,"Note: other courses not shown!","")</f>
        <v/>
      </c>
    </row>
    <row r="26" spans="1:9">
      <c r="A26" s="647" t="s">
        <v>52</v>
      </c>
      <c r="B26" s="430" t="str">
        <f>A26</f>
        <v>2009-4</v>
      </c>
      <c r="C26" s="431">
        <v>1</v>
      </c>
      <c r="D26" s="437" t="str">
        <f t="array" ref="D26">IFERROR(INDEX('EE BS BSMS'!$A$7:$C$116,SMALL(IF(('EE BS BSMS'!$A$7:$A$116=B26)*((ROW('EE BS BSMS'!$A$7:$A$116)&lt;101)+(ROW('EE BS BSMS'!$A$7:$A$116)&gt;103)),ROW('EE BS BSMS'!$A$7:$A$116)-6),C26),3),"")</f>
        <v/>
      </c>
      <c r="F26" s="651">
        <v>2141</v>
      </c>
      <c r="G26" s="430">
        <f>F26</f>
        <v>2141</v>
      </c>
      <c r="H26" s="431">
        <v>1</v>
      </c>
      <c r="I26" s="437" t="str">
        <f t="array" ref="I26">IFERROR(INDEX('EE BS BSMS'!$H$7:$J$116,SMALL(IF(('EE BS BSMS'!$H$7:$H$116=G26)*((ROW('EE BS BSMS'!$H$7:$H$116)&lt;101)+(ROW('EE BS BSMS'!$H$7:$H$116)&gt;103)),ROW('EE BS BSMS'!$H$7:$H$116)-6),H26),3),"")</f>
        <v>Embedded Systems Design</v>
      </c>
    </row>
    <row r="27" spans="1:9">
      <c r="A27" s="647"/>
      <c r="B27" s="430" t="str">
        <f>B26</f>
        <v>2009-4</v>
      </c>
      <c r="C27" s="431">
        <v>2</v>
      </c>
      <c r="D27" s="437" t="str">
        <f t="array" ref="D27">IFERROR(INDEX('EE BS BSMS'!$A$7:$C$116,SMALL(IF(('EE BS BSMS'!$A$7:$A$116=B27)*((ROW('EE BS BSMS'!$A$7:$A$116)&lt;101)+(ROW('EE BS BSMS'!$A$7:$A$116)&gt;103)),ROW('EE BS BSMS'!$A$7:$A$116)-6),C27),3),"")</f>
        <v/>
      </c>
      <c r="F27" s="651"/>
      <c r="G27" s="430">
        <f>G26</f>
        <v>2141</v>
      </c>
      <c r="H27" s="431">
        <v>2</v>
      </c>
      <c r="I27" s="437" t="str">
        <f t="array" ref="I27">IFERROR(INDEX('EE BS BSMS'!$H$7:$J$116,SMALL(IF(('EE BS BSMS'!$H$7:$H$116=G27)*((ROW('EE BS BSMS'!$H$7:$H$116)&lt;101)+(ROW('EE BS BSMS'!$H$7:$H$116)&gt;103)),ROW('EE BS BSMS'!$H$7:$H$116)-6),H27),3),"")</f>
        <v>Linear Systems</v>
      </c>
    </row>
    <row r="28" spans="1:9">
      <c r="A28" s="647"/>
      <c r="B28" s="430" t="str">
        <f t="shared" ref="B28:B31" si="6">B27</f>
        <v>2009-4</v>
      </c>
      <c r="C28" s="431">
        <v>3</v>
      </c>
      <c r="D28" s="437" t="str">
        <f t="array" ref="D28">IFERROR(INDEX('EE BS BSMS'!$A$7:$C$116,SMALL(IF(('EE BS BSMS'!$A$7:$A$116=B28)*((ROW('EE BS BSMS'!$A$7:$A$116)&lt;101)+(ROW('EE BS BSMS'!$A$7:$A$116)&gt;103)),ROW('EE BS BSMS'!$A$7:$A$116)-6),C28),3),"")</f>
        <v/>
      </c>
      <c r="F28" s="651"/>
      <c r="G28" s="430">
        <f t="shared" ref="G28:G31" si="7">G27</f>
        <v>2141</v>
      </c>
      <c r="H28" s="431">
        <v>3</v>
      </c>
      <c r="I28" s="437" t="str">
        <f t="array" ref="I28">IFERROR(INDEX('EE BS BSMS'!$H$7:$J$116,SMALL(IF(('EE BS BSMS'!$H$7:$H$116=G28)*((ROW('EE BS BSMS'!$H$7:$H$116)&lt;101)+(ROW('EE BS BSMS'!$H$7:$H$116)&gt;103)),ROW('EE BS BSMS'!$H$7:$H$116)-6),H28),3),"")</f>
        <v>EM Fields &amp; Transmission Lines</v>
      </c>
    </row>
    <row r="29" spans="1:9">
      <c r="A29" s="647"/>
      <c r="B29" s="430" t="str">
        <f t="shared" si="6"/>
        <v>2009-4</v>
      </c>
      <c r="C29" s="431">
        <v>4</v>
      </c>
      <c r="D29" s="437" t="str">
        <f t="array" ref="D29">IFERROR(INDEX('EE BS BSMS'!$A$7:$C$116,SMALL(IF(('EE BS BSMS'!$A$7:$A$116=B29)*((ROW('EE BS BSMS'!$A$7:$A$116)&lt;101)+(ROW('EE BS BSMS'!$A$7:$A$116)&gt;103)),ROW('EE BS BSMS'!$A$7:$A$116)-6),C29),3),"")</f>
        <v/>
      </c>
      <c r="F29" s="651"/>
      <c r="G29" s="430">
        <f t="shared" si="7"/>
        <v>2141</v>
      </c>
      <c r="H29" s="431">
        <v>4</v>
      </c>
      <c r="I29" s="437" t="str">
        <f t="array" ref="I29">IFERROR(INDEX('EE BS BSMS'!$H$7:$J$116,SMALL(IF(('EE BS BSMS'!$H$7:$H$116=G29)*((ROW('EE BS BSMS'!$H$7:$H$116)&lt;101)+(ROW('EE BS BSMS'!$H$7:$H$116)&gt;103)),ROW('EE BS BSMS'!$H$7:$H$116)-6),H29),3),"")</f>
        <v>Electronics I</v>
      </c>
    </row>
    <row r="30" spans="1:9">
      <c r="A30" s="647"/>
      <c r="B30" s="430" t="str">
        <f t="shared" si="6"/>
        <v>2009-4</v>
      </c>
      <c r="C30" s="431">
        <v>5</v>
      </c>
      <c r="D30" s="437" t="str">
        <f t="array" ref="D30">IFERROR(INDEX('EE BS BSMS'!$A$7:$C$116,SMALL(IF(('EE BS BSMS'!$A$7:$A$116=B30)*((ROW('EE BS BSMS'!$A$7:$A$116)&lt;101)+(ROW('EE BS BSMS'!$A$7:$A$116)&gt;103)),ROW('EE BS BSMS'!$A$7:$A$116)-6),C30),3),"")</f>
        <v/>
      </c>
      <c r="F30" s="651"/>
      <c r="G30" s="430">
        <f t="shared" si="7"/>
        <v>2141</v>
      </c>
      <c r="H30" s="431">
        <v>5</v>
      </c>
      <c r="I30" s="437" t="str">
        <f t="array" ref="I30">IFERROR(INDEX('EE BS BSMS'!$H$7:$J$116,SMALL(IF(('EE BS BSMS'!$H$7:$H$116=G30)*((ROW('EE BS BSMS'!$H$7:$H$116)&lt;101)+(ROW('EE BS BSMS'!$H$7:$H$116)&gt;103)),ROW('EE BS BSMS'!$H$7:$H$116)-6),H30),3),"")</f>
        <v/>
      </c>
    </row>
    <row r="31" spans="1:9">
      <c r="A31" s="647"/>
      <c r="B31" s="430" t="str">
        <f t="shared" si="6"/>
        <v>2009-4</v>
      </c>
      <c r="C31" s="431">
        <v>6</v>
      </c>
      <c r="D31" s="437" t="str">
        <f t="array" ref="D31">IFERROR(INDEX('EE BS BSMS'!$A$7:$C$116,SMALL(IF(('EE BS BSMS'!$A$7:$A$116=B31)*((ROW('EE BS BSMS'!$A$7:$A$116)&lt;101)+(ROW('EE BS BSMS'!$A$7:$A$116)&gt;103)),ROW('EE BS BSMS'!$A$7:$A$116)-6),C31),3),"")</f>
        <v/>
      </c>
      <c r="F31" s="651"/>
      <c r="G31" s="430">
        <f t="shared" si="7"/>
        <v>2141</v>
      </c>
      <c r="H31" s="431">
        <v>6</v>
      </c>
      <c r="I31" s="437" t="str">
        <f t="array" ref="I31">IFERROR(INDEX('EE BS BSMS'!$H$7:$J$116,SMALL(IF(('EE BS BSMS'!$H$7:$H$116=G31)*((ROW('EE BS BSMS'!$H$7:$H$116)&lt;101)+(ROW('EE BS BSMS'!$H$7:$H$116)&gt;103)),ROW('EE BS BSMS'!$H$7:$H$116)-6),H31),3),"")</f>
        <v/>
      </c>
    </row>
    <row r="32" spans="1:9">
      <c r="A32" s="647"/>
      <c r="D32" s="437" t="str">
        <f>IF(COUNTIF('EE BS BSMS'!$A$7:$C$116,B31)&gt;6,"Note: other courses not shown!","")</f>
        <v/>
      </c>
      <c r="F32" s="651"/>
      <c r="I32" s="439" t="str">
        <f>IF(COUNTIF('EE BS BSMS'!$H$7:$J$116,G31)&gt;6,"Note: other courses not shown!","")</f>
        <v/>
      </c>
    </row>
    <row r="34" spans="1:9">
      <c r="A34" s="647" t="s">
        <v>53</v>
      </c>
      <c r="B34" s="430" t="str">
        <f>A34</f>
        <v>2010-1</v>
      </c>
      <c r="C34" s="431">
        <v>1</v>
      </c>
      <c r="D34" s="437" t="str">
        <f t="array" ref="D34">IFERROR(INDEX('EE BS BSMS'!$A$7:$C$116,SMALL(IF(('EE BS BSMS'!$A$7:$A$116=B34)*((ROW('EE BS BSMS'!$A$7:$A$116)&lt;101)+(ROW('EE BS BSMS'!$A$7:$A$116)&gt;103)),ROW('EE BS BSMS'!$A$7:$A$116)-6),C34),3),"")</f>
        <v/>
      </c>
      <c r="F34" s="643">
        <v>2145</v>
      </c>
      <c r="G34" s="430">
        <f>F34</f>
        <v>2145</v>
      </c>
      <c r="H34" s="431">
        <v>1</v>
      </c>
      <c r="I34" s="437" t="str">
        <f t="array" ref="I34">IFERROR(INDEX('EE BS BSMS'!$H$7:$J$116,SMALL(IF(('EE BS BSMS'!$H$7:$H$116=G34)*((ROW('EE BS BSMS'!$H$7:$H$116)&lt;101)+(ROW('EE BS BSMS'!$H$7:$H$116)&gt;103)),ROW('EE BS BSMS'!$H$7:$H$116)-6),H34),3),"")</f>
        <v>AY Co-Op</v>
      </c>
    </row>
    <row r="35" spans="1:9">
      <c r="A35" s="647"/>
      <c r="B35" s="430" t="str">
        <f>B34</f>
        <v>2010-1</v>
      </c>
      <c r="C35" s="431">
        <v>2</v>
      </c>
      <c r="D35" s="437" t="str">
        <f t="array" ref="D35">IFERROR(INDEX('EE BS BSMS'!$A$7:$C$116,SMALL(IF(('EE BS BSMS'!$A$7:$A$116=B35)*((ROW('EE BS BSMS'!$A$7:$A$116)&lt;101)+(ROW('EE BS BSMS'!$A$7:$A$116)&gt;103)),ROW('EE BS BSMS'!$A$7:$A$116)-6),C35),3),"")</f>
        <v/>
      </c>
      <c r="F35" s="643"/>
      <c r="G35" s="430">
        <f>G34</f>
        <v>2145</v>
      </c>
      <c r="H35" s="431">
        <v>2</v>
      </c>
      <c r="I35" s="437" t="str">
        <f t="array" ref="I35">IFERROR(INDEX('EE BS BSMS'!$H$7:$J$116,SMALL(IF(('EE BS BSMS'!$H$7:$H$116=G35)*((ROW('EE BS BSMS'!$H$7:$H$116)&lt;101)+(ROW('EE BS BSMS'!$H$7:$H$116)&gt;103)),ROW('EE BS BSMS'!$H$7:$H$116)-6),H35),3),"")</f>
        <v/>
      </c>
    </row>
    <row r="36" spans="1:9">
      <c r="A36" s="647"/>
      <c r="B36" s="430" t="str">
        <f t="shared" ref="B36:B39" si="8">B35</f>
        <v>2010-1</v>
      </c>
      <c r="C36" s="431">
        <v>3</v>
      </c>
      <c r="D36" s="437" t="str">
        <f t="array" ref="D36">IFERROR(INDEX('EE BS BSMS'!$A$7:$C$116,SMALL(IF(('EE BS BSMS'!$A$7:$A$116=B36)*((ROW('EE BS BSMS'!$A$7:$A$116)&lt;101)+(ROW('EE BS BSMS'!$A$7:$A$116)&gt;103)),ROW('EE BS BSMS'!$A$7:$A$116)-6),C36),3),"")</f>
        <v/>
      </c>
      <c r="F36" s="643"/>
      <c r="G36" s="430">
        <f t="shared" ref="G36:G39" si="9">G35</f>
        <v>2145</v>
      </c>
      <c r="H36" s="431">
        <v>3</v>
      </c>
      <c r="I36" s="437" t="str">
        <f t="array" ref="I36">IFERROR(INDEX('EE BS BSMS'!$H$7:$J$116,SMALL(IF(('EE BS BSMS'!$H$7:$H$116=G36)*((ROW('EE BS BSMS'!$H$7:$H$116)&lt;101)+(ROW('EE BS BSMS'!$H$7:$H$116)&gt;103)),ROW('EE BS BSMS'!$H$7:$H$116)-6),H36),3),"")</f>
        <v/>
      </c>
    </row>
    <row r="37" spans="1:9">
      <c r="A37" s="647"/>
      <c r="B37" s="430" t="str">
        <f t="shared" si="8"/>
        <v>2010-1</v>
      </c>
      <c r="C37" s="431">
        <v>4</v>
      </c>
      <c r="D37" s="437" t="str">
        <f t="array" ref="D37">IFERROR(INDEX('EE BS BSMS'!$A$7:$C$116,SMALL(IF(('EE BS BSMS'!$A$7:$A$116=B37)*((ROW('EE BS BSMS'!$A$7:$A$116)&lt;101)+(ROW('EE BS BSMS'!$A$7:$A$116)&gt;103)),ROW('EE BS BSMS'!$A$7:$A$116)-6),C37),3),"")</f>
        <v/>
      </c>
      <c r="F37" s="643"/>
      <c r="G37" s="430">
        <f t="shared" si="9"/>
        <v>2145</v>
      </c>
      <c r="H37" s="431">
        <v>4</v>
      </c>
      <c r="I37" s="437" t="str">
        <f t="array" ref="I37">IFERROR(INDEX('EE BS BSMS'!$H$7:$J$116,SMALL(IF(('EE BS BSMS'!$H$7:$H$116=G37)*((ROW('EE BS BSMS'!$H$7:$H$116)&lt;101)+(ROW('EE BS BSMS'!$H$7:$H$116)&gt;103)),ROW('EE BS BSMS'!$H$7:$H$116)-6),H37),3),"")</f>
        <v/>
      </c>
    </row>
    <row r="38" spans="1:9">
      <c r="A38" s="647"/>
      <c r="B38" s="430" t="str">
        <f t="shared" si="8"/>
        <v>2010-1</v>
      </c>
      <c r="C38" s="431">
        <v>5</v>
      </c>
      <c r="D38" s="437" t="str">
        <f t="array" ref="D38">IFERROR(INDEX('EE BS BSMS'!$A$7:$C$116,SMALL(IF(('EE BS BSMS'!$A$7:$A$116=B38)*((ROW('EE BS BSMS'!$A$7:$A$116)&lt;101)+(ROW('EE BS BSMS'!$A$7:$A$116)&gt;103)),ROW('EE BS BSMS'!$A$7:$A$116)-6),C38),3),"")</f>
        <v/>
      </c>
      <c r="F38" s="643"/>
      <c r="G38" s="430">
        <f t="shared" si="9"/>
        <v>2145</v>
      </c>
      <c r="H38" s="431">
        <v>5</v>
      </c>
      <c r="I38" s="437" t="str">
        <f t="array" ref="I38">IFERROR(INDEX('EE BS BSMS'!$H$7:$J$116,SMALL(IF(('EE BS BSMS'!$H$7:$H$116=G38)*((ROW('EE BS BSMS'!$H$7:$H$116)&lt;101)+(ROW('EE BS BSMS'!$H$7:$H$116)&gt;103)),ROW('EE BS BSMS'!$H$7:$H$116)-6),H38),3),"")</f>
        <v/>
      </c>
    </row>
    <row r="39" spans="1:9">
      <c r="A39" s="647"/>
      <c r="B39" s="430" t="str">
        <f t="shared" si="8"/>
        <v>2010-1</v>
      </c>
      <c r="C39" s="431">
        <v>6</v>
      </c>
      <c r="D39" s="437" t="str">
        <f t="array" ref="D39">IFERROR(INDEX('EE BS BSMS'!$A$7:$C$116,SMALL(IF(('EE BS BSMS'!$A$7:$A$116=B39)*((ROW('EE BS BSMS'!$A$7:$A$116)&lt;101)+(ROW('EE BS BSMS'!$A$7:$A$116)&gt;103)),ROW('EE BS BSMS'!$A$7:$A$116)-6),C39),3),"")</f>
        <v/>
      </c>
      <c r="F39" s="643"/>
      <c r="G39" s="430">
        <f t="shared" si="9"/>
        <v>2145</v>
      </c>
      <c r="H39" s="431">
        <v>6</v>
      </c>
      <c r="I39" s="437" t="str">
        <f t="array" ref="I39">IFERROR(INDEX('EE BS BSMS'!$H$7:$J$116,SMALL(IF(('EE BS BSMS'!$H$7:$H$116=G39)*((ROW('EE BS BSMS'!$H$7:$H$116)&lt;101)+(ROW('EE BS BSMS'!$H$7:$H$116)&gt;103)),ROW('EE BS BSMS'!$H$7:$H$116)-6),H39),3),"")</f>
        <v/>
      </c>
    </row>
    <row r="40" spans="1:9">
      <c r="A40" s="647"/>
      <c r="D40" s="437" t="str">
        <f>IF(COUNTIF('EE BS BSMS'!$A$7:$C$116,B39)&gt;6,"Note: other courses not shown!","")</f>
        <v/>
      </c>
      <c r="F40" s="643"/>
      <c r="I40" s="439" t="str">
        <f>IF(COUNTIF('EE BS BSMS'!$H$7:$J$116,G39)&gt;6,"Note: other courses not shown!","")</f>
        <v/>
      </c>
    </row>
    <row r="42" spans="1:9">
      <c r="A42" s="647" t="s">
        <v>54</v>
      </c>
      <c r="B42" s="430" t="str">
        <f>A42</f>
        <v>2010-2</v>
      </c>
      <c r="C42" s="431">
        <v>1</v>
      </c>
      <c r="D42" s="437" t="str">
        <f t="array" ref="D42">IFERROR(INDEX('EE BS BSMS'!$A$7:$C$116,SMALL(IF(('EE BS BSMS'!$A$7:$A$116=B42)*((ROW('EE BS BSMS'!$A$7:$A$116)&lt;101)+(ROW('EE BS BSMS'!$A$7:$A$116)&gt;103)),ROW('EE BS BSMS'!$A$7:$A$116)-6),C42),3),"")</f>
        <v/>
      </c>
      <c r="F42" s="644">
        <v>2148</v>
      </c>
      <c r="G42" s="430">
        <f>F42</f>
        <v>2148</v>
      </c>
      <c r="H42" s="431">
        <v>1</v>
      </c>
      <c r="I42" s="437" t="str">
        <f t="array" ref="I42">IFERROR(INDEX('EE BS BSMS'!$H$7:$J$116,SMALL(IF(('EE BS BSMS'!$H$7:$H$116=G42)*((ROW('EE BS BSMS'!$H$7:$H$116)&lt;101)+(ROW('EE BS BSMS'!$H$7:$H$116)&gt;103)),ROW('EE BS BSMS'!$H$7:$H$116)-6),H42),3),"")</f>
        <v>Summer Co-Op</v>
      </c>
    </row>
    <row r="43" spans="1:9">
      <c r="A43" s="647"/>
      <c r="B43" s="430" t="str">
        <f>B42</f>
        <v>2010-2</v>
      </c>
      <c r="C43" s="431">
        <v>2</v>
      </c>
      <c r="D43" s="437" t="str">
        <f t="array" ref="D43">IFERROR(INDEX('EE BS BSMS'!$A$7:$C$116,SMALL(IF(('EE BS BSMS'!$A$7:$A$116=B43)*((ROW('EE BS BSMS'!$A$7:$A$116)&lt;101)+(ROW('EE BS BSMS'!$A$7:$A$116)&gt;103)),ROW('EE BS BSMS'!$A$7:$A$116)-6),C43),3),"")</f>
        <v/>
      </c>
      <c r="F43" s="644"/>
      <c r="G43" s="430">
        <f>G42</f>
        <v>2148</v>
      </c>
      <c r="H43" s="431">
        <v>2</v>
      </c>
      <c r="I43" s="437" t="str">
        <f t="array" ref="I43">IFERROR(INDEX('EE BS BSMS'!$H$7:$J$116,SMALL(IF(('EE BS BSMS'!$H$7:$H$116=G43)*((ROW('EE BS BSMS'!$H$7:$H$116)&lt;101)+(ROW('EE BS BSMS'!$H$7:$H$116)&gt;103)),ROW('EE BS BSMS'!$H$7:$H$116)-6),H43),3),"")</f>
        <v/>
      </c>
    </row>
    <row r="44" spans="1:9">
      <c r="A44" s="647"/>
      <c r="B44" s="430" t="str">
        <f t="shared" ref="B44:B47" si="10">B43</f>
        <v>2010-2</v>
      </c>
      <c r="C44" s="431">
        <v>3</v>
      </c>
      <c r="D44" s="437" t="str">
        <f t="array" ref="D44">IFERROR(INDEX('EE BS BSMS'!$A$7:$C$116,SMALL(IF(('EE BS BSMS'!$A$7:$A$116=B44)*((ROW('EE BS BSMS'!$A$7:$A$116)&lt;101)+(ROW('EE BS BSMS'!$A$7:$A$116)&gt;103)),ROW('EE BS BSMS'!$A$7:$A$116)-6),C44),3),"")</f>
        <v/>
      </c>
      <c r="F44" s="644"/>
      <c r="G44" s="430">
        <f t="shared" ref="G44:G47" si="11">G43</f>
        <v>2148</v>
      </c>
      <c r="H44" s="431">
        <v>3</v>
      </c>
      <c r="I44" s="437" t="str">
        <f t="array" ref="I44">IFERROR(INDEX('EE BS BSMS'!$H$7:$J$116,SMALL(IF(('EE BS BSMS'!$H$7:$H$116=G44)*((ROW('EE BS BSMS'!$H$7:$H$116)&lt;101)+(ROW('EE BS BSMS'!$H$7:$H$116)&gt;103)),ROW('EE BS BSMS'!$H$7:$H$116)-6),H44),3),"")</f>
        <v/>
      </c>
    </row>
    <row r="45" spans="1:9">
      <c r="A45" s="647"/>
      <c r="B45" s="430" t="str">
        <f t="shared" si="10"/>
        <v>2010-2</v>
      </c>
      <c r="C45" s="431">
        <v>4</v>
      </c>
      <c r="D45" s="437" t="str">
        <f t="array" ref="D45">IFERROR(INDEX('EE BS BSMS'!$A$7:$C$116,SMALL(IF(('EE BS BSMS'!$A$7:$A$116=B45)*((ROW('EE BS BSMS'!$A$7:$A$116)&lt;101)+(ROW('EE BS BSMS'!$A$7:$A$116)&gt;103)),ROW('EE BS BSMS'!$A$7:$A$116)-6),C45),3),"")</f>
        <v/>
      </c>
      <c r="F45" s="644"/>
      <c r="G45" s="430">
        <f t="shared" si="11"/>
        <v>2148</v>
      </c>
      <c r="H45" s="431">
        <v>4</v>
      </c>
      <c r="I45" s="437" t="str">
        <f t="array" ref="I45">IFERROR(INDEX('EE BS BSMS'!$H$7:$J$116,SMALL(IF(('EE BS BSMS'!$H$7:$H$116=G45)*((ROW('EE BS BSMS'!$H$7:$H$116)&lt;101)+(ROW('EE BS BSMS'!$H$7:$H$116)&gt;103)),ROW('EE BS BSMS'!$H$7:$H$116)-6),H45),3),"")</f>
        <v/>
      </c>
    </row>
    <row r="46" spans="1:9">
      <c r="A46" s="647"/>
      <c r="B46" s="430" t="str">
        <f t="shared" si="10"/>
        <v>2010-2</v>
      </c>
      <c r="C46" s="431">
        <v>5</v>
      </c>
      <c r="D46" s="437" t="str">
        <f t="array" ref="D46">IFERROR(INDEX('EE BS BSMS'!$A$7:$C$116,SMALL(IF(('EE BS BSMS'!$A$7:$A$116=B46)*((ROW('EE BS BSMS'!$A$7:$A$116)&lt;101)+(ROW('EE BS BSMS'!$A$7:$A$116)&gt;103)),ROW('EE BS BSMS'!$A$7:$A$116)-6),C46),3),"")</f>
        <v/>
      </c>
      <c r="F46" s="644"/>
      <c r="G46" s="430">
        <f t="shared" si="11"/>
        <v>2148</v>
      </c>
      <c r="H46" s="431">
        <v>5</v>
      </c>
      <c r="I46" s="437" t="str">
        <f t="array" ref="I46">IFERROR(INDEX('EE BS BSMS'!$H$7:$J$116,SMALL(IF(('EE BS BSMS'!$H$7:$H$116=G46)*((ROW('EE BS BSMS'!$H$7:$H$116)&lt;101)+(ROW('EE BS BSMS'!$H$7:$H$116)&gt;103)),ROW('EE BS BSMS'!$H$7:$H$116)-6),H46),3),"")</f>
        <v/>
      </c>
    </row>
    <row r="47" spans="1:9">
      <c r="A47" s="647"/>
      <c r="B47" s="430" t="str">
        <f t="shared" si="10"/>
        <v>2010-2</v>
      </c>
      <c r="C47" s="431">
        <v>6</v>
      </c>
      <c r="D47" s="437" t="str">
        <f t="array" ref="D47">IFERROR(INDEX('EE BS BSMS'!$A$7:$C$116,SMALL(IF(('EE BS BSMS'!$A$7:$A$116=B47)*((ROW('EE BS BSMS'!$A$7:$A$116)&lt;101)+(ROW('EE BS BSMS'!$A$7:$A$116)&gt;103)),ROW('EE BS BSMS'!$A$7:$A$116)-6),C47),3),"")</f>
        <v/>
      </c>
      <c r="F47" s="644"/>
      <c r="G47" s="430">
        <f t="shared" si="11"/>
        <v>2148</v>
      </c>
      <c r="H47" s="431">
        <v>6</v>
      </c>
      <c r="I47" s="437" t="str">
        <f t="array" ref="I47">IFERROR(INDEX('EE BS BSMS'!$H$7:$J$116,SMALL(IF(('EE BS BSMS'!$H$7:$H$116=G47)*((ROW('EE BS BSMS'!$H$7:$H$116)&lt;101)+(ROW('EE BS BSMS'!$H$7:$H$116)&gt;103)),ROW('EE BS BSMS'!$H$7:$H$116)-6),H47),3),"")</f>
        <v/>
      </c>
    </row>
    <row r="48" spans="1:9">
      <c r="A48" s="647"/>
      <c r="D48" s="437" t="str">
        <f>IF(COUNTIF('EE BS BSMS'!$A$7:$C$116,B47)&gt;6,"Note: other courses not shown!","")</f>
        <v/>
      </c>
      <c r="F48" s="644"/>
      <c r="I48" s="439" t="str">
        <f>IF(COUNTIF('EE BS BSMS'!$H$7:$J$116,G47)&gt;6,"Note: other courses not shown!","")</f>
        <v/>
      </c>
    </row>
    <row r="50" spans="1:9">
      <c r="A50" s="647" t="s">
        <v>55</v>
      </c>
      <c r="B50" s="430" t="str">
        <f>A50</f>
        <v>2010-3</v>
      </c>
      <c r="C50" s="431">
        <v>1</v>
      </c>
      <c r="D50" s="437" t="str">
        <f t="array" ref="D50">IFERROR(INDEX('EE BS BSMS'!$A$7:$C$116,SMALL(IF(('EE BS BSMS'!$A$7:$A$116=B50)*((ROW('EE BS BSMS'!$A$7:$A$116)&lt;101)+(ROW('EE BS BSMS'!$A$7:$A$116)&gt;103)),ROW('EE BS BSMS'!$A$7:$A$116)-6),C50),3),"")</f>
        <v/>
      </c>
      <c r="F50" s="645">
        <v>2151</v>
      </c>
      <c r="G50" s="430">
        <f>F50</f>
        <v>2151</v>
      </c>
      <c r="H50" s="431">
        <v>1</v>
      </c>
      <c r="I50" s="437" t="str">
        <f t="array" ref="I50">IFERROR(INDEX('EE BS BSMS'!$H$7:$J$116,SMALL(IF(('EE BS BSMS'!$H$7:$H$116=G50)*((ROW('EE BS BSMS'!$H$7:$H$116)&lt;101)+(ROW('EE BS BSMS'!$H$7:$H$116)&gt;103)),ROW('EE BS BSMS'!$H$7:$H$116)-6),H50),3),"")</f>
        <v>Electronics II</v>
      </c>
    </row>
    <row r="51" spans="1:9">
      <c r="A51" s="647"/>
      <c r="B51" s="430" t="str">
        <f>B50</f>
        <v>2010-3</v>
      </c>
      <c r="C51" s="431">
        <v>2</v>
      </c>
      <c r="D51" s="437" t="str">
        <f t="array" ref="D51">IFERROR(INDEX('EE BS BSMS'!$A$7:$C$116,SMALL(IF(('EE BS BSMS'!$A$7:$A$116=B51)*((ROW('EE BS BSMS'!$A$7:$A$116)&lt;101)+(ROW('EE BS BSMS'!$A$7:$A$116)&gt;103)),ROW('EE BS BSMS'!$A$7:$A$116)-6),C51),3),"")</f>
        <v/>
      </c>
      <c r="F51" s="645"/>
      <c r="G51" s="430">
        <f>G50</f>
        <v>2151</v>
      </c>
      <c r="H51" s="431">
        <v>2</v>
      </c>
      <c r="I51" s="437" t="str">
        <f t="array" ref="I51">IFERROR(INDEX('EE BS BSMS'!$H$7:$J$116,SMALL(IF(('EE BS BSMS'!$H$7:$H$116=G51)*((ROW('EE BS BSMS'!$H$7:$H$116)&lt;101)+(ROW('EE BS BSMS'!$H$7:$H$116)&gt;103)),ROW('EE BS BSMS'!$H$7:$H$116)-6),H51),3),"")</f>
        <v>Control Systems Design</v>
      </c>
    </row>
    <row r="52" spans="1:9">
      <c r="A52" s="647"/>
      <c r="B52" s="430" t="str">
        <f t="shared" ref="B52:B55" si="12">B51</f>
        <v>2010-3</v>
      </c>
      <c r="C52" s="431">
        <v>3</v>
      </c>
      <c r="D52" s="437" t="str">
        <f t="array" ref="D52">IFERROR(INDEX('EE BS BSMS'!$A$7:$C$116,SMALL(IF(('EE BS BSMS'!$A$7:$A$116=B52)*((ROW('EE BS BSMS'!$A$7:$A$116)&lt;101)+(ROW('EE BS BSMS'!$A$7:$A$116)&gt;103)),ROW('EE BS BSMS'!$A$7:$A$116)-6),C52),3),"")</f>
        <v/>
      </c>
      <c r="F52" s="645"/>
      <c r="G52" s="430">
        <f t="shared" ref="G52:G55" si="13">G51</f>
        <v>2151</v>
      </c>
      <c r="H52" s="431">
        <v>3</v>
      </c>
      <c r="I52" s="437" t="str">
        <f t="array" ref="I52">IFERROR(INDEX('EE BS BSMS'!$H$7:$J$116,SMALL(IF(('EE BS BSMS'!$H$7:$H$116=G52)*((ROW('EE BS BSMS'!$H$7:$H$116)&lt;101)+(ROW('EE BS BSMS'!$H$7:$H$116)&gt;103)),ROW('EE BS BSMS'!$H$7:$H$116)-6),H52),3),"")</f>
        <v>Design of Digital Systems</v>
      </c>
    </row>
    <row r="53" spans="1:9">
      <c r="A53" s="647"/>
      <c r="B53" s="430" t="str">
        <f t="shared" si="12"/>
        <v>2010-3</v>
      </c>
      <c r="C53" s="431">
        <v>4</v>
      </c>
      <c r="D53" s="437" t="str">
        <f t="array" ref="D53">IFERROR(INDEX('EE BS BSMS'!$A$7:$C$116,SMALL(IF(('EE BS BSMS'!$A$7:$A$116=B53)*((ROW('EE BS BSMS'!$A$7:$A$116)&lt;101)+(ROW('EE BS BSMS'!$A$7:$A$116)&gt;103)),ROW('EE BS BSMS'!$A$7:$A$116)-6),C53),3),"")</f>
        <v/>
      </c>
      <c r="F53" s="645"/>
      <c r="G53" s="430">
        <f t="shared" si="13"/>
        <v>2151</v>
      </c>
      <c r="H53" s="431">
        <v>4</v>
      </c>
      <c r="I53" s="437" t="str">
        <f t="array" ref="I53">IFERROR(INDEX('EE BS BSMS'!$H$7:$J$116,SMALL(IF(('EE BS BSMS'!$H$7:$H$116=G53)*((ROW('EE BS BSMS'!$H$7:$H$116)&lt;101)+(ROW('EE BS BSMS'!$H$7:$H$116)&gt;103)),ROW('EE BS BSMS'!$H$7:$H$116)-6),H53),3),"")</f>
        <v>Design of Computer Systems</v>
      </c>
    </row>
    <row r="54" spans="1:9">
      <c r="A54" s="647"/>
      <c r="B54" s="430" t="str">
        <f t="shared" si="12"/>
        <v>2010-3</v>
      </c>
      <c r="C54" s="431">
        <v>5</v>
      </c>
      <c r="D54" s="437" t="str">
        <f t="array" ref="D54">IFERROR(INDEX('EE BS BSMS'!$A$7:$C$116,SMALL(IF(('EE BS BSMS'!$A$7:$A$116=B54)*((ROW('EE BS BSMS'!$A$7:$A$116)&lt;101)+(ROW('EE BS BSMS'!$A$7:$A$116)&gt;103)),ROW('EE BS BSMS'!$A$7:$A$116)-6),C54),3),"")</f>
        <v/>
      </c>
      <c r="F54" s="645"/>
      <c r="G54" s="430">
        <f t="shared" si="13"/>
        <v>2151</v>
      </c>
      <c r="H54" s="431">
        <v>5</v>
      </c>
      <c r="I54" s="437" t="str">
        <f t="array" ref="I54">IFERROR(INDEX('EE BS BSMS'!$H$7:$J$116,SMALL(IF(('EE BS BSMS'!$H$7:$H$116=G54)*((ROW('EE BS BSMS'!$H$7:$H$116)&lt;101)+(ROW('EE BS BSMS'!$H$7:$H$116)&gt;103)),ROW('EE BS BSMS'!$H$7:$H$116)-6),H54),3),"")</f>
        <v>Writing Exam</v>
      </c>
    </row>
    <row r="55" spans="1:9">
      <c r="A55" s="647"/>
      <c r="B55" s="430" t="str">
        <f t="shared" si="12"/>
        <v>2010-3</v>
      </c>
      <c r="C55" s="431">
        <v>6</v>
      </c>
      <c r="D55" s="437" t="str">
        <f t="array" ref="D55">IFERROR(INDEX('EE BS BSMS'!$A$7:$C$116,SMALL(IF(('EE BS BSMS'!$A$7:$A$116=B55)*((ROW('EE BS BSMS'!$A$7:$A$116)&lt;101)+(ROW('EE BS BSMS'!$A$7:$A$116)&gt;103)),ROW('EE BS BSMS'!$A$7:$A$116)-6),C55),3),"")</f>
        <v/>
      </c>
      <c r="F55" s="645"/>
      <c r="G55" s="430">
        <f t="shared" si="13"/>
        <v>2151</v>
      </c>
      <c r="H55" s="431">
        <v>6</v>
      </c>
      <c r="I55" s="437" t="str">
        <f t="array" ref="I55">IFERROR(INDEX('EE BS BSMS'!$H$7:$J$116,SMALL(IF(('EE BS BSMS'!$H$7:$H$116=G55)*((ROW('EE BS BSMS'!$H$7:$H$116)&lt;101)+(ROW('EE BS BSMS'!$H$7:$H$116)&gt;103)),ROW('EE BS BSMS'!$H$7:$H$116)-6),H55),3),"")</f>
        <v/>
      </c>
    </row>
    <row r="56" spans="1:9">
      <c r="A56" s="647"/>
      <c r="D56" s="437" t="str">
        <f>IF(COUNTIF('EE BS BSMS'!$A$7:$C$116,B55)&gt;6,"Note: other courses not shown!","")</f>
        <v/>
      </c>
      <c r="F56" s="645"/>
      <c r="I56" s="439" t="str">
        <f>IF(COUNTIF('EE BS BSMS'!$H$7:$J$116,G55)&gt;6,"Note: other courses not shown!","")</f>
        <v/>
      </c>
    </row>
    <row r="58" spans="1:9">
      <c r="A58" s="647" t="s">
        <v>56</v>
      </c>
      <c r="B58" s="430" t="str">
        <f>A58</f>
        <v>2010-4</v>
      </c>
      <c r="C58" s="431">
        <v>1</v>
      </c>
      <c r="D58" s="437" t="str">
        <f t="array" ref="D58">IFERROR(INDEX('EE BS BSMS'!$A$7:$C$116,SMALL(IF(('EE BS BSMS'!$A$7:$A$116=B58)*((ROW('EE BS BSMS'!$A$7:$A$116)&lt;101)+(ROW('EE BS BSMS'!$A$7:$A$116)&gt;103)),ROW('EE BS BSMS'!$A$7:$A$116)-6),C58),3),"")</f>
        <v/>
      </c>
      <c r="F58" s="654">
        <v>2155</v>
      </c>
      <c r="G58" s="430">
        <f>F58</f>
        <v>2155</v>
      </c>
      <c r="H58" s="431">
        <v>1</v>
      </c>
      <c r="I58" s="437" t="str">
        <f t="array" ref="I58">IFERROR(INDEX('EE BS BSMS'!$H$7:$J$116,SMALL(IF(('EE BS BSMS'!$H$7:$H$116=G58)*((ROW('EE BS BSMS'!$H$7:$H$116)&lt;101)+(ROW('EE BS BSMS'!$H$7:$H$116)&gt;103)),ROW('EE BS BSMS'!$H$7:$H$116)-6),H58),3),"")</f>
        <v>Mechatronics</v>
      </c>
    </row>
    <row r="59" spans="1:9">
      <c r="A59" s="647"/>
      <c r="B59" s="430" t="str">
        <f>B58</f>
        <v>2010-4</v>
      </c>
      <c r="C59" s="431">
        <v>2</v>
      </c>
      <c r="D59" s="437" t="str">
        <f t="array" ref="D59">IFERROR(INDEX('EE BS BSMS'!$A$7:$C$116,SMALL(IF(('EE BS BSMS'!$A$7:$A$116=B59)*((ROW('EE BS BSMS'!$A$7:$A$116)&lt;101)+(ROW('EE BS BSMS'!$A$7:$A$116)&gt;103)),ROW('EE BS BSMS'!$A$7:$A$116)-6),C59),3),"")</f>
        <v/>
      </c>
      <c r="F59" s="654"/>
      <c r="G59" s="430">
        <f>G58</f>
        <v>2155</v>
      </c>
      <c r="H59" s="431">
        <v>2</v>
      </c>
      <c r="I59" s="437" t="str">
        <f t="array" ref="I59">IFERROR(INDEX('EE BS BSMS'!$H$7:$J$116,SMALL(IF(('EE BS BSMS'!$H$7:$H$116=G59)*((ROW('EE BS BSMS'!$H$7:$H$116)&lt;101)+(ROW('EE BS BSMS'!$H$7:$H$116)&gt;103)),ROW('EE BS BSMS'!$H$7:$H$116)-6),H59),3),"")</f>
        <v>Communication Systems</v>
      </c>
    </row>
    <row r="60" spans="1:9">
      <c r="A60" s="647"/>
      <c r="B60" s="430" t="str">
        <f t="shared" ref="B60:B63" si="14">B59</f>
        <v>2010-4</v>
      </c>
      <c r="C60" s="431">
        <v>3</v>
      </c>
      <c r="D60" s="437" t="str">
        <f t="array" ref="D60">IFERROR(INDEX('EE BS BSMS'!$A$7:$C$116,SMALL(IF(('EE BS BSMS'!$A$7:$A$116=B60)*((ROW('EE BS BSMS'!$A$7:$A$116)&lt;101)+(ROW('EE BS BSMS'!$A$7:$A$116)&gt;103)),ROW('EE BS BSMS'!$A$7:$A$116)-6),C60),3),"")</f>
        <v/>
      </c>
      <c r="F60" s="654"/>
      <c r="G60" s="430">
        <f t="shared" ref="G60:G63" si="15">G59</f>
        <v>2155</v>
      </c>
      <c r="H60" s="431">
        <v>3</v>
      </c>
      <c r="I60" s="437" t="str">
        <f t="array" ref="I60">IFERROR(INDEX('EE BS BSMS'!$H$7:$J$116,SMALL(IF(('EE BS BSMS'!$H$7:$H$116=G60)*((ROW('EE BS BSMS'!$H$7:$H$116)&lt;101)+(ROW('EE BS BSMS'!$H$7:$H$116)&gt;103)),ROW('EE BS BSMS'!$H$7:$H$116)-6),H60),3),"")</f>
        <v>Random Signals &amp; Noise</v>
      </c>
    </row>
    <row r="61" spans="1:9">
      <c r="A61" s="647"/>
      <c r="B61" s="430" t="str">
        <f t="shared" si="14"/>
        <v>2010-4</v>
      </c>
      <c r="C61" s="431">
        <v>4</v>
      </c>
      <c r="D61" s="437" t="str">
        <f t="array" ref="D61">IFERROR(INDEX('EE BS BSMS'!$A$7:$C$116,SMALL(IF(('EE BS BSMS'!$A$7:$A$116=B61)*((ROW('EE BS BSMS'!$A$7:$A$116)&lt;101)+(ROW('EE BS BSMS'!$A$7:$A$116)&gt;103)),ROW('EE BS BSMS'!$A$7:$A$116)-6),C61),3),"")</f>
        <v/>
      </c>
      <c r="F61" s="654"/>
      <c r="G61" s="430">
        <f t="shared" si="15"/>
        <v>2155</v>
      </c>
      <c r="H61" s="431">
        <v>4</v>
      </c>
      <c r="I61" s="437" t="str">
        <f t="array" ref="I61">IFERROR(INDEX('EE BS BSMS'!$H$7:$J$116,SMALL(IF(('EE BS BSMS'!$H$7:$H$116=G61)*((ROW('EE BS BSMS'!$H$7:$H$116)&lt;101)+(ROW('EE BS BSMS'!$H$7:$H$116)&gt;103)),ROW('EE BS BSMS'!$H$7:$H$116)-6),H61),3),"")</f>
        <v>Matrix Methods in EE</v>
      </c>
    </row>
    <row r="62" spans="1:9">
      <c r="A62" s="647"/>
      <c r="B62" s="430" t="str">
        <f t="shared" si="14"/>
        <v>2010-4</v>
      </c>
      <c r="C62" s="431">
        <v>5</v>
      </c>
      <c r="D62" s="437" t="str">
        <f t="array" ref="D62">IFERROR(INDEX('EE BS BSMS'!$A$7:$C$116,SMALL(IF(('EE BS BSMS'!$A$7:$A$116=B62)*((ROW('EE BS BSMS'!$A$7:$A$116)&lt;101)+(ROW('EE BS BSMS'!$A$7:$A$116)&gt;103)),ROW('EE BS BSMS'!$A$7:$A$116)-6),C62),3),"")</f>
        <v/>
      </c>
      <c r="F62" s="654"/>
      <c r="G62" s="430">
        <f t="shared" si="15"/>
        <v>2155</v>
      </c>
      <c r="H62" s="431">
        <v>5</v>
      </c>
      <c r="I62" s="437" t="str">
        <f t="array" ref="I62">IFERROR(INDEX('EE BS BSMS'!$H$7:$J$116,SMALL(IF(('EE BS BSMS'!$H$7:$H$116=G62)*((ROW('EE BS BSMS'!$H$7:$H$116)&lt;101)+(ROW('EE BS BSMS'!$H$7:$H$116)&gt;103)),ROW('EE BS BSMS'!$H$7:$H$116)-6),H62),3),"")</f>
        <v/>
      </c>
    </row>
    <row r="63" spans="1:9">
      <c r="A63" s="647"/>
      <c r="B63" s="430" t="str">
        <f t="shared" si="14"/>
        <v>2010-4</v>
      </c>
      <c r="C63" s="431">
        <v>6</v>
      </c>
      <c r="D63" s="437" t="str">
        <f t="array" ref="D63">IFERROR(INDEX('EE BS BSMS'!$A$7:$C$116,SMALL(IF(('EE BS BSMS'!$A$7:$A$116=B63)*((ROW('EE BS BSMS'!$A$7:$A$116)&lt;101)+(ROW('EE BS BSMS'!$A$7:$A$116)&gt;103)),ROW('EE BS BSMS'!$A$7:$A$116)-6),C63),3),"")</f>
        <v/>
      </c>
      <c r="F63" s="654"/>
      <c r="G63" s="430">
        <f t="shared" si="15"/>
        <v>2155</v>
      </c>
      <c r="H63" s="431">
        <v>6</v>
      </c>
      <c r="I63" s="437" t="str">
        <f t="array" ref="I63">IFERROR(INDEX('EE BS BSMS'!$H$7:$J$116,SMALL(IF(('EE BS BSMS'!$H$7:$H$116=G63)*((ROW('EE BS BSMS'!$H$7:$H$116)&lt;101)+(ROW('EE BS BSMS'!$H$7:$H$116)&gt;103)),ROW('EE BS BSMS'!$H$7:$H$116)-6),H63),3),"")</f>
        <v/>
      </c>
    </row>
    <row r="64" spans="1:9">
      <c r="A64" s="647"/>
      <c r="D64" s="437" t="str">
        <f>IF(COUNTIF('EE BS BSMS'!$A$7:$C$116,B63)&gt;6,"Note: other courses not shown!","")</f>
        <v/>
      </c>
      <c r="F64" s="654"/>
      <c r="I64" s="439" t="str">
        <f>IF(COUNTIF('EE BS BSMS'!$H$7:$J$116,G63)&gt;6,"Note: other courses not shown!","")</f>
        <v/>
      </c>
    </row>
    <row r="66" spans="1:9">
      <c r="A66" s="648" t="s">
        <v>57</v>
      </c>
      <c r="B66" s="430" t="str">
        <f>A66</f>
        <v>2011-1</v>
      </c>
      <c r="C66" s="431">
        <v>1</v>
      </c>
      <c r="D66" s="437" t="str">
        <f t="array" ref="D66">IFERROR(INDEX('EE BS BSMS'!$A$7:$C$116,SMALL(IF(('EE BS BSMS'!$A$7:$A$116=B66)*((ROW('EE BS BSMS'!$A$7:$A$116)&lt;101)+(ROW('EE BS BSMS'!$A$7:$A$116)&gt;103)),ROW('EE BS BSMS'!$A$7:$A$116)-6),C66),3),"")</f>
        <v/>
      </c>
      <c r="F66" s="655">
        <v>2158</v>
      </c>
      <c r="G66" s="430">
        <f>F66</f>
        <v>2158</v>
      </c>
      <c r="H66" s="431">
        <v>1</v>
      </c>
      <c r="I66" s="437" t="str">
        <f t="array" ref="I66">IFERROR(INDEX('EE BS BSMS'!$H$7:$J$116,SMALL(IF(('EE BS BSMS'!$H$7:$H$116=G66)*((ROW('EE BS BSMS'!$H$7:$H$116)&lt;101)+(ROW('EE BS BSMS'!$H$7:$H$116)&gt;103)),ROW('EE BS BSMS'!$H$7:$H$116)-6),H66),3),"")</f>
        <v>AY Co-Op</v>
      </c>
    </row>
    <row r="67" spans="1:9">
      <c r="A67" s="648"/>
      <c r="B67" s="430" t="str">
        <f>B66</f>
        <v>2011-1</v>
      </c>
      <c r="C67" s="431">
        <v>2</v>
      </c>
      <c r="D67" s="437" t="str">
        <f t="array" ref="D67">IFERROR(INDEX('EE BS BSMS'!$A$7:$C$116,SMALL(IF(('EE BS BSMS'!$A$7:$A$116=B67)*((ROW('EE BS BSMS'!$A$7:$A$116)&lt;101)+(ROW('EE BS BSMS'!$A$7:$A$116)&gt;103)),ROW('EE BS BSMS'!$A$7:$A$116)-6),C67),3),"")</f>
        <v/>
      </c>
      <c r="F67" s="655"/>
      <c r="G67" s="430">
        <f>G66</f>
        <v>2158</v>
      </c>
      <c r="H67" s="431">
        <v>2</v>
      </c>
      <c r="I67" s="437" t="str">
        <f t="array" ref="I67">IFERROR(INDEX('EE BS BSMS'!$H$7:$J$116,SMALL(IF(('EE BS BSMS'!$H$7:$H$116=G67)*((ROW('EE BS BSMS'!$H$7:$H$116)&lt;101)+(ROW('EE BS BSMS'!$H$7:$H$116)&gt;103)),ROW('EE BS BSMS'!$H$7:$H$116)-6),H67),3),"")</f>
        <v/>
      </c>
    </row>
    <row r="68" spans="1:9">
      <c r="A68" s="648"/>
      <c r="B68" s="430" t="str">
        <f t="shared" ref="B68:B71" si="16">B67</f>
        <v>2011-1</v>
      </c>
      <c r="C68" s="431">
        <v>3</v>
      </c>
      <c r="D68" s="437" t="str">
        <f t="array" ref="D68">IFERROR(INDEX('EE BS BSMS'!$A$7:$C$116,SMALL(IF(('EE BS BSMS'!$A$7:$A$116=B68)*((ROW('EE BS BSMS'!$A$7:$A$116)&lt;101)+(ROW('EE BS BSMS'!$A$7:$A$116)&gt;103)),ROW('EE BS BSMS'!$A$7:$A$116)-6),C68),3),"")</f>
        <v/>
      </c>
      <c r="F68" s="655"/>
      <c r="G68" s="430">
        <f t="shared" ref="G68:G71" si="17">G67</f>
        <v>2158</v>
      </c>
      <c r="H68" s="431">
        <v>3</v>
      </c>
      <c r="I68" s="437" t="str">
        <f t="array" ref="I68">IFERROR(INDEX('EE BS BSMS'!$H$7:$J$116,SMALL(IF(('EE BS BSMS'!$H$7:$H$116=G68)*((ROW('EE BS BSMS'!$H$7:$H$116)&lt;101)+(ROW('EE BS BSMS'!$H$7:$H$116)&gt;103)),ROW('EE BS BSMS'!$H$7:$H$116)-6),H68),3),"")</f>
        <v/>
      </c>
    </row>
    <row r="69" spans="1:9">
      <c r="A69" s="648"/>
      <c r="B69" s="430" t="str">
        <f t="shared" si="16"/>
        <v>2011-1</v>
      </c>
      <c r="C69" s="431">
        <v>4</v>
      </c>
      <c r="D69" s="437" t="str">
        <f t="array" ref="D69">IFERROR(INDEX('EE BS BSMS'!$A$7:$C$116,SMALL(IF(('EE BS BSMS'!$A$7:$A$116=B69)*((ROW('EE BS BSMS'!$A$7:$A$116)&lt;101)+(ROW('EE BS BSMS'!$A$7:$A$116)&gt;103)),ROW('EE BS BSMS'!$A$7:$A$116)-6),C69),3),"")</f>
        <v/>
      </c>
      <c r="F69" s="655"/>
      <c r="G69" s="430">
        <f t="shared" si="17"/>
        <v>2158</v>
      </c>
      <c r="H69" s="431">
        <v>4</v>
      </c>
      <c r="I69" s="437" t="str">
        <f t="array" ref="I69">IFERROR(INDEX('EE BS BSMS'!$H$7:$J$116,SMALL(IF(('EE BS BSMS'!$H$7:$H$116=G69)*((ROW('EE BS BSMS'!$H$7:$H$116)&lt;101)+(ROW('EE BS BSMS'!$H$7:$H$116)&gt;103)),ROW('EE BS BSMS'!$H$7:$H$116)-6),H69),3),"")</f>
        <v/>
      </c>
    </row>
    <row r="70" spans="1:9">
      <c r="A70" s="648"/>
      <c r="B70" s="430" t="str">
        <f t="shared" si="16"/>
        <v>2011-1</v>
      </c>
      <c r="C70" s="431">
        <v>5</v>
      </c>
      <c r="D70" s="437" t="str">
        <f t="array" ref="D70">IFERROR(INDEX('EE BS BSMS'!$A$7:$C$116,SMALL(IF(('EE BS BSMS'!$A$7:$A$116=B70)*((ROW('EE BS BSMS'!$A$7:$A$116)&lt;101)+(ROW('EE BS BSMS'!$A$7:$A$116)&gt;103)),ROW('EE BS BSMS'!$A$7:$A$116)-6),C70),3),"")</f>
        <v/>
      </c>
      <c r="F70" s="655"/>
      <c r="G70" s="430">
        <f t="shared" si="17"/>
        <v>2158</v>
      </c>
      <c r="H70" s="431">
        <v>5</v>
      </c>
      <c r="I70" s="437" t="str">
        <f t="array" ref="I70">IFERROR(INDEX('EE BS BSMS'!$H$7:$J$116,SMALL(IF(('EE BS BSMS'!$H$7:$H$116=G70)*((ROW('EE BS BSMS'!$H$7:$H$116)&lt;101)+(ROW('EE BS BSMS'!$H$7:$H$116)&gt;103)),ROW('EE BS BSMS'!$H$7:$H$116)-6),H70),3),"")</f>
        <v/>
      </c>
    </row>
    <row r="71" spans="1:9">
      <c r="A71" s="648"/>
      <c r="B71" s="430" t="str">
        <f t="shared" si="16"/>
        <v>2011-1</v>
      </c>
      <c r="C71" s="431">
        <v>6</v>
      </c>
      <c r="D71" s="437" t="str">
        <f t="array" ref="D71">IFERROR(INDEX('EE BS BSMS'!$A$7:$C$116,SMALL(IF(('EE BS BSMS'!$A$7:$A$116=B71)*((ROW('EE BS BSMS'!$A$7:$A$116)&lt;101)+(ROW('EE BS BSMS'!$A$7:$A$116)&gt;103)),ROW('EE BS BSMS'!$A$7:$A$116)-6),C71),3),"")</f>
        <v/>
      </c>
      <c r="F71" s="655"/>
      <c r="G71" s="430">
        <f t="shared" si="17"/>
        <v>2158</v>
      </c>
      <c r="H71" s="431">
        <v>6</v>
      </c>
      <c r="I71" s="437" t="str">
        <f t="array" ref="I71">IFERROR(INDEX('EE BS BSMS'!$H$7:$J$116,SMALL(IF(('EE BS BSMS'!$H$7:$H$116=G71)*((ROW('EE BS BSMS'!$H$7:$H$116)&lt;101)+(ROW('EE BS BSMS'!$H$7:$H$116)&gt;103)),ROW('EE BS BSMS'!$H$7:$H$116)-6),H71),3),"")</f>
        <v/>
      </c>
    </row>
    <row r="72" spans="1:9">
      <c r="A72" s="648"/>
      <c r="D72" s="437" t="str">
        <f>IF(COUNTIF('EE BS BSMS'!$A$7:$C$116,B71)&gt;6,"Note: other courses not shown!","")</f>
        <v/>
      </c>
      <c r="F72" s="655"/>
      <c r="I72" s="439" t="str">
        <f>IF(COUNTIF('EE BS BSMS'!$H$7:$J$116,G71)&gt;6,"Note: other courses not shown!","")</f>
        <v/>
      </c>
    </row>
    <row r="74" spans="1:9">
      <c r="A74" s="649" t="s">
        <v>58</v>
      </c>
      <c r="B74" s="430" t="str">
        <f>A74</f>
        <v>2011-2</v>
      </c>
      <c r="C74" s="431">
        <v>1</v>
      </c>
      <c r="D74" s="437" t="str">
        <f t="array" ref="D74">IFERROR(INDEX('EE BS BSMS'!$A$7:$C$116,SMALL(IF(('EE BS BSMS'!$A$7:$A$116=B74)*((ROW('EE BS BSMS'!$A$7:$A$116)&lt;101)+(ROW('EE BS BSMS'!$A$7:$A$116)&gt;103)),ROW('EE BS BSMS'!$A$7:$A$116)-6),C74),3),"")</f>
        <v/>
      </c>
      <c r="F74" s="648">
        <v>2161</v>
      </c>
      <c r="G74" s="430">
        <f>F74</f>
        <v>2161</v>
      </c>
      <c r="H74" s="431">
        <v>1</v>
      </c>
      <c r="I74" s="437" t="str">
        <f t="array" ref="I74">IFERROR(INDEX('EE BS BSMS'!$H$7:$J$116,SMALL(IF(('EE BS BSMS'!$H$7:$H$116=G74)*((ROW('EE BS BSMS'!$H$7:$H$116)&lt;101)+(ROW('EE BS BSMS'!$H$7:$H$116)&gt;103)),ROW('EE BS BSMS'!$H$7:$H$116)-6),H74),3),"")</f>
        <v>Professional Elective</v>
      </c>
    </row>
    <row r="75" spans="1:9">
      <c r="A75" s="649"/>
      <c r="B75" s="430" t="str">
        <f>B74</f>
        <v>2011-2</v>
      </c>
      <c r="C75" s="431">
        <v>2</v>
      </c>
      <c r="D75" s="437" t="str">
        <f t="array" ref="D75">IFERROR(INDEX('EE BS BSMS'!$A$7:$C$116,SMALL(IF(('EE BS BSMS'!$A$7:$A$116=B75)*((ROW('EE BS BSMS'!$A$7:$A$116)&lt;101)+(ROW('EE BS BSMS'!$A$7:$A$116)&gt;103)),ROW('EE BS BSMS'!$A$7:$A$116)-6),C75),3),"")</f>
        <v/>
      </c>
      <c r="F75" s="648"/>
      <c r="G75" s="430">
        <f>G74</f>
        <v>2161</v>
      </c>
      <c r="H75" s="431">
        <v>2</v>
      </c>
      <c r="I75" s="437" t="str">
        <f t="array" ref="I75">IFERROR(INDEX('EE BS BSMS'!$H$7:$J$116,SMALL(IF(('EE BS BSMS'!$H$7:$H$116=G75)*((ROW('EE BS BSMS'!$H$7:$H$116)&lt;101)+(ROW('EE BS BSMS'!$H$7:$H$116)&gt;103)),ROW('EE BS BSMS'!$H$7:$H$116)-6),H75),3),"")</f>
        <v>Senior Design Project I</v>
      </c>
    </row>
    <row r="76" spans="1:9">
      <c r="A76" s="649"/>
      <c r="B76" s="430" t="str">
        <f t="shared" ref="B76:B79" si="18">B75</f>
        <v>2011-2</v>
      </c>
      <c r="C76" s="431">
        <v>3</v>
      </c>
      <c r="D76" s="437" t="str">
        <f t="array" ref="D76">IFERROR(INDEX('EE BS BSMS'!$A$7:$C$116,SMALL(IF(('EE BS BSMS'!$A$7:$A$116=B76)*((ROW('EE BS BSMS'!$A$7:$A$116)&lt;101)+(ROW('EE BS BSMS'!$A$7:$A$116)&gt;103)),ROW('EE BS BSMS'!$A$7:$A$116)-6),C76),3),"")</f>
        <v/>
      </c>
      <c r="F76" s="648"/>
      <c r="G76" s="430">
        <f t="shared" ref="G76:G79" si="19">G75</f>
        <v>2161</v>
      </c>
      <c r="H76" s="431">
        <v>3</v>
      </c>
      <c r="I76" s="437" t="str">
        <f t="array" ref="I76">IFERROR(INDEX('EE BS BSMS'!$H$7:$J$116,SMALL(IF(('EE BS BSMS'!$H$7:$H$116=G76)*((ROW('EE BS BSMS'!$H$7:$H$116)&lt;101)+(ROW('EE BS BSMS'!$H$7:$H$116)&gt;103)),ROW('EE BS BSMS'!$H$7:$H$116)-6),H76),3),"")</f>
        <v xml:space="preserve">Grad Elective </v>
      </c>
    </row>
    <row r="77" spans="1:9">
      <c r="A77" s="649"/>
      <c r="B77" s="430" t="str">
        <f t="shared" si="18"/>
        <v>2011-2</v>
      </c>
      <c r="C77" s="431">
        <v>4</v>
      </c>
      <c r="D77" s="437" t="str">
        <f t="array" ref="D77">IFERROR(INDEX('EE BS BSMS'!$A$7:$C$116,SMALL(IF(('EE BS BSMS'!$A$7:$A$116=B77)*((ROW('EE BS BSMS'!$A$7:$A$116)&lt;101)+(ROW('EE BS BSMS'!$A$7:$A$116)&gt;103)),ROW('EE BS BSMS'!$A$7:$A$116)-6),C77),3),"")</f>
        <v/>
      </c>
      <c r="F77" s="648"/>
      <c r="G77" s="430">
        <f t="shared" si="19"/>
        <v>2161</v>
      </c>
      <c r="H77" s="431">
        <v>4</v>
      </c>
      <c r="I77" s="437" t="str">
        <f t="array" ref="I77">IFERROR(INDEX('EE BS BSMS'!$H$7:$J$116,SMALL(IF(('EE BS BSMS'!$H$7:$H$116=G77)*((ROW('EE BS BSMS'!$H$7:$H$116)&lt;101)+(ROW('EE BS BSMS'!$H$7:$H$116)&gt;103)),ROW('EE BS BSMS'!$H$7:$H$116)-6),H77),3),"")</f>
        <v xml:space="preserve">Grad Elective </v>
      </c>
    </row>
    <row r="78" spans="1:9">
      <c r="A78" s="649"/>
      <c r="B78" s="430" t="str">
        <f t="shared" si="18"/>
        <v>2011-2</v>
      </c>
      <c r="C78" s="431">
        <v>5</v>
      </c>
      <c r="D78" s="437" t="str">
        <f t="array" ref="D78">IFERROR(INDEX('EE BS BSMS'!$A$7:$C$116,SMALL(IF(('EE BS BSMS'!$A$7:$A$116=B78)*((ROW('EE BS BSMS'!$A$7:$A$116)&lt;101)+(ROW('EE BS BSMS'!$A$7:$A$116)&gt;103)),ROW('EE BS BSMS'!$A$7:$A$116)-6),C78),3),"")</f>
        <v/>
      </c>
      <c r="F78" s="648"/>
      <c r="G78" s="430">
        <f t="shared" si="19"/>
        <v>2161</v>
      </c>
      <c r="H78" s="431">
        <v>5</v>
      </c>
      <c r="I78" s="437" t="str">
        <f t="array" ref="I78">IFERROR(INDEX('EE BS BSMS'!$H$7:$J$116,SMALL(IF(('EE BS BSMS'!$H$7:$H$116=G78)*((ROW('EE BS BSMS'!$H$7:$H$116)&lt;101)+(ROW('EE BS BSMS'!$H$7:$H$116)&gt;103)),ROW('EE BS BSMS'!$H$7:$H$116)-6),H78),3),"")</f>
        <v xml:space="preserve">Grad Elective </v>
      </c>
    </row>
    <row r="79" spans="1:9">
      <c r="A79" s="649"/>
      <c r="B79" s="430" t="str">
        <f t="shared" si="18"/>
        <v>2011-2</v>
      </c>
      <c r="C79" s="431">
        <v>6</v>
      </c>
      <c r="D79" s="437" t="str">
        <f t="array" ref="D79">IFERROR(INDEX('EE BS BSMS'!$A$7:$C$116,SMALL(IF(('EE BS BSMS'!$A$7:$A$116=B79)*((ROW('EE BS BSMS'!$A$7:$A$116)&lt;101)+(ROW('EE BS BSMS'!$A$7:$A$116)&gt;103)),ROW('EE BS BSMS'!$A$7:$A$116)-6),C79),3),"")</f>
        <v/>
      </c>
      <c r="F79" s="648"/>
      <c r="G79" s="430">
        <f t="shared" si="19"/>
        <v>2161</v>
      </c>
      <c r="H79" s="431">
        <v>6</v>
      </c>
      <c r="I79" s="437" t="str">
        <f t="array" ref="I79">IFERROR(INDEX('EE BS BSMS'!$H$7:$J$116,SMALL(IF(('EE BS BSMS'!$H$7:$H$116=G79)*((ROW('EE BS BSMS'!$H$7:$H$116)&lt;101)+(ROW('EE BS BSMS'!$H$7:$H$116)&gt;103)),ROW('EE BS BSMS'!$H$7:$H$116)-6),H79),3),"")</f>
        <v/>
      </c>
    </row>
    <row r="80" spans="1:9">
      <c r="A80" s="649"/>
      <c r="D80" s="437" t="str">
        <f>IF(COUNTIF('EE BS BSMS'!$A$7:$C$116,B79)&gt;6,"Note: other courses not shown!","")</f>
        <v/>
      </c>
      <c r="F80" s="648"/>
      <c r="I80" s="439" t="str">
        <f>IF(COUNTIF('EE BS BSMS'!$H$7:$J$116,G79)&gt;6,"Note: other courses not shown!","")</f>
        <v/>
      </c>
    </row>
    <row r="82" spans="1:9">
      <c r="A82" s="650" t="s">
        <v>59</v>
      </c>
      <c r="B82" s="430" t="str">
        <f>A82</f>
        <v>2011-3</v>
      </c>
      <c r="C82" s="431">
        <v>1</v>
      </c>
      <c r="D82" s="437" t="str">
        <f t="array" ref="D82">IFERROR(INDEX('EE BS BSMS'!$A$7:$C$116,SMALL(IF(('EE BS BSMS'!$A$7:$A$116=B82)*((ROW('EE BS BSMS'!$A$7:$A$116)&lt;101)+(ROW('EE BS BSMS'!$A$7:$A$116)&gt;103)),ROW('EE BS BSMS'!$A$7:$A$116)-6),C82),3),"")</f>
        <v/>
      </c>
      <c r="F82" s="649">
        <v>2165</v>
      </c>
      <c r="G82" s="430">
        <f>F82</f>
        <v>2165</v>
      </c>
      <c r="H82" s="431">
        <v>1</v>
      </c>
      <c r="I82" s="437" t="str">
        <f t="array" ref="I82">IFERROR(INDEX('EE BS BSMS'!$H$7:$J$116,SMALL(IF(('EE BS BSMS'!$H$7:$H$116=G82)*((ROW('EE BS BSMS'!$H$7:$H$116)&lt;101)+(ROW('EE BS BSMS'!$H$7:$H$116)&gt;103)),ROW('EE BS BSMS'!$H$7:$H$116)-6),H82),3),"")</f>
        <v>Professional Elective</v>
      </c>
    </row>
    <row r="83" spans="1:9">
      <c r="A83" s="650"/>
      <c r="B83" s="430" t="str">
        <f>B82</f>
        <v>2011-3</v>
      </c>
      <c r="C83" s="431">
        <v>2</v>
      </c>
      <c r="D83" s="437" t="str">
        <f t="array" ref="D83">IFERROR(INDEX('EE BS BSMS'!$A$7:$C$116,SMALL(IF(('EE BS BSMS'!$A$7:$A$116=B83)*((ROW('EE BS BSMS'!$A$7:$A$116)&lt;101)+(ROW('EE BS BSMS'!$A$7:$A$116)&gt;103)),ROW('EE BS BSMS'!$A$7:$A$116)-6),C83),3),"")</f>
        <v/>
      </c>
      <c r="F83" s="649"/>
      <c r="G83" s="430">
        <f>G82</f>
        <v>2165</v>
      </c>
      <c r="H83" s="431">
        <v>2</v>
      </c>
      <c r="I83" s="437" t="str">
        <f t="array" ref="I83">IFERROR(INDEX('EE BS BSMS'!$H$7:$J$116,SMALL(IF(('EE BS BSMS'!$H$7:$H$116=G83)*((ROW('EE BS BSMS'!$H$7:$H$116)&lt;101)+(ROW('EE BS BSMS'!$H$7:$H$116)&gt;103)),ROW('EE BS BSMS'!$H$7:$H$116)-6),H83),3),"")</f>
        <v>Senior Design Project II</v>
      </c>
    </row>
    <row r="84" spans="1:9">
      <c r="A84" s="650"/>
      <c r="B84" s="430" t="str">
        <f t="shared" ref="B84:B87" si="20">B83</f>
        <v>2011-3</v>
      </c>
      <c r="C84" s="431">
        <v>3</v>
      </c>
      <c r="D84" s="437" t="str">
        <f t="array" ref="D84">IFERROR(INDEX('EE BS BSMS'!$A$7:$C$116,SMALL(IF(('EE BS BSMS'!$A$7:$A$116=B84)*((ROW('EE BS BSMS'!$A$7:$A$116)&lt;101)+(ROW('EE BS BSMS'!$A$7:$A$116)&gt;103)),ROW('EE BS BSMS'!$A$7:$A$116)-6),C84),3),"")</f>
        <v/>
      </c>
      <c r="F84" s="649"/>
      <c r="G84" s="430">
        <f t="shared" ref="G84:G87" si="21">G83</f>
        <v>2165</v>
      </c>
      <c r="H84" s="431">
        <v>3</v>
      </c>
      <c r="I84" s="437" t="str">
        <f t="array" ref="I84">IFERROR(INDEX('EE BS BSMS'!$H$7:$J$116,SMALL(IF(('EE BS BSMS'!$H$7:$H$116=G84)*((ROW('EE BS BSMS'!$H$7:$H$116)&lt;101)+(ROW('EE BS BSMS'!$H$7:$H$116)&gt;103)),ROW('EE BS BSMS'!$H$7:$H$116)-6),H84),3),"")</f>
        <v>Restrictive EE/CE/CS Elec. (Computer)</v>
      </c>
    </row>
    <row r="85" spans="1:9">
      <c r="A85" s="650"/>
      <c r="B85" s="430" t="str">
        <f t="shared" si="20"/>
        <v>2011-3</v>
      </c>
      <c r="C85" s="431">
        <v>4</v>
      </c>
      <c r="D85" s="437" t="str">
        <f t="array" ref="D85">IFERROR(INDEX('EE BS BSMS'!$A$7:$C$116,SMALL(IF(('EE BS BSMS'!$A$7:$A$116=B85)*((ROW('EE BS BSMS'!$A$7:$A$116)&lt;101)+(ROW('EE BS BSMS'!$A$7:$A$116)&gt;103)),ROW('EE BS BSMS'!$A$7:$A$116)-6),C85),3),"")</f>
        <v/>
      </c>
      <c r="F85" s="649"/>
      <c r="G85" s="430">
        <f t="shared" si="21"/>
        <v>2165</v>
      </c>
      <c r="H85" s="431">
        <v>4</v>
      </c>
      <c r="I85" s="437" t="str">
        <f t="array" ref="I85">IFERROR(INDEX('EE BS BSMS'!$H$7:$J$116,SMALL(IF(('EE BS BSMS'!$H$7:$H$116=G85)*((ROW('EE BS BSMS'!$H$7:$H$116)&lt;101)+(ROW('EE BS BSMS'!$H$7:$H$116)&gt;103)),ROW('EE BS BSMS'!$H$7:$H$116)-6),H85),3),"")</f>
        <v xml:space="preserve">Grad Elective </v>
      </c>
    </row>
    <row r="86" spans="1:9">
      <c r="A86" s="650"/>
      <c r="B86" s="430" t="str">
        <f t="shared" si="20"/>
        <v>2011-3</v>
      </c>
      <c r="C86" s="431">
        <v>5</v>
      </c>
      <c r="D86" s="437" t="str">
        <f t="array" ref="D86">IFERROR(INDEX('EE BS BSMS'!$A$7:$C$116,SMALL(IF(('EE BS BSMS'!$A$7:$A$116=B86)*((ROW('EE BS BSMS'!$A$7:$A$116)&lt;101)+(ROW('EE BS BSMS'!$A$7:$A$116)&gt;103)),ROW('EE BS BSMS'!$A$7:$A$116)-6),C86),3),"")</f>
        <v/>
      </c>
      <c r="F86" s="649"/>
      <c r="G86" s="430">
        <f t="shared" si="21"/>
        <v>2165</v>
      </c>
      <c r="H86" s="431">
        <v>5</v>
      </c>
      <c r="I86" s="437" t="str">
        <f t="array" ref="I86">IFERROR(INDEX('EE BS BSMS'!$H$7:$J$116,SMALL(IF(('EE BS BSMS'!$H$7:$H$116=G86)*((ROW('EE BS BSMS'!$H$7:$H$116)&lt;101)+(ROW('EE BS BSMS'!$H$7:$H$116)&gt;103)),ROW('EE BS BSMS'!$H$7:$H$116)-6),H86),3),"")</f>
        <v>Thesis/Grad Paper</v>
      </c>
    </row>
    <row r="87" spans="1:9">
      <c r="A87" s="650"/>
      <c r="B87" s="430" t="str">
        <f t="shared" si="20"/>
        <v>2011-3</v>
      </c>
      <c r="C87" s="431">
        <v>6</v>
      </c>
      <c r="D87" s="437" t="str">
        <f t="array" ref="D87">IFERROR(INDEX('EE BS BSMS'!$A$7:$C$116,SMALL(IF(('EE BS BSMS'!$A$7:$A$116=B87)*((ROW('EE BS BSMS'!$A$7:$A$116)&lt;101)+(ROW('EE BS BSMS'!$A$7:$A$116)&gt;103)),ROW('EE BS BSMS'!$A$7:$A$116)-6),C87),3),"")</f>
        <v/>
      </c>
      <c r="F87" s="649"/>
      <c r="G87" s="430">
        <f t="shared" si="21"/>
        <v>2165</v>
      </c>
      <c r="H87" s="431">
        <v>6</v>
      </c>
      <c r="I87" s="437" t="str">
        <f t="array" ref="I87">IFERROR(INDEX('EE BS BSMS'!$H$7:$J$116,SMALL(IF(('EE BS BSMS'!$H$7:$H$116=G87)*((ROW('EE BS BSMS'!$H$7:$H$116)&lt;101)+(ROW('EE BS BSMS'!$H$7:$H$116)&gt;103)),ROW('EE BS BSMS'!$H$7:$H$116)-6),H87),3),"")</f>
        <v/>
      </c>
    </row>
    <row r="88" spans="1:9">
      <c r="A88" s="650"/>
      <c r="D88" s="437" t="str">
        <f>IF(COUNTIF('EE BS BSMS'!$A$7:$C$116,B87)&gt;6,"Note: other courses not shown!","")</f>
        <v/>
      </c>
      <c r="F88" s="649"/>
      <c r="I88" s="439" t="str">
        <f>IF(COUNTIF('EE BS BSMS'!$H$7:$J$116,G87)&gt;6,"Note: other courses not shown!","")</f>
        <v/>
      </c>
    </row>
    <row r="90" spans="1:9">
      <c r="A90" s="651" t="s">
        <v>60</v>
      </c>
      <c r="B90" s="430" t="str">
        <f>A90</f>
        <v>2011-4</v>
      </c>
      <c r="C90" s="431">
        <v>1</v>
      </c>
      <c r="D90" s="437" t="str">
        <f t="array" ref="D90">IFERROR(INDEX('EE BS BSMS'!$A$7:$C$116,SMALL(IF(('EE BS BSMS'!$A$7:$A$116=B90)*((ROW('EE BS BSMS'!$A$7:$A$116)&lt;101)+(ROW('EE BS BSMS'!$A$7:$A$116)&gt;103)),ROW('EE BS BSMS'!$A$7:$A$116)-6),C90),3),"")</f>
        <v/>
      </c>
      <c r="F90" s="650">
        <v>2168</v>
      </c>
      <c r="G90" s="430">
        <f>F90</f>
        <v>2168</v>
      </c>
      <c r="H90" s="431">
        <v>1</v>
      </c>
      <c r="I90" s="437" t="str">
        <f t="array" ref="I90">IFERROR(INDEX('EE BS BSMS'!$H$7:$J$116,SMALL(IF(('EE BS BSMS'!$H$7:$H$116=G90)*((ROW('EE BS BSMS'!$H$7:$H$116)&lt;101)+(ROW('EE BS BSMS'!$H$7:$H$116)&gt;103)),ROW('EE BS BSMS'!$H$7:$H$116)-6),H90),3),"")</f>
        <v/>
      </c>
    </row>
    <row r="91" spans="1:9">
      <c r="A91" s="651"/>
      <c r="B91" s="430" t="str">
        <f>B90</f>
        <v>2011-4</v>
      </c>
      <c r="C91" s="431">
        <v>2</v>
      </c>
      <c r="D91" s="437" t="str">
        <f t="array" ref="D91">IFERROR(INDEX('EE BS BSMS'!$A$7:$C$116,SMALL(IF(('EE BS BSMS'!$A$7:$A$116=B91)*((ROW('EE BS BSMS'!$A$7:$A$116)&lt;101)+(ROW('EE BS BSMS'!$A$7:$A$116)&gt;103)),ROW('EE BS BSMS'!$A$7:$A$116)-6),C91),3),"")</f>
        <v/>
      </c>
      <c r="F91" s="650"/>
      <c r="G91" s="430">
        <f>G90</f>
        <v>2168</v>
      </c>
      <c r="H91" s="431">
        <v>2</v>
      </c>
      <c r="I91" s="437" t="str">
        <f t="array" ref="I91">IFERROR(INDEX('EE BS BSMS'!$H$7:$J$116,SMALL(IF(('EE BS BSMS'!$H$7:$H$116=G91)*((ROW('EE BS BSMS'!$H$7:$H$116)&lt;101)+(ROW('EE BS BSMS'!$H$7:$H$116)&gt;103)),ROW('EE BS BSMS'!$H$7:$H$116)-6),H91),3),"")</f>
        <v/>
      </c>
    </row>
    <row r="92" spans="1:9">
      <c r="A92" s="651"/>
      <c r="B92" s="430" t="str">
        <f t="shared" ref="B92:B95" si="22">B91</f>
        <v>2011-4</v>
      </c>
      <c r="C92" s="431">
        <v>3</v>
      </c>
      <c r="D92" s="437" t="str">
        <f t="array" ref="D92">IFERROR(INDEX('EE BS BSMS'!$A$7:$C$116,SMALL(IF(('EE BS BSMS'!$A$7:$A$116=B92)*((ROW('EE BS BSMS'!$A$7:$A$116)&lt;101)+(ROW('EE BS BSMS'!$A$7:$A$116)&gt;103)),ROW('EE BS BSMS'!$A$7:$A$116)-6),C92),3),"")</f>
        <v/>
      </c>
      <c r="F92" s="650"/>
      <c r="G92" s="430">
        <f t="shared" ref="G92:G95" si="23">G91</f>
        <v>2168</v>
      </c>
      <c r="H92" s="431">
        <v>3</v>
      </c>
      <c r="I92" s="437" t="str">
        <f t="array" ref="I92">IFERROR(INDEX('EE BS BSMS'!$H$7:$J$116,SMALL(IF(('EE BS BSMS'!$H$7:$H$116=G92)*((ROW('EE BS BSMS'!$H$7:$H$116)&lt;101)+(ROW('EE BS BSMS'!$H$7:$H$116)&gt;103)),ROW('EE BS BSMS'!$H$7:$H$116)-6),H92),3),"")</f>
        <v/>
      </c>
    </row>
    <row r="93" spans="1:9">
      <c r="A93" s="651"/>
      <c r="B93" s="430" t="str">
        <f t="shared" si="22"/>
        <v>2011-4</v>
      </c>
      <c r="C93" s="431">
        <v>4</v>
      </c>
      <c r="D93" s="437" t="str">
        <f t="array" ref="D93">IFERROR(INDEX('EE BS BSMS'!$A$7:$C$116,SMALL(IF(('EE BS BSMS'!$A$7:$A$116=B93)*((ROW('EE BS BSMS'!$A$7:$A$116)&lt;101)+(ROW('EE BS BSMS'!$A$7:$A$116)&gt;103)),ROW('EE BS BSMS'!$A$7:$A$116)-6),C93),3),"")</f>
        <v/>
      </c>
      <c r="F93" s="650"/>
      <c r="G93" s="430">
        <f t="shared" si="23"/>
        <v>2168</v>
      </c>
      <c r="H93" s="431">
        <v>4</v>
      </c>
      <c r="I93" s="437" t="str">
        <f t="array" ref="I93">IFERROR(INDEX('EE BS BSMS'!$H$7:$J$116,SMALL(IF(('EE BS BSMS'!$H$7:$H$116=G93)*((ROW('EE BS BSMS'!$H$7:$H$116)&lt;101)+(ROW('EE BS BSMS'!$H$7:$H$116)&gt;103)),ROW('EE BS BSMS'!$H$7:$H$116)-6),H93),3),"")</f>
        <v/>
      </c>
    </row>
    <row r="94" spans="1:9">
      <c r="A94" s="651"/>
      <c r="B94" s="430" t="str">
        <f t="shared" si="22"/>
        <v>2011-4</v>
      </c>
      <c r="C94" s="431">
        <v>5</v>
      </c>
      <c r="D94" s="437" t="str">
        <f t="array" ref="D94">IFERROR(INDEX('EE BS BSMS'!$A$7:$C$116,SMALL(IF(('EE BS BSMS'!$A$7:$A$116=B94)*((ROW('EE BS BSMS'!$A$7:$A$116)&lt;101)+(ROW('EE BS BSMS'!$A$7:$A$116)&gt;103)),ROW('EE BS BSMS'!$A$7:$A$116)-6),C94),3),"")</f>
        <v/>
      </c>
      <c r="F94" s="650"/>
      <c r="G94" s="430">
        <f t="shared" si="23"/>
        <v>2168</v>
      </c>
      <c r="H94" s="431">
        <v>5</v>
      </c>
      <c r="I94" s="437" t="str">
        <f t="array" ref="I94">IFERROR(INDEX('EE BS BSMS'!$H$7:$J$116,SMALL(IF(('EE BS BSMS'!$H$7:$H$116=G94)*((ROW('EE BS BSMS'!$H$7:$H$116)&lt;101)+(ROW('EE BS BSMS'!$H$7:$H$116)&gt;103)),ROW('EE BS BSMS'!$H$7:$H$116)-6),H94),3),"")</f>
        <v/>
      </c>
    </row>
    <row r="95" spans="1:9">
      <c r="A95" s="651"/>
      <c r="B95" s="430" t="str">
        <f t="shared" si="22"/>
        <v>2011-4</v>
      </c>
      <c r="C95" s="431">
        <v>6</v>
      </c>
      <c r="D95" s="437" t="str">
        <f t="array" ref="D95">IFERROR(INDEX('EE BS BSMS'!$A$7:$C$116,SMALL(IF(('EE BS BSMS'!$A$7:$A$116=B95)*((ROW('EE BS BSMS'!$A$7:$A$116)&lt;101)+(ROW('EE BS BSMS'!$A$7:$A$116)&gt;103)),ROW('EE BS BSMS'!$A$7:$A$116)-6),C95),3),"")</f>
        <v/>
      </c>
      <c r="F95" s="650"/>
      <c r="G95" s="430">
        <f t="shared" si="23"/>
        <v>2168</v>
      </c>
      <c r="H95" s="431">
        <v>6</v>
      </c>
      <c r="I95" s="437" t="str">
        <f t="array" ref="I95">IFERROR(INDEX('EE BS BSMS'!$H$7:$J$116,SMALL(IF(('EE BS BSMS'!$H$7:$H$116=G95)*((ROW('EE BS BSMS'!$H$7:$H$116)&lt;101)+(ROW('EE BS BSMS'!$H$7:$H$116)&gt;103)),ROW('EE BS BSMS'!$H$7:$H$116)-6),H95),3),"")</f>
        <v/>
      </c>
    </row>
    <row r="96" spans="1:9">
      <c r="A96" s="651"/>
      <c r="D96" s="437" t="str">
        <f>IF(COUNTIF('EE BS BSMS'!$A$7:$C$116,B95)&gt;6,"Note: other courses not shown!","")</f>
        <v/>
      </c>
      <c r="F96" s="650"/>
      <c r="I96" s="439" t="str">
        <f>IF(COUNTIF('EE BS BSMS'!$H$7:$J$116,G95)&gt;6,"Note: other courses not shown!","")</f>
        <v/>
      </c>
    </row>
    <row r="98" spans="1:7">
      <c r="A98" s="643">
        <v>2121</v>
      </c>
      <c r="B98" s="430">
        <f>A98</f>
        <v>2121</v>
      </c>
      <c r="C98" s="431">
        <v>1</v>
      </c>
      <c r="D98" s="437" t="str">
        <f t="array" ref="D98">IFERROR(INDEX('EE BS BSMS'!$A$7:$C$116,SMALL(IF(('EE BS BSMS'!$A$7:$A$116=B98)*((ROW('EE BS BSMS'!$A$7:$A$116)&lt;101)+(ROW('EE BS BSMS'!$A$7:$A$116)&gt;103)),ROW('EE BS BSMS'!$A$7:$A$116)-6),C98),3),"")</f>
        <v/>
      </c>
      <c r="F98" s="438"/>
      <c r="G98" s="438"/>
    </row>
    <row r="99" spans="1:7">
      <c r="A99" s="643"/>
      <c r="B99" s="430">
        <f>B98</f>
        <v>2121</v>
      </c>
      <c r="C99" s="431">
        <v>2</v>
      </c>
      <c r="D99" s="437" t="str">
        <f t="array" ref="D99">IFERROR(INDEX('EE BS BSMS'!$A$7:$C$116,SMALL(IF(('EE BS BSMS'!$A$7:$A$116=B99)*((ROW('EE BS BSMS'!$A$7:$A$116)&lt;101)+(ROW('EE BS BSMS'!$A$7:$A$116)&gt;103)),ROW('EE BS BSMS'!$A$7:$A$116)-6),C99),3),"")</f>
        <v/>
      </c>
      <c r="F99" s="438"/>
      <c r="G99" s="438"/>
    </row>
    <row r="100" spans="1:7">
      <c r="A100" s="643"/>
      <c r="B100" s="430">
        <f t="shared" ref="B100:B103" si="24">B99</f>
        <v>2121</v>
      </c>
      <c r="C100" s="431">
        <v>3</v>
      </c>
      <c r="D100" s="437" t="str">
        <f t="array" ref="D100">IFERROR(INDEX('EE BS BSMS'!$A$7:$C$116,SMALL(IF(('EE BS BSMS'!$A$7:$A$116=B100)*((ROW('EE BS BSMS'!$A$7:$A$116)&lt;101)+(ROW('EE BS BSMS'!$A$7:$A$116)&gt;103)),ROW('EE BS BSMS'!$A$7:$A$116)-6),C100),3),"")</f>
        <v/>
      </c>
      <c r="F100" s="438"/>
      <c r="G100" s="438"/>
    </row>
    <row r="101" spans="1:7">
      <c r="A101" s="643"/>
      <c r="B101" s="430">
        <f t="shared" si="24"/>
        <v>2121</v>
      </c>
      <c r="C101" s="431">
        <v>4</v>
      </c>
      <c r="D101" s="437" t="str">
        <f t="array" ref="D101">IFERROR(INDEX('EE BS BSMS'!$A$7:$C$116,SMALL(IF(('EE BS BSMS'!$A$7:$A$116=B101)*((ROW('EE BS BSMS'!$A$7:$A$116)&lt;101)+(ROW('EE BS BSMS'!$A$7:$A$116)&gt;103)),ROW('EE BS BSMS'!$A$7:$A$116)-6),C101),3),"")</f>
        <v/>
      </c>
      <c r="F101" s="438"/>
      <c r="G101" s="438"/>
    </row>
    <row r="102" spans="1:7">
      <c r="A102" s="643"/>
      <c r="B102" s="430">
        <f t="shared" si="24"/>
        <v>2121</v>
      </c>
      <c r="C102" s="431">
        <v>5</v>
      </c>
      <c r="D102" s="437" t="str">
        <f t="array" ref="D102">IFERROR(INDEX('EE BS BSMS'!$A$7:$C$116,SMALL(IF(('EE BS BSMS'!$A$7:$A$116=B102)*((ROW('EE BS BSMS'!$A$7:$A$116)&lt;101)+(ROW('EE BS BSMS'!$A$7:$A$116)&gt;103)),ROW('EE BS BSMS'!$A$7:$A$116)-6),C102),3),"")</f>
        <v/>
      </c>
      <c r="F102" s="438"/>
      <c r="G102" s="438"/>
    </row>
    <row r="103" spans="1:7">
      <c r="A103" s="643"/>
      <c r="B103" s="430">
        <f t="shared" si="24"/>
        <v>2121</v>
      </c>
      <c r="C103" s="431">
        <v>6</v>
      </c>
      <c r="D103" s="437" t="str">
        <f t="array" ref="D103">IFERROR(INDEX('EE BS BSMS'!$A$7:$C$116,SMALL(IF(('EE BS BSMS'!$A$7:$A$116=B103)*((ROW('EE BS BSMS'!$A$7:$A$116)&lt;101)+(ROW('EE BS BSMS'!$A$7:$A$116)&gt;103)),ROW('EE BS BSMS'!$A$7:$A$116)-6),C103),3),"")</f>
        <v/>
      </c>
      <c r="F103" s="438"/>
      <c r="G103" s="438"/>
    </row>
    <row r="104" spans="1:7">
      <c r="A104" s="643"/>
      <c r="D104" s="437" t="str">
        <f>IF(COUNTIF('EE BS BSMS'!$A$7:$C$116,B103)&gt;6,"Note: other courses not shown!","")</f>
        <v/>
      </c>
      <c r="F104" s="438"/>
      <c r="G104" s="438"/>
    </row>
    <row r="106" spans="1:7">
      <c r="A106" s="644">
        <v>2122</v>
      </c>
      <c r="B106" s="430">
        <f>A106</f>
        <v>2122</v>
      </c>
      <c r="C106" s="431">
        <v>1</v>
      </c>
      <c r="D106" s="437" t="str">
        <f t="array" ref="D106">IFERROR(INDEX('EE BS BSMS'!$A$7:$C$116,SMALL(IF(('EE BS BSMS'!$A$7:$A$116=B106)*((ROW('EE BS BSMS'!$A$7:$A$116)&lt;101)+(ROW('EE BS BSMS'!$A$7:$A$116)&gt;103)),ROW('EE BS BSMS'!$A$7:$A$116)-6),C106),3),"")</f>
        <v>Freshman Practicum (F,W)</v>
      </c>
      <c r="F106" s="438"/>
      <c r="G106" s="438"/>
    </row>
    <row r="107" spans="1:7">
      <c r="A107" s="644"/>
      <c r="B107" s="430">
        <f>B106</f>
        <v>2122</v>
      </c>
      <c r="C107" s="431">
        <v>2</v>
      </c>
      <c r="D107" s="437" t="str">
        <f t="array" ref="D107">IFERROR(INDEX('EE BS BSMS'!$A$7:$C$116,SMALL(IF(('EE BS BSMS'!$A$7:$A$116=B107)*((ROW('EE BS BSMS'!$A$7:$A$116)&lt;101)+(ROW('EE BS BSMS'!$A$7:$A$116)&gt;103)),ROW('EE BS BSMS'!$A$7:$A$116)-6),C107),3),"")</f>
        <v>FYE II  OR Pathways</v>
      </c>
      <c r="F107" s="438"/>
      <c r="G107" s="438"/>
    </row>
    <row r="108" spans="1:7">
      <c r="A108" s="644"/>
      <c r="B108" s="430">
        <f t="shared" ref="B108:B111" si="25">B107</f>
        <v>2122</v>
      </c>
      <c r="C108" s="431">
        <v>3</v>
      </c>
      <c r="D108" s="437" t="str">
        <f t="array" ref="D108">IFERROR(INDEX('EE BS BSMS'!$A$7:$C$116,SMALL(IF(('EE BS BSMS'!$A$7:$A$116=B108)*((ROW('EE BS BSMS'!$A$7:$A$116)&lt;101)+(ROW('EE BS BSMS'!$A$7:$A$116)&gt;103)),ROW('EE BS BSMS'!$A$7:$A$116)-6),C108),3),"")</f>
        <v>Problem-Based Intro to CS</v>
      </c>
      <c r="F108" s="438"/>
      <c r="G108" s="438"/>
    </row>
    <row r="109" spans="1:7">
      <c r="A109" s="644"/>
      <c r="B109" s="430">
        <f t="shared" si="25"/>
        <v>2122</v>
      </c>
      <c r="C109" s="431">
        <v>4</v>
      </c>
      <c r="D109" s="437" t="str">
        <f t="array" ref="D109">IFERROR(INDEX('EE BS BSMS'!$A$7:$C$116,SMALL(IF(('EE BS BSMS'!$A$7:$A$116=B109)*((ROW('EE BS BSMS'!$A$7:$A$116)&lt;101)+(ROW('EE BS BSMS'!$A$7:$A$116)&gt;103)),ROW('EE BS BSMS'!$A$7:$A$116)-6),C109),3),"")</f>
        <v>Wellness: Varsity Swimming</v>
      </c>
      <c r="F109" s="438"/>
      <c r="G109" s="438"/>
    </row>
    <row r="110" spans="1:7">
      <c r="A110" s="644"/>
      <c r="B110" s="430">
        <f t="shared" si="25"/>
        <v>2122</v>
      </c>
      <c r="C110" s="431">
        <v>5</v>
      </c>
      <c r="D110" s="437" t="str">
        <f t="array" ref="D110">IFERROR(INDEX('EE BS BSMS'!$A$7:$C$116,SMALL(IF(('EE BS BSMS'!$A$7:$A$116=B110)*((ROW('EE BS BSMS'!$A$7:$A$116)&lt;101)+(ROW('EE BS BSMS'!$A$7:$A$116)&gt;103)),ROW('EE BS BSMS'!$A$7:$A$116)-6),C110),3),"")</f>
        <v/>
      </c>
      <c r="F110" s="438"/>
      <c r="G110" s="438"/>
    </row>
    <row r="111" spans="1:7">
      <c r="A111" s="644"/>
      <c r="B111" s="430">
        <f t="shared" si="25"/>
        <v>2122</v>
      </c>
      <c r="C111" s="431">
        <v>6</v>
      </c>
      <c r="D111" s="437" t="str">
        <f t="array" ref="D111">IFERROR(INDEX('EE BS BSMS'!$A$7:$C$116,SMALL(IF(('EE BS BSMS'!$A$7:$A$116=B111)*((ROW('EE BS BSMS'!$A$7:$A$116)&lt;101)+(ROW('EE BS BSMS'!$A$7:$A$116)&gt;103)),ROW('EE BS BSMS'!$A$7:$A$116)-6),C111),3),"")</f>
        <v/>
      </c>
      <c r="F111" s="438"/>
      <c r="G111" s="438"/>
    </row>
    <row r="112" spans="1:7">
      <c r="A112" s="644"/>
      <c r="D112" s="437" t="str">
        <f>IF(COUNTIF('EE BS BSMS'!$A$7:$C$116,B111)&gt;6,"Note: other courses not shown!","")</f>
        <v/>
      </c>
      <c r="F112" s="438"/>
      <c r="G112" s="438"/>
    </row>
    <row r="114" spans="1:7">
      <c r="A114" s="645">
        <v>2123</v>
      </c>
      <c r="B114" s="430">
        <f>A114</f>
        <v>2123</v>
      </c>
      <c r="C114" s="431">
        <v>1</v>
      </c>
      <c r="D114" s="437" t="str">
        <f t="array" ref="D114">IFERROR(INDEX('EE BS BSMS'!$A$7:$C$116,SMALL(IF(('EE BS BSMS'!$A$7:$A$116=B114)*((ROW('EE BS BSMS'!$A$7:$A$116)&lt;101)+(ROW('EE BS BSMS'!$A$7:$A$116)&gt;103)),ROW('EE BS BSMS'!$A$7:$A$116)-6),C114),3),"")</f>
        <v>Engineering Math (F,S,Su)-</v>
      </c>
      <c r="F114" s="438"/>
      <c r="G114" s="438"/>
    </row>
    <row r="115" spans="1:7">
      <c r="A115" s="645"/>
      <c r="B115" s="430">
        <f>B114</f>
        <v>2123</v>
      </c>
      <c r="C115" s="431">
        <v>2</v>
      </c>
      <c r="D115" s="437" t="str">
        <f t="array" ref="D115">IFERROR(INDEX('EE BS BSMS'!$A$7:$C$116,SMALL(IF(('EE BS BSMS'!$A$7:$A$116=B115)*((ROW('EE BS BSMS'!$A$7:$A$116)&lt;101)+(ROW('EE BS BSMS'!$A$7:$A$116)&gt;103)),ROW('EE BS BSMS'!$A$7:$A$116)-6),C115),3),"")</f>
        <v>University Physics II w/o Optics</v>
      </c>
      <c r="F115" s="438"/>
      <c r="G115" s="438"/>
    </row>
    <row r="116" spans="1:7">
      <c r="A116" s="645"/>
      <c r="B116" s="430">
        <f t="shared" ref="B116:B119" si="26">B115</f>
        <v>2123</v>
      </c>
      <c r="C116" s="431">
        <v>3</v>
      </c>
      <c r="D116" s="437" t="str">
        <f t="array" ref="D116">IFERROR(INDEX('EE BS BSMS'!$A$7:$C$116,SMALL(IF(('EE BS BSMS'!$A$7:$A$116=B116)*((ROW('EE BS BSMS'!$A$7:$A$116)&lt;101)+(ROW('EE BS BSMS'!$A$7:$A$116)&gt;103)),ROW('EE BS BSMS'!$A$7:$A$116)-6),C116),3),"")</f>
        <v>MATLAB &amp; C Programming (F,W,S)</v>
      </c>
      <c r="F116" s="438"/>
      <c r="G116" s="438"/>
    </row>
    <row r="117" spans="1:7">
      <c r="A117" s="645"/>
      <c r="B117" s="430">
        <f t="shared" si="26"/>
        <v>2123</v>
      </c>
      <c r="C117" s="431">
        <v>4</v>
      </c>
      <c r="D117" s="437" t="str">
        <f t="array" ref="D117">IFERROR(INDEX('EE BS BSMS'!$A$7:$C$116,SMALL(IF(('EE BS BSMS'!$A$7:$A$116=B117)*((ROW('EE BS BSMS'!$A$7:$A$116)&lt;101)+(ROW('EE BS BSMS'!$A$7:$A$116)&gt;103)),ROW('EE BS BSMS'!$A$7:$A$116)-6),C117),3),"")</f>
        <v>Digital Systems (F,W,S)</v>
      </c>
      <c r="F117" s="438"/>
      <c r="G117" s="438"/>
    </row>
    <row r="118" spans="1:7">
      <c r="A118" s="645"/>
      <c r="B118" s="430">
        <f t="shared" si="26"/>
        <v>2123</v>
      </c>
      <c r="C118" s="431">
        <v>5</v>
      </c>
      <c r="D118" s="437" t="str">
        <f t="array" ref="D118">IFERROR(INDEX('EE BS BSMS'!$A$7:$C$116,SMALL(IF(('EE BS BSMS'!$A$7:$A$116=B118)*((ROW('EE BS BSMS'!$A$7:$A$116)&lt;101)+(ROW('EE BS BSMS'!$A$7:$A$116)&gt;103)),ROW('EE BS BSMS'!$A$7:$A$116)-6),C118),3),"")</f>
        <v/>
      </c>
      <c r="F118" s="438"/>
      <c r="G118" s="438"/>
    </row>
    <row r="119" spans="1:7">
      <c r="A119" s="645"/>
      <c r="B119" s="430">
        <f t="shared" si="26"/>
        <v>2123</v>
      </c>
      <c r="C119" s="431">
        <v>6</v>
      </c>
      <c r="D119" s="437" t="str">
        <f t="array" ref="D119">IFERROR(INDEX('EE BS BSMS'!$A$7:$C$116,SMALL(IF(('EE BS BSMS'!$A$7:$A$116=B119)*((ROW('EE BS BSMS'!$A$7:$A$116)&lt;101)+(ROW('EE BS BSMS'!$A$7:$A$116)&gt;103)),ROW('EE BS BSMS'!$A$7:$A$116)-6),C119),3),"")</f>
        <v/>
      </c>
      <c r="F119" s="438"/>
      <c r="G119" s="438"/>
    </row>
    <row r="120" spans="1:7">
      <c r="A120" s="645"/>
      <c r="D120" s="437" t="str">
        <f>IF(COUNTIF('EE BS BSMS'!$A$7:$C$116,B119)&gt;6,"Note: other courses not shown!","")</f>
        <v/>
      </c>
      <c r="F120" s="438"/>
      <c r="G120" s="438"/>
    </row>
    <row r="122" spans="1:7">
      <c r="A122" s="646">
        <v>2124</v>
      </c>
      <c r="B122" s="430">
        <f>A122</f>
        <v>2124</v>
      </c>
      <c r="C122" s="431">
        <v>1</v>
      </c>
      <c r="D122" s="437" t="str">
        <f t="array" ref="D122">IFERROR(INDEX('EE BS BSMS'!$A$7:$C$116,SMALL(IF(('EE BS BSMS'!$A$7:$A$116=B122)*((ROW('EE BS BSMS'!$A$7:$A$116)&lt;101)+(ROW('EE BS BSMS'!$A$7:$A$116)&gt;103)),ROW('EE BS BSMS'!$A$7:$A$116)-6),C122),3),"")</f>
        <v/>
      </c>
      <c r="F122" s="438"/>
      <c r="G122" s="438"/>
    </row>
    <row r="123" spans="1:7">
      <c r="A123" s="646"/>
      <c r="B123" s="430">
        <f>B122</f>
        <v>2124</v>
      </c>
      <c r="C123" s="431">
        <v>2</v>
      </c>
      <c r="D123" s="437" t="str">
        <f t="array" ref="D123">IFERROR(INDEX('EE BS BSMS'!$A$7:$C$116,SMALL(IF(('EE BS BSMS'!$A$7:$A$116=B123)*((ROW('EE BS BSMS'!$A$7:$A$116)&lt;101)+(ROW('EE BS BSMS'!$A$7:$A$116)&gt;103)),ROW('EE BS BSMS'!$A$7:$A$116)-6),C123),3),"")</f>
        <v/>
      </c>
      <c r="F123" s="438"/>
      <c r="G123" s="438"/>
    </row>
    <row r="124" spans="1:7">
      <c r="A124" s="646"/>
      <c r="B124" s="430">
        <f t="shared" ref="B124:B127" si="27">B123</f>
        <v>2124</v>
      </c>
      <c r="C124" s="431">
        <v>3</v>
      </c>
      <c r="D124" s="437" t="str">
        <f t="array" ref="D124">IFERROR(INDEX('EE BS BSMS'!$A$7:$C$116,SMALL(IF(('EE BS BSMS'!$A$7:$A$116=B124)*((ROW('EE BS BSMS'!$A$7:$A$116)&lt;101)+(ROW('EE BS BSMS'!$A$7:$A$116)&gt;103)),ROW('EE BS BSMS'!$A$7:$A$116)-6),C124),3),"")</f>
        <v/>
      </c>
      <c r="F124" s="438"/>
      <c r="G124" s="438"/>
    </row>
    <row r="125" spans="1:7">
      <c r="A125" s="646"/>
      <c r="B125" s="430">
        <f t="shared" si="27"/>
        <v>2124</v>
      </c>
      <c r="C125" s="431">
        <v>4</v>
      </c>
      <c r="D125" s="437" t="str">
        <f t="array" ref="D125">IFERROR(INDEX('EE BS BSMS'!$A$7:$C$116,SMALL(IF(('EE BS BSMS'!$A$7:$A$116=B125)*((ROW('EE BS BSMS'!$A$7:$A$116)&lt;101)+(ROW('EE BS BSMS'!$A$7:$A$116)&gt;103)),ROW('EE BS BSMS'!$A$7:$A$116)-6),C125),3),"")</f>
        <v/>
      </c>
      <c r="F125" s="438"/>
      <c r="G125" s="438"/>
    </row>
    <row r="126" spans="1:7">
      <c r="A126" s="646"/>
      <c r="B126" s="430">
        <f t="shared" si="27"/>
        <v>2124</v>
      </c>
      <c r="C126" s="431">
        <v>5</v>
      </c>
      <c r="D126" s="437" t="str">
        <f t="array" ref="D126">IFERROR(INDEX('EE BS BSMS'!$A$7:$C$116,SMALL(IF(('EE BS BSMS'!$A$7:$A$116=B126)*((ROW('EE BS BSMS'!$A$7:$A$116)&lt;101)+(ROW('EE BS BSMS'!$A$7:$A$116)&gt;103)),ROW('EE BS BSMS'!$A$7:$A$116)-6),C126),3),"")</f>
        <v/>
      </c>
      <c r="F126" s="438"/>
      <c r="G126" s="438"/>
    </row>
    <row r="127" spans="1:7">
      <c r="A127" s="646"/>
      <c r="B127" s="430">
        <f t="shared" si="27"/>
        <v>2124</v>
      </c>
      <c r="C127" s="431">
        <v>6</v>
      </c>
      <c r="D127" s="437" t="str">
        <f t="array" ref="D127">IFERROR(INDEX('EE BS BSMS'!$A$7:$C$116,SMALL(IF(('EE BS BSMS'!$A$7:$A$116=B127)*((ROW('EE BS BSMS'!$A$7:$A$116)&lt;101)+(ROW('EE BS BSMS'!$A$7:$A$116)&gt;103)),ROW('EE BS BSMS'!$A$7:$A$116)-6),C127),3),"")</f>
        <v/>
      </c>
      <c r="F127" s="438"/>
      <c r="G127" s="438"/>
    </row>
    <row r="128" spans="1:7">
      <c r="A128" s="646"/>
      <c r="D128" s="437" t="str">
        <f>IF(COUNTIF('EE BS BSMS'!$A$7:$C$116,B127)&gt;6,"Note: other courses not shown!","")</f>
        <v/>
      </c>
      <c r="F128" s="438"/>
      <c r="G128" s="438"/>
    </row>
  </sheetData>
  <sheetProtection password="CC3D" sheet="1" objects="1" scenarios="1" selectLockedCells="1"/>
  <mergeCells count="28">
    <mergeCell ref="F90:F96"/>
    <mergeCell ref="F50:F56"/>
    <mergeCell ref="F58:F64"/>
    <mergeCell ref="F66:F72"/>
    <mergeCell ref="F74:F80"/>
    <mergeCell ref="F82:F88"/>
    <mergeCell ref="A42:A48"/>
    <mergeCell ref="F2:F8"/>
    <mergeCell ref="F10:F16"/>
    <mergeCell ref="F18:F24"/>
    <mergeCell ref="F26:F32"/>
    <mergeCell ref="F34:F40"/>
    <mergeCell ref="F42:F48"/>
    <mergeCell ref="A2:A8"/>
    <mergeCell ref="A10:A16"/>
    <mergeCell ref="A18:A24"/>
    <mergeCell ref="A26:A32"/>
    <mergeCell ref="A34:A40"/>
    <mergeCell ref="A98:A104"/>
    <mergeCell ref="A106:A112"/>
    <mergeCell ref="A114:A120"/>
    <mergeCell ref="A122:A128"/>
    <mergeCell ref="A50:A56"/>
    <mergeCell ref="A58:A64"/>
    <mergeCell ref="A66:A72"/>
    <mergeCell ref="A74:A80"/>
    <mergeCell ref="A82:A88"/>
    <mergeCell ref="A90:A9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 BS BSMS</vt:lpstr>
      <vt:lpstr>Schedule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RJBEEE</dc:creator>
  <cp:lastModifiedBy>Connor</cp:lastModifiedBy>
  <cp:lastPrinted>2013-02-11T17:46:03Z</cp:lastPrinted>
  <dcterms:created xsi:type="dcterms:W3CDTF">2002-02-22T15:43:57Z</dcterms:created>
  <dcterms:modified xsi:type="dcterms:W3CDTF">2014-04-16T18:28:42Z</dcterms:modified>
</cp:coreProperties>
</file>