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<sst xmlns="http://schemas.openxmlformats.org/spreadsheetml/2006/main" count="59" uniqueCount="57">
  <si>
    <t>Constants</t>
  </si>
  <si>
    <t>Parameters</t>
  </si>
  <si>
    <t>Hour (after midnight)</t>
  </si>
  <si>
    <t>Solar zenith angle</t>
  </si>
  <si>
    <t>Temperature outside</t>
  </si>
  <si>
    <t>Start of hr inside temp</t>
  </si>
  <si>
    <t>Net radiation heat flux</t>
  </si>
  <si>
    <t>Conduction wall heat flux</t>
  </si>
  <si>
    <t>Conduction window heat flux</t>
  </si>
  <si>
    <t>Conduction roof heat flux</t>
  </si>
  <si>
    <t>Convection heat flux</t>
  </si>
  <si>
    <t>Net heat change</t>
  </si>
  <si>
    <t>Net temperature change</t>
  </si>
  <si>
    <t>Bricks/asphalt/drywall density</t>
  </si>
  <si>
    <t>kg/m^3</t>
  </si>
  <si>
    <t>Floor height</t>
  </si>
  <si>
    <t>Bricks/asphalt/drwall heat capacity</t>
  </si>
  <si>
    <t>J/(kg K)</t>
  </si>
  <si>
    <t>Floor number</t>
  </si>
  <si>
    <t>Air density</t>
  </si>
  <si>
    <t>Floor area</t>
  </si>
  <si>
    <t>Air heat capacity</t>
  </si>
  <si>
    <t>Floor area sqrt</t>
  </si>
  <si>
    <t>Stefan-Boltzmann constant</t>
  </si>
  <si>
    <t>Roof thickness</t>
  </si>
  <si>
    <t>Wind speed</t>
  </si>
  <si>
    <t>Vertical convective_h</t>
  </si>
  <si>
    <t>House absorbtivity</t>
  </si>
  <si>
    <t>House emmissivity</t>
  </si>
  <si>
    <t>Ground emmissivity</t>
  </si>
  <si>
    <t>Atmosphere emmissivity</t>
  </si>
  <si>
    <t>Roof sq meters</t>
  </si>
  <si>
    <t>Outer walls footprint</t>
  </si>
  <si>
    <t>Inner walls footprint</t>
  </si>
  <si>
    <t>Roof volume</t>
  </si>
  <si>
    <t>Outer walls volume</t>
  </si>
  <si>
    <t>Inner walls volume</t>
  </si>
  <si>
    <t>Total heat capacity</t>
  </si>
  <si>
    <t>Latitude of Memphis</t>
  </si>
  <si>
    <t>Solar declination for June 21st</t>
  </si>
  <si>
    <t>Wall r-value</t>
  </si>
  <si>
    <t>Attic r-value</t>
  </si>
  <si>
    <t>Window r-value</t>
  </si>
  <si>
    <t>Windows sq meters</t>
  </si>
  <si>
    <t>Start inside temp</t>
  </si>
  <si>
    <t xml:space="preserve">Negative means heat flows out of </t>
  </si>
  <si>
    <t>LIMITATION: using a linearized integration for delta T not changing which only works on small timescales. should loop back into itself</t>
  </si>
  <si>
    <t>Limitation: Lumped--capacitance model; with more time would have created separate substances for walls and inside (MAY HAVE TIME TO DO THIS!)</t>
  </si>
  <si>
    <t>Empirically this seems to cause ~10% error</t>
  </si>
  <si>
    <t>Pretend there's no furniture</t>
  </si>
  <si>
    <t>Day temps celcius</t>
  </si>
  <si>
    <t>To get maximally fine-grained you'd want to know the actual parameters of the house</t>
  </si>
  <si>
    <t>Air exchange is negligible?</t>
  </si>
  <si>
    <t>SWICH THINGS AROUND TO MAKE SURE WE INCLUDE TEMPERATURES IN FORMULAS</t>
  </si>
  <si>
    <t>https://www.energycodes.gov/sites/default/files/2021-07/EERE-2018-BT-DET-0014-0008.pdf?utm_source=chatgpt.com</t>
  </si>
  <si>
    <t>Adopted per</t>
  </si>
  <si>
    <t>https://shelbycountytn.gov/DocumentCenter/View/39393/2021-International-Energy-Conservation-Code-with-Local-Amendments?utm_source=chatgpt.com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</si>
</sst>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Outdoor (blue)  and indoor (red) temperature with time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Sheet1!$R$2:$R$25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Sheet1!$S$2:$S$25</c:f>
              <c:numCache/>
            </c:numRef>
          </c:val>
          <c:smooth val="0"/>
        </c:ser>
        <c:axId val="367509785"/>
        <c:axId val="1934535790"/>
      </c:lineChart>
      <c:catAx>
        <c:axId val="367509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535790"/>
      </c:catAx>
      <c:valAx>
        <c:axId val="1934535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5097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28575</xdr:colOff>
      <xdr:row>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nergycodes.gov/sites/default/files/2021-07/EERE-2018-BT-DET-0014-0008.pdf?utm_source=chatgpt.com" TargetMode="External"/><Relationship Id="rId2" Type="http://schemas.openxmlformats.org/officeDocument/2006/relationships/hyperlink" Target="https://shelbycountytn.gov/DocumentCenter/View/39393/2021-International-Energy-Conservation-Code-with-Local-Amendments?utm_source=chatgpt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1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</row>
    <row r="2">
      <c r="A2" s="2" t="s">
        <v>13</v>
      </c>
      <c r="B2" s="2">
        <v>1200.0</v>
      </c>
      <c r="C2" s="2" t="s">
        <v>14</v>
      </c>
      <c r="D2" s="2" t="s">
        <v>15</v>
      </c>
      <c r="E2" s="2">
        <v>2.0</v>
      </c>
      <c r="G2" s="2">
        <v>1.0</v>
      </c>
      <c r="H2" s="2">
        <f>sin(E20)*sin(E21)+cos(E20)*cos(E21)*cos(3.14/180*15*(23-12))</f>
        <v>-0.495767621</v>
      </c>
      <c r="I2" s="2">
        <f t="shared" ref="I2:I25" si="2">273+B34</f>
        <v>302.4</v>
      </c>
      <c r="J2" s="3">
        <f>E26</f>
        <v>300</v>
      </c>
      <c r="K2" s="3">
        <f t="shared" ref="K2:K25" si="3">$E$9*H2+$B$6*$E$12*(J2^4)+$E$11*$B$6*(J2^4) - $E$10*$B$6*(J2)^4</f>
        <v>413.0455394</v>
      </c>
      <c r="L2" s="3">
        <f t="shared" ref="L2:L25" si="4">(I2-J2)*3600/$E$22</f>
        <v>432</v>
      </c>
      <c r="M2" s="3">
        <f t="shared" ref="M2:N2" si="1">($I2-$J2)*3600/$E$23</f>
        <v>227.3684211</v>
      </c>
      <c r="N2" s="3">
        <f t="shared" si="1"/>
        <v>227.3684211</v>
      </c>
      <c r="O2" s="3">
        <f t="shared" ref="O2:O25" si="6">$E$8*(I2-J2)</f>
        <v>104.88</v>
      </c>
      <c r="P2" s="3">
        <f t="shared" ref="P2:P25" si="7">L2*$E$2*$E$3*$E$5 + M2*$E$25 + N2*$E$13 + O2 * ($E$2*$E$3*$E$5 + $E$13 + $E$25)</f>
        <v>70123.46442</v>
      </c>
      <c r="Q2" s="3">
        <f t="shared" ref="Q2:Q25" si="8">P2/$E$19</f>
        <v>2.234604004</v>
      </c>
      <c r="S2" s="3">
        <v>29.4</v>
      </c>
      <c r="T2" s="3">
        <f t="shared" ref="T2:T25" si="9">J2-273</f>
        <v>27</v>
      </c>
    </row>
    <row r="3">
      <c r="A3" s="2" t="s">
        <v>16</v>
      </c>
      <c r="B3" s="2">
        <v>1000.0</v>
      </c>
      <c r="C3" s="2" t="s">
        <v>17</v>
      </c>
      <c r="D3" s="2" t="s">
        <v>18</v>
      </c>
      <c r="E3" s="2">
        <v>2.0</v>
      </c>
      <c r="G3" s="2">
        <v>2.0</v>
      </c>
      <c r="H3" s="2">
        <f>sin(E20)*sin(E21)+cos(E20)*cos(E21)*cos(3.14/180*15*(0-12))</f>
        <v>-0.5216208525</v>
      </c>
      <c r="I3" s="2">
        <f t="shared" si="2"/>
        <v>302.4</v>
      </c>
      <c r="J3" s="3">
        <f t="shared" ref="J3:J25" si="10">J2+Q2</f>
        <v>302.234604</v>
      </c>
      <c r="K3" s="3">
        <f t="shared" si="3"/>
        <v>425.4837517</v>
      </c>
      <c r="L3" s="3">
        <f t="shared" si="4"/>
        <v>29.77127919</v>
      </c>
      <c r="M3" s="3">
        <f t="shared" ref="M3:N3" si="5">($I3-$J3)*3600/$E$23</f>
        <v>15.66909431</v>
      </c>
      <c r="N3" s="3">
        <f t="shared" si="5"/>
        <v>15.66909431</v>
      </c>
      <c r="O3" s="3">
        <f t="shared" si="6"/>
        <v>7.227805004</v>
      </c>
      <c r="P3" s="3">
        <f t="shared" si="7"/>
        <v>4832.55842</v>
      </c>
      <c r="Q3" s="3">
        <f t="shared" si="8"/>
        <v>0.1539977308</v>
      </c>
      <c r="S3" s="3">
        <v>29.4</v>
      </c>
      <c r="T3" s="3">
        <f t="shared" si="9"/>
        <v>29.234604</v>
      </c>
    </row>
    <row r="4">
      <c r="A4" s="2" t="s">
        <v>19</v>
      </c>
      <c r="B4" s="2">
        <v>1.2</v>
      </c>
      <c r="C4" s="2" t="s">
        <v>14</v>
      </c>
      <c r="D4" s="2" t="s">
        <v>20</v>
      </c>
      <c r="E4" s="2">
        <v>100.0</v>
      </c>
      <c r="G4" s="2">
        <v>3.0</v>
      </c>
      <c r="H4" s="2">
        <f>sin(E20)*sin(E21)+cos(E20)*cos(E21)*cos(3.14/180*15*(1-12))</f>
        <v>-0.495767621</v>
      </c>
      <c r="I4" s="2">
        <f t="shared" si="2"/>
        <v>301.9</v>
      </c>
      <c r="J4" s="3">
        <f t="shared" si="10"/>
        <v>302.3886017</v>
      </c>
      <c r="K4" s="3">
        <f t="shared" si="3"/>
        <v>426.3677527</v>
      </c>
      <c r="L4" s="3">
        <f t="shared" si="4"/>
        <v>-87.94831235</v>
      </c>
      <c r="M4" s="3">
        <f t="shared" ref="M4:N4" si="11">($I4-$J4)*3600/$E$23</f>
        <v>-46.28858545</v>
      </c>
      <c r="N4" s="3">
        <f t="shared" si="11"/>
        <v>-46.28858545</v>
      </c>
      <c r="O4" s="3">
        <f t="shared" si="6"/>
        <v>-21.35189583</v>
      </c>
      <c r="P4" s="3">
        <f t="shared" si="7"/>
        <v>-14276.01933</v>
      </c>
      <c r="Q4" s="3">
        <f t="shared" si="8"/>
        <v>-0.4549297476</v>
      </c>
      <c r="S4" s="3">
        <v>28.9</v>
      </c>
      <c r="T4" s="3">
        <f t="shared" si="9"/>
        <v>29.38860174</v>
      </c>
    </row>
    <row r="5">
      <c r="A5" s="2" t="s">
        <v>21</v>
      </c>
      <c r="B5" s="2">
        <v>1005.0</v>
      </c>
      <c r="C5" s="2" t="s">
        <v>17</v>
      </c>
      <c r="D5" s="2" t="s">
        <v>22</v>
      </c>
      <c r="E5" s="3">
        <f>SQRT(E4)</f>
        <v>10</v>
      </c>
      <c r="G5" s="2">
        <v>4.0</v>
      </c>
      <c r="H5" s="2">
        <f>sin(E20)*sin(E21)+cos(E20)*cos(E21)*cos(3.14/180*15*(2-12))</f>
        <v>-0.4205863568</v>
      </c>
      <c r="I5" s="2">
        <f t="shared" si="2"/>
        <v>301.3</v>
      </c>
      <c r="J5" s="3">
        <f t="shared" si="10"/>
        <v>301.933672</v>
      </c>
      <c r="K5" s="3">
        <f t="shared" si="3"/>
        <v>423.8510571</v>
      </c>
      <c r="L5" s="3">
        <f t="shared" si="4"/>
        <v>-114.0609578</v>
      </c>
      <c r="M5" s="3">
        <f t="shared" ref="M5:N5" si="12">($I5-$J5)*3600/$E$23</f>
        <v>-60.03208304</v>
      </c>
      <c r="N5" s="3">
        <f t="shared" si="12"/>
        <v>-60.03208304</v>
      </c>
      <c r="O5" s="3">
        <f t="shared" si="6"/>
        <v>-27.69146586</v>
      </c>
      <c r="P5" s="3">
        <f t="shared" si="7"/>
        <v>-18514.69795</v>
      </c>
      <c r="Q5" s="3">
        <f t="shared" si="8"/>
        <v>-0.5900024838</v>
      </c>
      <c r="S5" s="3">
        <v>28.3</v>
      </c>
      <c r="T5" s="3">
        <f t="shared" si="9"/>
        <v>28.93367199</v>
      </c>
    </row>
    <row r="6">
      <c r="A6" s="2" t="s">
        <v>23</v>
      </c>
      <c r="B6" s="2">
        <f>5.67*10^(-8)</f>
        <v>0.0000000567</v>
      </c>
      <c r="D6" s="2" t="s">
        <v>24</v>
      </c>
      <c r="E6" s="2">
        <v>0.1</v>
      </c>
      <c r="G6" s="2">
        <v>5.0</v>
      </c>
      <c r="H6" s="2">
        <f>sin(E20)*sin(E21)+cos(E20)*cos(E21)*cos(3.14/180*15*(3-12))</f>
        <v>-0.301195375</v>
      </c>
      <c r="I6" s="2">
        <f t="shared" si="2"/>
        <v>301.3</v>
      </c>
      <c r="J6" s="3">
        <f t="shared" si="10"/>
        <v>301.3436695</v>
      </c>
      <c r="K6" s="3">
        <f t="shared" si="3"/>
        <v>420.6174679</v>
      </c>
      <c r="L6" s="3">
        <f t="shared" si="4"/>
        <v>-7.860510693</v>
      </c>
      <c r="M6" s="3">
        <f t="shared" ref="M6:N6" si="13">($I6-$J6)*3600/$E$23</f>
        <v>-4.137110891</v>
      </c>
      <c r="N6" s="3">
        <f t="shared" si="13"/>
        <v>-4.137110891</v>
      </c>
      <c r="O6" s="3">
        <f t="shared" si="6"/>
        <v>-1.908357318</v>
      </c>
      <c r="P6" s="3">
        <f t="shared" si="7"/>
        <v>-1275.940375</v>
      </c>
      <c r="Q6" s="3">
        <f t="shared" si="8"/>
        <v>-0.04066002007</v>
      </c>
      <c r="S6" s="3">
        <v>28.3</v>
      </c>
      <c r="T6" s="3">
        <f t="shared" si="9"/>
        <v>28.3436695</v>
      </c>
    </row>
    <row r="7">
      <c r="D7" s="2" t="s">
        <v>25</v>
      </c>
      <c r="E7" s="2">
        <v>10.0</v>
      </c>
      <c r="G7" s="2">
        <v>6.0</v>
      </c>
      <c r="H7" s="2">
        <f>sin(E20)*sin(E21)+cos(E20)*cos(E21)*cos(3.14/180*15*(4-12))</f>
        <v>-0.1457227736</v>
      </c>
      <c r="I7" s="2">
        <f t="shared" si="2"/>
        <v>301.3</v>
      </c>
      <c r="J7" s="3">
        <f t="shared" si="10"/>
        <v>301.3030095</v>
      </c>
      <c r="K7" s="3">
        <f t="shared" si="3"/>
        <v>420.4836858</v>
      </c>
      <c r="L7" s="3">
        <f t="shared" si="4"/>
        <v>-0.5417070797</v>
      </c>
      <c r="M7" s="3">
        <f t="shared" ref="M7:N7" si="14">($I7-$J7)*3600/$E$23</f>
        <v>-0.2851089893</v>
      </c>
      <c r="N7" s="3">
        <f t="shared" si="14"/>
        <v>-0.2851089893</v>
      </c>
      <c r="O7" s="3">
        <f t="shared" si="6"/>
        <v>-0.131514441</v>
      </c>
      <c r="P7" s="3">
        <f t="shared" si="7"/>
        <v>-87.93142854</v>
      </c>
      <c r="Q7" s="3">
        <f t="shared" si="8"/>
        <v>-0.002802085207</v>
      </c>
      <c r="S7" s="3">
        <v>28.3</v>
      </c>
      <c r="T7" s="3">
        <f t="shared" si="9"/>
        <v>28.30300948</v>
      </c>
    </row>
    <row r="8">
      <c r="D8" s="2" t="s">
        <v>26</v>
      </c>
      <c r="E8" s="3">
        <f>E7*3.8 + 5.7</f>
        <v>43.7</v>
      </c>
      <c r="G8" s="2">
        <v>7.0</v>
      </c>
      <c r="H8" s="2">
        <f>sin(E20)*sin(E21)+cos(E20)*cos(E21)*cos(3.14/180*15*(5-12))</f>
        <v>0.03524692526</v>
      </c>
      <c r="I8" s="2">
        <f t="shared" si="2"/>
        <v>301.9</v>
      </c>
      <c r="J8" s="3">
        <f t="shared" si="10"/>
        <v>301.3002074</v>
      </c>
      <c r="K8" s="3">
        <f t="shared" si="3"/>
        <v>420.5766228</v>
      </c>
      <c r="L8" s="3">
        <f t="shared" si="4"/>
        <v>107.9626683</v>
      </c>
      <c r="M8" s="3">
        <f t="shared" ref="M8:N8" si="15">($I8-$J8)*3600/$E$23</f>
        <v>56.82245698</v>
      </c>
      <c r="N8" s="3">
        <f t="shared" si="15"/>
        <v>56.82245698</v>
      </c>
      <c r="O8" s="3">
        <f t="shared" si="6"/>
        <v>26.21093668</v>
      </c>
      <c r="P8" s="3">
        <f t="shared" si="7"/>
        <v>17524.80631</v>
      </c>
      <c r="Q8" s="3">
        <f t="shared" si="8"/>
        <v>0.5584578954</v>
      </c>
      <c r="S8" s="3">
        <v>28.9</v>
      </c>
      <c r="T8" s="3">
        <f t="shared" si="9"/>
        <v>28.3002074</v>
      </c>
    </row>
    <row r="9">
      <c r="D9" s="2" t="s">
        <v>27</v>
      </c>
      <c r="E9" s="2">
        <v>0.6</v>
      </c>
      <c r="G9" s="2">
        <v>8.0</v>
      </c>
      <c r="H9" s="2">
        <f>sin(E20)*sin(E21)+cos(E20)*cos(E21)*cos(3.14/180*15*(6-12))</f>
        <v>0.2293933655</v>
      </c>
      <c r="I9" s="2">
        <f t="shared" si="2"/>
        <v>304.1</v>
      </c>
      <c r="J9" s="3">
        <f t="shared" si="10"/>
        <v>301.8586653</v>
      </c>
      <c r="K9" s="3">
        <f t="shared" si="3"/>
        <v>423.819777</v>
      </c>
      <c r="L9" s="3">
        <f t="shared" si="4"/>
        <v>403.4402471</v>
      </c>
      <c r="M9" s="3">
        <f t="shared" ref="M9:N9" si="16">($I9-$J9)*3600/$E$23</f>
        <v>212.3369721</v>
      </c>
      <c r="N9" s="3">
        <f t="shared" si="16"/>
        <v>212.3369721</v>
      </c>
      <c r="O9" s="3">
        <f t="shared" si="6"/>
        <v>97.94632665</v>
      </c>
      <c r="P9" s="3">
        <f t="shared" si="7"/>
        <v>65487.56438</v>
      </c>
      <c r="Q9" s="3">
        <f t="shared" si="8"/>
        <v>2.086873129</v>
      </c>
      <c r="S9" s="3">
        <v>31.1</v>
      </c>
      <c r="T9" s="3">
        <f t="shared" si="9"/>
        <v>28.85866529</v>
      </c>
    </row>
    <row r="10">
      <c r="D10" s="2" t="s">
        <v>28</v>
      </c>
      <c r="E10" s="2">
        <v>0.8</v>
      </c>
      <c r="G10" s="2">
        <v>9.0</v>
      </c>
      <c r="H10" s="2">
        <f>sin(E20)*sin(E21)+cos(E20)*cos(E21)*cos(3.14/180*15*(7-12))</f>
        <v>0.4234991228</v>
      </c>
      <c r="I10" s="2">
        <f t="shared" si="2"/>
        <v>305.8</v>
      </c>
      <c r="J10" s="3">
        <f t="shared" si="10"/>
        <v>303.9455384</v>
      </c>
      <c r="K10" s="3">
        <f t="shared" si="3"/>
        <v>435.7746571</v>
      </c>
      <c r="L10" s="3">
        <f t="shared" si="4"/>
        <v>333.8030839</v>
      </c>
      <c r="M10" s="3">
        <f t="shared" ref="M10:N10" si="17">($I10-$J10)*3600/$E$23</f>
        <v>175.6858336</v>
      </c>
      <c r="N10" s="3">
        <f t="shared" si="17"/>
        <v>175.6858336</v>
      </c>
      <c r="O10" s="3">
        <f t="shared" si="6"/>
        <v>81.03997092</v>
      </c>
      <c r="P10" s="3">
        <f t="shared" si="7"/>
        <v>54183.86267</v>
      </c>
      <c r="Q10" s="3">
        <f t="shared" si="8"/>
        <v>1.726661361</v>
      </c>
      <c r="S10" s="3">
        <v>32.8</v>
      </c>
      <c r="T10" s="3">
        <f t="shared" si="9"/>
        <v>30.94553842</v>
      </c>
    </row>
    <row r="11">
      <c r="D11" s="2" t="s">
        <v>29</v>
      </c>
      <c r="E11" s="2">
        <v>0.9</v>
      </c>
      <c r="G11" s="2">
        <v>10.0</v>
      </c>
      <c r="H11" s="2">
        <f>sin(E20)*sin(E21)+cos(E20)*cos(E21)*cos(3.14/180*15*(8-12))</f>
        <v>0.6043495427</v>
      </c>
      <c r="I11" s="2">
        <f t="shared" si="2"/>
        <v>307.4</v>
      </c>
      <c r="J11" s="3">
        <f t="shared" si="10"/>
        <v>305.6721998</v>
      </c>
      <c r="K11" s="3">
        <f t="shared" si="3"/>
        <v>445.8642813</v>
      </c>
      <c r="L11" s="3">
        <f t="shared" si="4"/>
        <v>311.0040389</v>
      </c>
      <c r="M11" s="3">
        <f t="shared" ref="M11:N11" si="18">($I11-$J11)*3600/$E$23</f>
        <v>163.6863363</v>
      </c>
      <c r="N11" s="3">
        <f t="shared" si="18"/>
        <v>163.6863363</v>
      </c>
      <c r="O11" s="3">
        <f t="shared" si="6"/>
        <v>75.50486944</v>
      </c>
      <c r="P11" s="3">
        <f t="shared" si="7"/>
        <v>50483.05707</v>
      </c>
      <c r="Q11" s="3">
        <f t="shared" si="8"/>
        <v>1.608728867</v>
      </c>
      <c r="S11" s="3">
        <v>34.4</v>
      </c>
      <c r="T11" s="3">
        <f t="shared" si="9"/>
        <v>32.67219978</v>
      </c>
    </row>
    <row r="12">
      <c r="D12" s="2" t="s">
        <v>30</v>
      </c>
      <c r="E12" s="2">
        <v>0.8</v>
      </c>
      <c r="G12" s="2">
        <v>11.0</v>
      </c>
      <c r="H12" s="2">
        <f>sin(E20)*sin(E21)+cos(E20)*cos(E21)*cos(3.14/180*15*(9-12))</f>
        <v>0.7596323895</v>
      </c>
      <c r="I12" s="2">
        <f t="shared" si="2"/>
        <v>308.6</v>
      </c>
      <c r="J12" s="3">
        <f t="shared" si="10"/>
        <v>307.2809287</v>
      </c>
      <c r="K12" s="3">
        <f t="shared" si="3"/>
        <v>455.4103108</v>
      </c>
      <c r="L12" s="3">
        <f t="shared" si="4"/>
        <v>237.4328428</v>
      </c>
      <c r="M12" s="3">
        <f t="shared" ref="M12:N12" si="19">($I12-$J12)*3600/$E$23</f>
        <v>124.9646541</v>
      </c>
      <c r="N12" s="3">
        <f t="shared" si="19"/>
        <v>124.9646541</v>
      </c>
      <c r="O12" s="3">
        <f t="shared" si="6"/>
        <v>57.64341794</v>
      </c>
      <c r="P12" s="3">
        <f t="shared" si="7"/>
        <v>38540.77199</v>
      </c>
      <c r="Q12" s="3">
        <f t="shared" si="8"/>
        <v>1.228167549</v>
      </c>
      <c r="S12" s="3">
        <v>35.6</v>
      </c>
      <c r="T12" s="3">
        <f t="shared" si="9"/>
        <v>34.28092865</v>
      </c>
    </row>
    <row r="13">
      <c r="D13" s="2" t="s">
        <v>31</v>
      </c>
      <c r="E13" s="3">
        <f>2*(sqrt((E5/2)^2*2) * E5)</f>
        <v>141.4213562</v>
      </c>
      <c r="G13" s="2">
        <v>12.0</v>
      </c>
      <c r="H13" s="2">
        <f>sin(E20)*sin(E21)+cos(E20)*cos(E21)*cos(3.14/180*15*(10-12))</f>
        <v>0.8787760595</v>
      </c>
      <c r="I13" s="2">
        <f t="shared" si="2"/>
        <v>309.1</v>
      </c>
      <c r="J13" s="3">
        <f t="shared" si="10"/>
        <v>308.5090962</v>
      </c>
      <c r="K13" s="3">
        <f t="shared" si="3"/>
        <v>462.7991308</v>
      </c>
      <c r="L13" s="3">
        <f t="shared" si="4"/>
        <v>106.3626839</v>
      </c>
      <c r="M13" s="3">
        <f t="shared" ref="M13:N13" si="20">($I13-$J13)*3600/$E$23</f>
        <v>55.98035996</v>
      </c>
      <c r="N13" s="3">
        <f t="shared" si="20"/>
        <v>55.98035996</v>
      </c>
      <c r="O13" s="3">
        <f t="shared" si="6"/>
        <v>25.82249604</v>
      </c>
      <c r="P13" s="3">
        <f t="shared" si="7"/>
        <v>17265.09232</v>
      </c>
      <c r="Q13" s="3">
        <f t="shared" si="8"/>
        <v>0.5501816653</v>
      </c>
      <c r="S13" s="3">
        <v>36.1</v>
      </c>
      <c r="T13" s="3">
        <f t="shared" si="9"/>
        <v>35.5090962</v>
      </c>
    </row>
    <row r="14">
      <c r="D14" s="2" t="s">
        <v>32</v>
      </c>
      <c r="E14" s="3">
        <f>0.1*E4</f>
        <v>10</v>
      </c>
      <c r="G14" s="2">
        <v>13.0</v>
      </c>
      <c r="H14" s="2">
        <f>sin(E20)*sin(E21)+cos(E20)*cos(E21)*cos(3.14/180*15*(11-12))</f>
        <v>0.9536692916</v>
      </c>
      <c r="I14" s="2">
        <f t="shared" si="2"/>
        <v>310.8</v>
      </c>
      <c r="J14" s="3">
        <f t="shared" si="10"/>
        <v>309.0592779</v>
      </c>
      <c r="K14" s="3">
        <f t="shared" si="3"/>
        <v>466.1504803</v>
      </c>
      <c r="L14" s="3">
        <f t="shared" si="4"/>
        <v>313.3299842</v>
      </c>
      <c r="M14" s="3">
        <f t="shared" ref="M14:N14" si="21">($I14-$J14)*3600/$E$23</f>
        <v>164.910518</v>
      </c>
      <c r="N14" s="3">
        <f t="shared" si="21"/>
        <v>164.910518</v>
      </c>
      <c r="O14" s="3">
        <f t="shared" si="6"/>
        <v>76.06955727</v>
      </c>
      <c r="P14" s="3">
        <f t="shared" si="7"/>
        <v>50860.6111</v>
      </c>
      <c r="Q14" s="3">
        <f t="shared" si="8"/>
        <v>1.620760272</v>
      </c>
      <c r="S14" s="3">
        <v>37.8</v>
      </c>
      <c r="T14" s="3">
        <f t="shared" si="9"/>
        <v>36.05927787</v>
      </c>
    </row>
    <row r="15">
      <c r="D15" s="2" t="s">
        <v>33</v>
      </c>
      <c r="E15" s="3">
        <f>0.1*E4</f>
        <v>10</v>
      </c>
      <c r="G15" s="2">
        <v>14.0</v>
      </c>
      <c r="H15" s="2">
        <f>sin(E20)*sin(E21)+cos(E20)*cos(E21)*cos(3.14/180*15*(12-12))</f>
        <v>0.97921338</v>
      </c>
      <c r="I15" s="2">
        <f t="shared" si="2"/>
        <v>310.8</v>
      </c>
      <c r="J15" s="3">
        <f t="shared" si="10"/>
        <v>310.6800381</v>
      </c>
      <c r="K15" s="3">
        <f t="shared" si="3"/>
        <v>476.0091918</v>
      </c>
      <c r="L15" s="3">
        <f t="shared" si="4"/>
        <v>21.59313527</v>
      </c>
      <c r="M15" s="3">
        <f t="shared" ref="M15:N15" si="22">($I15-$J15)*3600/$E$23</f>
        <v>11.36480804</v>
      </c>
      <c r="N15" s="3">
        <f t="shared" si="22"/>
        <v>11.36480804</v>
      </c>
      <c r="O15" s="3">
        <f t="shared" si="6"/>
        <v>5.242333397</v>
      </c>
      <c r="P15" s="3">
        <f t="shared" si="7"/>
        <v>3505.058919</v>
      </c>
      <c r="Q15" s="3">
        <f t="shared" si="8"/>
        <v>0.1116946911</v>
      </c>
      <c r="S15" s="3">
        <v>37.8</v>
      </c>
      <c r="T15" s="3">
        <f t="shared" si="9"/>
        <v>37.68003814</v>
      </c>
    </row>
    <row r="16">
      <c r="D16" s="2" t="s">
        <v>34</v>
      </c>
      <c r="E16" s="3">
        <f>E13*E6</f>
        <v>14.14213562</v>
      </c>
      <c r="G16" s="2">
        <v>15.0</v>
      </c>
      <c r="H16" s="2">
        <f>sin(E20)*sin(E21)+cos(E20)*cos(E21)*cos(3.14/180*15*(13-12))</f>
        <v>0.9536692916</v>
      </c>
      <c r="I16" s="2">
        <f t="shared" si="2"/>
        <v>311.9</v>
      </c>
      <c r="J16" s="3">
        <f t="shared" si="10"/>
        <v>310.7917328</v>
      </c>
      <c r="K16" s="3">
        <f t="shared" si="3"/>
        <v>476.6779224</v>
      </c>
      <c r="L16" s="3">
        <f t="shared" si="4"/>
        <v>199.4880909</v>
      </c>
      <c r="M16" s="3">
        <f t="shared" ref="M16:N16" si="23">($I16-$J16)*3600/$E$23</f>
        <v>104.993732</v>
      </c>
      <c r="N16" s="3">
        <f t="shared" si="23"/>
        <v>104.993732</v>
      </c>
      <c r="O16" s="3">
        <f t="shared" si="6"/>
        <v>48.4312754</v>
      </c>
      <c r="P16" s="3">
        <f t="shared" si="7"/>
        <v>32381.47232</v>
      </c>
      <c r="Q16" s="3">
        <f t="shared" si="8"/>
        <v>1.031890941</v>
      </c>
      <c r="S16" s="3">
        <v>38.9</v>
      </c>
      <c r="T16" s="3">
        <f t="shared" si="9"/>
        <v>37.79173283</v>
      </c>
    </row>
    <row r="17">
      <c r="D17" s="2" t="s">
        <v>35</v>
      </c>
      <c r="E17" s="3">
        <f>E14*E3*E2</f>
        <v>40</v>
      </c>
      <c r="G17" s="2">
        <v>16.0</v>
      </c>
      <c r="H17" s="2">
        <f>sin(E20)*sin(E21)+cos(E20)*cos(E21)*cos(3.14/180*15*(14-12))</f>
        <v>0.8787760595</v>
      </c>
      <c r="I17" s="2">
        <f t="shared" si="2"/>
        <v>311.9</v>
      </c>
      <c r="J17" s="3">
        <f t="shared" si="10"/>
        <v>311.8236238</v>
      </c>
      <c r="K17" s="3">
        <f t="shared" si="3"/>
        <v>482.9876132</v>
      </c>
      <c r="L17" s="3">
        <f t="shared" si="4"/>
        <v>13.74772141</v>
      </c>
      <c r="M17" s="3">
        <f t="shared" ref="M17:N17" si="24">($I17-$J17)*3600/$E$23</f>
        <v>7.235642848</v>
      </c>
      <c r="N17" s="3">
        <f t="shared" si="24"/>
        <v>7.235642848</v>
      </c>
      <c r="O17" s="3">
        <f t="shared" si="6"/>
        <v>3.337641254</v>
      </c>
      <c r="P17" s="3">
        <f t="shared" si="7"/>
        <v>2231.569105</v>
      </c>
      <c r="Q17" s="3">
        <f t="shared" si="8"/>
        <v>0.07111276231</v>
      </c>
      <c r="S17" s="3">
        <v>38.9</v>
      </c>
      <c r="T17" s="3">
        <f t="shared" si="9"/>
        <v>38.82362377</v>
      </c>
    </row>
    <row r="18">
      <c r="D18" s="2" t="s">
        <v>36</v>
      </c>
      <c r="E18" s="3">
        <f>E15*E3*E2</f>
        <v>40</v>
      </c>
      <c r="G18" s="2">
        <v>17.0</v>
      </c>
      <c r="H18" s="2">
        <f>sin(E20)*sin(E21)+cos(E20)*cos(E21)*cos(3.14/180*15*(15-12))</f>
        <v>0.7596323895</v>
      </c>
      <c r="I18" s="2">
        <f t="shared" si="2"/>
        <v>310.8</v>
      </c>
      <c r="J18" s="3">
        <f t="shared" si="10"/>
        <v>311.8947365</v>
      </c>
      <c r="K18" s="3">
        <f t="shared" si="3"/>
        <v>483.3563865</v>
      </c>
      <c r="L18" s="3">
        <f t="shared" si="4"/>
        <v>-197.0525758</v>
      </c>
      <c r="M18" s="3">
        <f t="shared" ref="M18:N18" si="25">($I18-$J18)*3600/$E$23</f>
        <v>-103.711882</v>
      </c>
      <c r="N18" s="3">
        <f t="shared" si="25"/>
        <v>-103.711882</v>
      </c>
      <c r="O18" s="3">
        <f t="shared" si="6"/>
        <v>-47.83998646</v>
      </c>
      <c r="P18" s="3">
        <f t="shared" si="7"/>
        <v>-31986.13261</v>
      </c>
      <c r="Q18" s="3">
        <f t="shared" si="8"/>
        <v>-1.019292766</v>
      </c>
      <c r="S18" s="3">
        <v>37.8</v>
      </c>
      <c r="T18" s="3">
        <f t="shared" si="9"/>
        <v>38.89473653</v>
      </c>
    </row>
    <row r="19">
      <c r="D19" s="2" t="s">
        <v>37</v>
      </c>
      <c r="E19" s="3">
        <f>(E18+E17+E16) * B2 * B3/3600</f>
        <v>31380.71187</v>
      </c>
      <c r="G19" s="2">
        <v>18.0</v>
      </c>
      <c r="H19" s="2">
        <f>sin(E20)*sin(E21)+cos(E20)*cos(E21)*cos(3.14/180*15*(16-12))</f>
        <v>0.6043495427</v>
      </c>
      <c r="I19" s="2">
        <f t="shared" si="2"/>
        <v>310.2</v>
      </c>
      <c r="J19" s="3">
        <f t="shared" si="10"/>
        <v>310.8754438</v>
      </c>
      <c r="K19" s="3">
        <f t="shared" si="3"/>
        <v>476.9814891</v>
      </c>
      <c r="L19" s="3">
        <f t="shared" si="4"/>
        <v>-121.5798779</v>
      </c>
      <c r="M19" s="3">
        <f t="shared" ref="M19:N19" si="26">($I19-$J19)*3600/$E$23</f>
        <v>-63.98940942</v>
      </c>
      <c r="N19" s="3">
        <f t="shared" si="26"/>
        <v>-63.98940942</v>
      </c>
      <c r="O19" s="3">
        <f t="shared" si="6"/>
        <v>-29.51689258</v>
      </c>
      <c r="P19" s="3">
        <f t="shared" si="7"/>
        <v>-19735.19037</v>
      </c>
      <c r="Q19" s="3">
        <f t="shared" si="8"/>
        <v>-0.6288955602</v>
      </c>
      <c r="S19" s="3">
        <v>37.2</v>
      </c>
      <c r="T19" s="3">
        <f t="shared" si="9"/>
        <v>37.87544377</v>
      </c>
    </row>
    <row r="20">
      <c r="D20" s="2" t="s">
        <v>38</v>
      </c>
      <c r="E20" s="2">
        <f>35.1486*3.14/180</f>
        <v>0.6131478</v>
      </c>
      <c r="G20" s="2">
        <v>19.0</v>
      </c>
      <c r="H20" s="2">
        <f>sin(E20)*sin(E21)+cos(E20)*cos(E21)*cos(3.14/180*15*(17-12))</f>
        <v>0.4234991228</v>
      </c>
      <c r="I20" s="2">
        <f t="shared" si="2"/>
        <v>309.1</v>
      </c>
      <c r="J20" s="3">
        <f t="shared" si="10"/>
        <v>310.2465482</v>
      </c>
      <c r="K20" s="3">
        <f t="shared" si="3"/>
        <v>473.0278999</v>
      </c>
      <c r="L20" s="3">
        <f t="shared" si="4"/>
        <v>-206.3786771</v>
      </c>
      <c r="M20" s="3">
        <f t="shared" ref="M20:N20" si="27">($I20-$J20)*3600/$E$23</f>
        <v>-108.6203563</v>
      </c>
      <c r="N20" s="3">
        <f t="shared" si="27"/>
        <v>-108.6203563</v>
      </c>
      <c r="O20" s="3">
        <f t="shared" si="6"/>
        <v>-50.1041566</v>
      </c>
      <c r="P20" s="3">
        <f t="shared" si="7"/>
        <v>-33499.9718</v>
      </c>
      <c r="Q20" s="3">
        <f t="shared" si="8"/>
        <v>-1.067533838</v>
      </c>
      <c r="S20" s="3">
        <v>36.1</v>
      </c>
      <c r="T20" s="3">
        <f t="shared" si="9"/>
        <v>37.24654821</v>
      </c>
    </row>
    <row r="21">
      <c r="D21" s="2" t="s">
        <v>39</v>
      </c>
      <c r="E21" s="2">
        <f>23.44*3.14/180</f>
        <v>0.4088977778</v>
      </c>
      <c r="G21" s="2">
        <v>20.0</v>
      </c>
      <c r="H21" s="2">
        <f>sin(E20)*sin(E21)+cos(E20)*cos(E21)*cos(3.14/180*15*(18-12))</f>
        <v>0.2293933655</v>
      </c>
      <c r="I21" s="2">
        <f t="shared" si="2"/>
        <v>307.4</v>
      </c>
      <c r="J21" s="3">
        <f t="shared" si="10"/>
        <v>309.1790144</v>
      </c>
      <c r="K21" s="3">
        <f t="shared" si="3"/>
        <v>466.4378361</v>
      </c>
      <c r="L21" s="3">
        <f t="shared" si="4"/>
        <v>-320.2225861</v>
      </c>
      <c r="M21" s="3">
        <f t="shared" ref="M21:N21" si="28">($I21-$J21)*3600/$E$23</f>
        <v>-168.5382032</v>
      </c>
      <c r="N21" s="3">
        <f t="shared" si="28"/>
        <v>-168.5382032</v>
      </c>
      <c r="O21" s="3">
        <f t="shared" si="6"/>
        <v>-77.74292786</v>
      </c>
      <c r="P21" s="3">
        <f t="shared" si="7"/>
        <v>-51979.43779</v>
      </c>
      <c r="Q21" s="3">
        <f t="shared" si="8"/>
        <v>-1.656413596</v>
      </c>
      <c r="S21" s="3">
        <v>34.4</v>
      </c>
      <c r="T21" s="3">
        <f t="shared" si="9"/>
        <v>36.17901437</v>
      </c>
    </row>
    <row r="22">
      <c r="D22" s="2" t="s">
        <v>40</v>
      </c>
      <c r="E22" s="2">
        <v>20.0</v>
      </c>
      <c r="G22" s="2">
        <v>21.0</v>
      </c>
      <c r="H22" s="2">
        <f>sin(E20)*sin(E21)+cos(E20)*cos(E21)*cos(3.14/180*15*(19-12))</f>
        <v>0.03524692526</v>
      </c>
      <c r="I22" s="2">
        <f t="shared" si="2"/>
        <v>306.3</v>
      </c>
      <c r="J22" s="3">
        <f t="shared" si="10"/>
        <v>307.5226008</v>
      </c>
      <c r="K22" s="3">
        <f t="shared" si="3"/>
        <v>456.4086302</v>
      </c>
      <c r="L22" s="3">
        <f t="shared" si="4"/>
        <v>-220.0681389</v>
      </c>
      <c r="M22" s="3">
        <f t="shared" ref="M22:N22" si="29">($I22-$J22)*3600/$E$23</f>
        <v>-115.8253363</v>
      </c>
      <c r="N22" s="3">
        <f t="shared" si="29"/>
        <v>-115.8253363</v>
      </c>
      <c r="O22" s="3">
        <f t="shared" si="6"/>
        <v>-53.42765373</v>
      </c>
      <c r="P22" s="3">
        <f t="shared" si="7"/>
        <v>-35722.08405</v>
      </c>
      <c r="Q22" s="3">
        <f t="shared" si="8"/>
        <v>-1.138345242</v>
      </c>
      <c r="S22" s="3">
        <v>33.3</v>
      </c>
      <c r="T22" s="3">
        <f t="shared" si="9"/>
        <v>34.52260077</v>
      </c>
    </row>
    <row r="23">
      <c r="D23" s="2" t="s">
        <v>41</v>
      </c>
      <c r="E23" s="2">
        <v>38.0</v>
      </c>
      <c r="G23" s="2">
        <v>22.0</v>
      </c>
      <c r="H23" s="2">
        <f>sin(E20)*sin(E21)+cos(E20)*cos(E21)*cos(3.14/180*15*(20-12))</f>
        <v>-0.1457227736</v>
      </c>
      <c r="I23" s="2">
        <f t="shared" si="2"/>
        <v>305.8</v>
      </c>
      <c r="J23" s="3">
        <f t="shared" si="10"/>
        <v>306.3842555</v>
      </c>
      <c r="K23" s="3">
        <f t="shared" si="3"/>
        <v>449.5799054</v>
      </c>
      <c r="L23" s="3">
        <f t="shared" si="4"/>
        <v>-105.1659954</v>
      </c>
      <c r="M23" s="3">
        <f t="shared" ref="M23:N23" si="30">($I23-$J23)*3600/$E$23</f>
        <v>-55.35052389</v>
      </c>
      <c r="N23" s="3">
        <f t="shared" si="30"/>
        <v>-55.35052389</v>
      </c>
      <c r="O23" s="3">
        <f t="shared" si="6"/>
        <v>-25.53196666</v>
      </c>
      <c r="P23" s="3">
        <f t="shared" si="7"/>
        <v>-17070.84244</v>
      </c>
      <c r="Q23" s="3">
        <f t="shared" si="8"/>
        <v>-0.5439915612</v>
      </c>
      <c r="S23" s="3">
        <v>32.8</v>
      </c>
      <c r="T23" s="3">
        <f t="shared" si="9"/>
        <v>33.38425553</v>
      </c>
    </row>
    <row r="24">
      <c r="D24" s="2" t="s">
        <v>42</v>
      </c>
      <c r="E24" s="2">
        <v>3.33</v>
      </c>
      <c r="G24" s="2">
        <v>23.0</v>
      </c>
      <c r="H24" s="2">
        <f>sin(E20)*sin(E21)+cos(E20)*cos(E21)*cos(3.14/180*15*(21-12))</f>
        <v>-0.301195375</v>
      </c>
      <c r="I24" s="2">
        <f t="shared" si="2"/>
        <v>305.2</v>
      </c>
      <c r="J24" s="3">
        <f t="shared" si="10"/>
        <v>305.840264</v>
      </c>
      <c r="K24" s="3">
        <f t="shared" si="3"/>
        <v>446.3015427</v>
      </c>
      <c r="L24" s="3">
        <f t="shared" si="4"/>
        <v>-115.2475144</v>
      </c>
      <c r="M24" s="3">
        <f t="shared" ref="M24:N24" si="31">($I24-$J24)*3600/$E$23</f>
        <v>-60.65658651</v>
      </c>
      <c r="N24" s="3">
        <f t="shared" si="31"/>
        <v>-60.65658651</v>
      </c>
      <c r="O24" s="3">
        <f t="shared" si="6"/>
        <v>-27.97953543</v>
      </c>
      <c r="P24" s="3">
        <f t="shared" si="7"/>
        <v>-18707.30318</v>
      </c>
      <c r="Q24" s="3">
        <f t="shared" si="8"/>
        <v>-0.5961401785</v>
      </c>
      <c r="S24" s="3">
        <v>32.2</v>
      </c>
      <c r="T24" s="3">
        <f t="shared" si="9"/>
        <v>32.84026397</v>
      </c>
    </row>
    <row r="25">
      <c r="D25" s="2" t="s">
        <v>43</v>
      </c>
      <c r="E25" s="2">
        <v>5.0</v>
      </c>
      <c r="G25" s="2">
        <v>24.0</v>
      </c>
      <c r="H25" s="2">
        <f>sin(E20)*sin(E21)+cos(E20)*cos(E21)*cos(3.14/180*15*(22-12))</f>
        <v>-0.4205863568</v>
      </c>
      <c r="I25" s="2">
        <f t="shared" si="2"/>
        <v>304.7</v>
      </c>
      <c r="J25" s="3">
        <f t="shared" si="10"/>
        <v>305.2441238</v>
      </c>
      <c r="K25" s="3">
        <f t="shared" si="3"/>
        <v>442.7589614</v>
      </c>
      <c r="L25" s="3">
        <f t="shared" si="4"/>
        <v>-97.94228224</v>
      </c>
      <c r="M25" s="3">
        <f t="shared" ref="M25:N25" si="32">($I25-$J25)*3600/$E$23</f>
        <v>-51.5485696</v>
      </c>
      <c r="N25" s="3">
        <f t="shared" si="32"/>
        <v>-51.5485696</v>
      </c>
      <c r="O25" s="3">
        <f t="shared" si="6"/>
        <v>-23.77820963</v>
      </c>
      <c r="P25" s="3">
        <f t="shared" si="7"/>
        <v>-15898.26885</v>
      </c>
      <c r="Q25" s="3">
        <f t="shared" si="8"/>
        <v>-0.5066255002</v>
      </c>
      <c r="S25" s="3">
        <v>31.7</v>
      </c>
      <c r="T25" s="3">
        <f t="shared" si="9"/>
        <v>32.24412379</v>
      </c>
    </row>
    <row r="26">
      <c r="D26" s="2" t="s">
        <v>44</v>
      </c>
      <c r="E26" s="2">
        <v>300.0</v>
      </c>
    </row>
    <row r="28">
      <c r="D28" s="2" t="s">
        <v>45</v>
      </c>
    </row>
    <row r="29">
      <c r="D29" s="2" t="s">
        <v>46</v>
      </c>
    </row>
    <row r="30">
      <c r="D30" s="2" t="s">
        <v>47</v>
      </c>
    </row>
    <row r="31">
      <c r="D31" s="2" t="s">
        <v>48</v>
      </c>
    </row>
    <row r="32">
      <c r="D32" s="2" t="s">
        <v>49</v>
      </c>
    </row>
    <row r="33">
      <c r="B33" s="2" t="s">
        <v>50</v>
      </c>
      <c r="D33" s="2" t="s">
        <v>51</v>
      </c>
    </row>
    <row r="34">
      <c r="B34" s="3">
        <v>29.4</v>
      </c>
      <c r="D34" s="2" t="s">
        <v>52</v>
      </c>
    </row>
    <row r="35">
      <c r="B35" s="3">
        <v>29.4</v>
      </c>
      <c r="D35" s="2" t="s">
        <v>53</v>
      </c>
    </row>
    <row r="36">
      <c r="B36" s="3">
        <v>28.9</v>
      </c>
      <c r="D36" s="4" t="s">
        <v>54</v>
      </c>
      <c r="K36" s="2" t="s">
        <v>55</v>
      </c>
      <c r="L36" s="4" t="s">
        <v>56</v>
      </c>
    </row>
    <row r="37">
      <c r="B37" s="3">
        <v>28.3</v>
      </c>
    </row>
    <row r="38">
      <c r="B38" s="3">
        <v>28.3</v>
      </c>
    </row>
    <row r="39">
      <c r="B39" s="3">
        <v>28.3</v>
      </c>
    </row>
    <row r="40">
      <c r="B40" s="3">
        <v>28.9</v>
      </c>
    </row>
    <row r="41">
      <c r="B41" s="3">
        <v>31.1</v>
      </c>
    </row>
    <row r="42">
      <c r="B42" s="3">
        <v>32.8</v>
      </c>
    </row>
    <row r="43">
      <c r="B43" s="3">
        <v>34.4</v>
      </c>
    </row>
    <row r="44">
      <c r="B44" s="3">
        <v>35.6</v>
      </c>
    </row>
    <row r="45">
      <c r="B45" s="3">
        <v>36.1</v>
      </c>
    </row>
    <row r="46">
      <c r="B46" s="3">
        <v>37.8</v>
      </c>
    </row>
    <row r="47">
      <c r="B47" s="3">
        <v>37.8</v>
      </c>
    </row>
    <row r="48">
      <c r="B48" s="3">
        <v>38.9</v>
      </c>
    </row>
    <row r="49">
      <c r="B49" s="3">
        <v>38.9</v>
      </c>
    </row>
    <row r="50">
      <c r="B50" s="3">
        <v>37.8</v>
      </c>
    </row>
    <row r="51">
      <c r="B51" s="3">
        <v>37.2</v>
      </c>
    </row>
    <row r="52">
      <c r="B52" s="3">
        <v>36.1</v>
      </c>
    </row>
    <row r="53">
      <c r="B53" s="3">
        <v>34.4</v>
      </c>
    </row>
    <row r="54">
      <c r="B54" s="3">
        <v>33.3</v>
      </c>
    </row>
    <row r="55">
      <c r="B55" s="3">
        <v>32.8</v>
      </c>
    </row>
    <row r="56">
      <c r="B56" s="3">
        <v>32.2</v>
      </c>
    </row>
    <row r="57">
      <c r="B57" s="3">
        <v>31.7</v>
      </c>
    </row>
  </sheetData>
  <hyperlinks>
    <hyperlink r:id="rId1" ref="D36"/>
    <hyperlink r:id="rId2" ref="L36"/>
  </hyperlinks>
  <drawing r:id="rId3"/>
</worksheet>
</file>