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<sst xmlns="http://schemas.openxmlformats.org/spreadsheetml/2006/main" count="6222" uniqueCount="772">
  <si>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</si>
  <si>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</si>
  <si>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</si>
  <si>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</si>
  <si>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</si>
  <si>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</si>
  <si>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</si>
  <si>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</si>
  <si>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</si>
  <si>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</si>
  <si>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largest value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</si>
  <si>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</si>
  <si>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</si>
  <si>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</si>
  <si>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</si>
  <si>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</si>
  <si>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</si>
  <si>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</si>
  <si>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</si>
  <si>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</si>
  <si>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</si>
  <si>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</si>
  <si>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</si>
  <si>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</si>
  <si>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</si>
  <si>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</si>
  <si>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</si>
  <si>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</si>
  <si>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</si>
  <si>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</si>
  <si>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</si>
  <si>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</si>
  <si>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</si>
  <si>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</si>
  <si>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</si>
  <si>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</si>
  <si>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</si>
  <si>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</si>
  <si>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</si>
  <si>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</si>
  <si>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</si>
  <si>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we rated 87 dog breeds</t>
  </si>
  <si>
    <t>Chihuahua</t>
  </si>
  <si>
    <t>toy</t>
  </si>
  <si>
    <t>smallest value</t>
  </si>
  <si>
    <t>Tibetan Spaniel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</si>
  <si>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</si>
  <si>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</si>
  <si>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</si>
  <si>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</si>
  <si>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</si>
  <si>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</si>
  <si>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</si>
  <si>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</si>
  <si>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X</t>
  </si>
  <si>
    <t>Bullmastiff</t>
  </si>
  <si>
    <t>Great Dane</t>
  </si>
  <si>
    <t>Most suitable for children?</t>
  </si>
  <si>
    <t>Same as overall list: all the top 5 dogs are also suitable for children</t>
  </si>
  <si>
    <t>datadog score</t>
  </si>
  <si>
    <t>POPULARITY IN US</t>
  </si>
  <si>
    <t>POPULARITY</t>
  </si>
  <si>
    <t>LIFETIME COST, $</t>
  </si>
  <si>
    <t>5 LIFETIME COST</t>
  </si>
  <si>
    <t>1 INTELLIGENCE (TRAINABILITY) ranking</t>
  </si>
  <si>
    <t>INTELLIGENCE (TRAINABILITY) ranking</t>
  </si>
  <si>
    <t>INTELLIGENCE (TRAINABILITY)</t>
  </si>
  <si>
    <t>2 LONGEVITY</t>
  </si>
  <si>
    <t>LONGEVITY</t>
  </si>
  <si>
    <t>3 NO. OF GENETIC AILMENTS</t>
  </si>
  <si>
    <t>GENETIC AILMENTS</t>
  </si>
  <si>
    <t>4a average purchase price, US$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</si>
  <si>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</si>
  <si>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</si>
  <si>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</si>
  <si>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</si>
  <si>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</si>
  <si>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</si>
  <si>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</si>
  <si>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</si>
  <si>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</si>
  <si>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</si>
  <si>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</si>
  <si>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</si>
  <si>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</si>
  <si>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</si>
  <si>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</si>
  <si>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</si>
  <si>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</si>
  <si>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</si>
  <si>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</si>
  <si>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</si>
  <si>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</si>
  <si>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</si>
  <si>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</si>
  <si>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</si>
  <si>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</si>
  <si>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</si>
  <si>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</si>
  <si>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</si>
  <si>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</si>
  <si>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</si>
  <si>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</si>
  <si>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</si>
  <si>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</si>
  <si>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</si>
  <si>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</si>
  <si>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</si>
  <si>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</si>
  <si>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</si>
  <si>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</si>
  <si>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</si>
  <si>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</si>
  <si>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</si>
  <si>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</si>
  <si>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</si>
  <si>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</si>
  <si>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</si>
  <si>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</si>
  <si>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</si>
  <si>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</si>
  <si>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</si>
  <si>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</si>
  <si>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</si>
  <si>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</si>
  <si>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</si>
  <si>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</si>
  <si>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</si>
  <si>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</si>
  <si>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</si>
  <si>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</si>
  <si>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</si>
  <si>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</si>
  <si>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</si>
  <si>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</si>
  <si>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</si>
  <si>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</si>
  <si>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</si>
  <si>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</si>
  <si>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</si>
  <si>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</si>
  <si>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</si>
  <si>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</si>
  <si>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</si>
  <si>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</si>
  <si>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</si>
  <si>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</si>
  <si>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</si>
  <si>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</si>
  <si>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</si>
  <si>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</si>
  <si>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data type</t>
  </si>
  <si>
    <t>source name</t>
  </si>
  <si>
    <t>source link</t>
  </si>
  <si>
    <t>American Kennel Club</t>
  </si>
  <si>
    <t>http://www.akc.org/breeds/index.cfm?nav_area=breeds</t>
  </si>
  <si>
    <t>Afghan Hound</t>
  </si>
  <si>
    <t>Lowest</t>
  </si>
  <si>
    <t>80-100</t>
  </si>
  <si>
    <t>&lt;25</t>
  </si>
  <si>
    <t>mid-price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</si>
  <si>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</si>
  <si>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</si>
  <si>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</si>
  <si>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day</t>
  </si>
  <si>
    <t>high</t>
  </si>
  <si>
    <t>large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</si>
  <si>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</si>
  <si>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</si>
  <si>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</si>
  <si>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</si>
  <si>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</si>
  <si>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</si>
  <si>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Airedale Terrier</t>
  </si>
  <si>
    <t>hip problems</t>
  </si>
  <si>
    <t>hip dysplasia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</si>
  <si>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</si>
  <si>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</si>
  <si>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</si>
  <si>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</si>
  <si>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</si>
  <si>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</si>
  <si>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-</t>
  </si>
  <si>
    <t>Akita</t>
  </si>
  <si>
    <t>Average</t>
  </si>
  <si>
    <t>25-40</t>
  </si>
  <si>
    <t>size</t>
  </si>
  <si>
    <t>&gt;50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</si>
  <si>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</si>
  <si>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</si>
  <si>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</si>
  <si>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</si>
  <si>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</si>
  <si>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</si>
  <si>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</si>
  <si>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</si>
  <si>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</si>
  <si>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</si>
  <si>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</si>
  <si>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</si>
  <si>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</si>
  <si>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</si>
  <si>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</si>
  <si>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</si>
  <si>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other regular costs</t>
  </si>
  <si>
    <t>Sainsbury's Finance 2011</t>
  </si>
  <si>
    <t>http://sainsburysbank.thepressdesk.co.uk/pages/142/2011+releases.stm?article_id=732</t>
  </si>
  <si>
    <t>longevity sample size - survey sample size</t>
  </si>
  <si>
    <t>GENETIC DISEASES - congenital ailments: summary / areas affected</t>
  </si>
  <si>
    <t>low</t>
  </si>
  <si>
    <t>most abandoned?</t>
  </si>
  <si>
    <t>4 LIFETIME COST, $</t>
  </si>
  <si>
    <t>Alaskan Malamute</t>
  </si>
  <si>
    <t>one offs</t>
  </si>
  <si>
    <t>k9lifesavers.org</t>
  </si>
  <si>
    <t>4 LIFETIME COST</t>
  </si>
  <si>
    <t>average purchase price (US $)</t>
  </si>
  <si>
    <t>hip problems, dwarfism</t>
  </si>
  <si>
    <t>Hip dysplasia, Osteochondrodysplasia - skeletal dwarfism</t>
  </si>
  <si>
    <t>food per year, $</t>
  </si>
  <si>
    <t>Other regular costs, total per lifetime, $</t>
  </si>
  <si>
    <t>http://k-9lifesavers.org/?p=416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</si>
  <si>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</si>
  <si>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</si>
  <si>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</si>
  <si>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</si>
  <si>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</si>
  <si>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</si>
  <si>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</si>
  <si>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</si>
  <si>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</si>
  <si>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</si>
  <si>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</si>
  <si>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</si>
  <si>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</si>
  <si>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</si>
  <si>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</si>
  <si>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</si>
  <si>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</si>
  <si>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</si>
  <si>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</si>
  <si>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American Foxhound</t>
  </si>
  <si>
    <t>intelligence + longevity + ailments + 50% (purchase price + food costs + grooming score). highest possible score: 4.5</t>
  </si>
  <si>
    <t>pure breeds, American Kennel Club 2011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</si>
  <si>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</si>
  <si>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</si>
  <si>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</si>
  <si>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</si>
  <si>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</si>
  <si>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Anatolian Shepherd Dog</t>
  </si>
  <si>
    <t>Brightest</t>
  </si>
  <si>
    <t>&lt;5</t>
  </si>
  <si>
    <t>&gt;95</t>
  </si>
  <si>
    <t>eye problems, deafness</t>
  </si>
  <si>
    <t>Collie eye anomaly, deafness</t>
  </si>
  <si>
    <t>Australian Cattle Dog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</si>
  <si>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</si>
  <si>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</si>
  <si>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</si>
  <si>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</si>
  <si>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</si>
  <si>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</si>
  <si>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</si>
  <si>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Brittany</t>
  </si>
  <si>
    <t>Basset Hound</t>
  </si>
  <si>
    <t>blood, skin disorders</t>
  </si>
  <si>
    <t>Platelet dysfunction (thrombocytopathia, Basset hound thrombopathia), seborrhea</t>
  </si>
  <si>
    <t>Excellent</t>
  </si>
  <si>
    <t>5-15</t>
  </si>
  <si>
    <t>&gt;85</t>
  </si>
  <si>
    <t>Beagle</t>
  </si>
  <si>
    <t>heart problems</t>
  </si>
  <si>
    <t>Pulmonic stenosis</t>
  </si>
  <si>
    <t>US pet statistics</t>
  </si>
  <si>
    <t>Households that Own a Pet (millions)</t>
  </si>
  <si>
    <t xml:space="preserve">Total Pets (millions) </t>
  </si>
  <si>
    <t xml:space="preserve">'lion jaw', heart problems  </t>
  </si>
  <si>
    <t>Craniomandibular osteopathy ("lion jaw"), Mitral valve dysplasia</t>
  </si>
  <si>
    <t>Bearded Collie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</si>
  <si>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</si>
  <si>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</si>
  <si>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</si>
  <si>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</si>
  <si>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</si>
  <si>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</si>
  <si>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</si>
  <si>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</si>
  <si>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</si>
  <si>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</si>
  <si>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</si>
  <si>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</si>
  <si>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</si>
  <si>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</si>
  <si>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</si>
  <si>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</si>
  <si>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</si>
  <si>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</si>
  <si>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</si>
  <si>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</si>
  <si>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</si>
  <si>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</si>
  <si>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Beauceron</t>
  </si>
  <si>
    <t>2012 expenditure is an estimate</t>
  </si>
  <si>
    <t>American Pet Products Association</t>
  </si>
  <si>
    <t>http://www.americanpetproducts.org/press_industrytrends.asp</t>
  </si>
  <si>
    <t>only one dog for sale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</si>
  <si>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</si>
  <si>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</si>
  <si>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</si>
  <si>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</si>
  <si>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3 dogs for sale only</t>
  </si>
  <si>
    <t>US Census</t>
  </si>
  <si>
    <t>Bedlington Terrier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</si>
  <si>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</si>
  <si>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liver, eye problems</t>
  </si>
  <si>
    <t>Chronic hepatitis, Retinal dysplasia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</si>
  <si>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</si>
  <si>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</si>
  <si>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</si>
  <si>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</si>
  <si>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</si>
  <si>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</si>
  <si>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</si>
  <si>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</si>
  <si>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</si>
  <si>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</si>
  <si>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</si>
  <si>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</si>
  <si>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</si>
  <si>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</si>
  <si>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</si>
  <si>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</si>
  <si>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</si>
  <si>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</si>
  <si>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</si>
  <si>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</si>
  <si>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</si>
  <si>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</si>
  <si>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</si>
  <si>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</si>
  <si>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>Price: only 6 puppies for breed</t>
  </si>
  <si>
    <t>Belgian Malinois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</si>
  <si>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</si>
  <si>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</si>
  <si>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</si>
  <si>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</si>
  <si>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</si>
  <si>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</si>
  <si>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</si>
  <si>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</si>
  <si>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</si>
  <si>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</si>
  <si>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</si>
  <si>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</si>
  <si>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</si>
  <si>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American cocker spaniel</t>
  </si>
  <si>
    <t>eye, skin problems</t>
  </si>
  <si>
    <t>Retinal dysplasia, seborrhea</t>
  </si>
  <si>
    <t>lifespan</t>
  </si>
  <si>
    <t>http://www.yourdogsbreed.com/dog-breeds/100-cocker-spaniel.html</t>
  </si>
  <si>
    <t>Bernese Mountain Dog</t>
  </si>
  <si>
    <t>meningitis, elbow + hip problems, complex immune disorder</t>
  </si>
  <si>
    <t>Meningitis, Elbow dysplasia - OCD of the elbow, Hip dysplasia, Histiocytosis</t>
  </si>
  <si>
    <t>http://www.vetstreet.com/dogs/cocker-spaniel</t>
  </si>
  <si>
    <t>http://www.purina.com.au/sitecore/content/PurinaAustralia/Home/owning-a-dog/dog-breeds/American-Cocker-Spaniel</t>
  </si>
  <si>
    <t>Bichon Frise</t>
  </si>
  <si>
    <t>Papillon</t>
  </si>
  <si>
    <t>Black and Tan Coonhound</t>
  </si>
  <si>
    <t>cataracts, hair loss, heart, eye, blood clotting disorders</t>
  </si>
  <si>
    <t>Cataracts, Follicular dysplasias, Mitral valve dysplasia, Progressive retinal atrophy, von Willebrand's disease</t>
  </si>
  <si>
    <t>Black Russian Terrier</t>
  </si>
  <si>
    <t>1.83 - really?</t>
  </si>
  <si>
    <t>high-end</t>
  </si>
  <si>
    <t>fatal stomach bloat, skin problems</t>
  </si>
  <si>
    <t>Gastric dilatation-volvulus, Hip dysplasia</t>
  </si>
  <si>
    <t>Shetland Sheepdog</t>
  </si>
  <si>
    <t>Bluetick Coonhound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</si>
  <si>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</si>
  <si>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</si>
  <si>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http://www.vetstreet.com/dogs/shetland-sheepdog#grooming</t>
  </si>
  <si>
    <t>http://www.purina.com.au/sitecore/content/PurinaAustralia/Home/owning-a-dog/dog-breeds/Shetland-Sheepdog</t>
  </si>
  <si>
    <t>Siberian Husky</t>
  </si>
  <si>
    <t>1. UK pet ownership by type of animal</t>
  </si>
  <si>
    <t>Borzoi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</si>
  <si>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</si>
  <si>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</si>
  <si>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</si>
  <si>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</si>
  <si>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</si>
  <si>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</si>
  <si>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</si>
  <si>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</si>
  <si>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</si>
  <si>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At least 28 in tall (males), 26 (females)</t>
  </si>
  <si>
    <t>Boston Terrier</t>
  </si>
  <si>
    <t>2012. total human pop 62,641,000. US pop. 313,933,954</t>
  </si>
  <si>
    <t>breathing problems</t>
  </si>
  <si>
    <t>brachycephalic syndrome</t>
  </si>
  <si>
    <t>Fish, indoor</t>
  </si>
  <si>
    <t>freshwater fish</t>
  </si>
  <si>
    <t>Fair</t>
  </si>
  <si>
    <t>40-80</t>
  </si>
  <si>
    <t>&gt;30</t>
  </si>
  <si>
    <t>'dry eye'</t>
  </si>
  <si>
    <t>Keratoconjunctivitis sicca (KCS) - "dry eye"</t>
  </si>
  <si>
    <t>NA (3 classes)</t>
  </si>
  <si>
    <t>Bouvier des Flandres</t>
  </si>
  <si>
    <t>Fish, outdoor</t>
  </si>
  <si>
    <t xml:space="preserve">saltwater fish </t>
  </si>
  <si>
    <t>dog</t>
  </si>
  <si>
    <t>cat</t>
  </si>
  <si>
    <t>Boxer</t>
  </si>
  <si>
    <t>eye, nerve, heart problems</t>
  </si>
  <si>
    <t>Corneal dystrophy, Degenerative myelopathy, Dilated cardiomyopathy, Subaortic stenosis</t>
  </si>
  <si>
    <t>Rabbits</t>
  </si>
  <si>
    <t>small animal</t>
  </si>
  <si>
    <t>Birds, caged</t>
  </si>
  <si>
    <t>birds</t>
  </si>
  <si>
    <t>Guinea pigs</t>
  </si>
  <si>
    <t>Hamsters</t>
  </si>
  <si>
    <t>Boykin Spaniel</t>
  </si>
  <si>
    <t>Dachshund</t>
  </si>
  <si>
    <t>Domestic fowl e.g. geese</t>
  </si>
  <si>
    <t>Lizards</t>
  </si>
  <si>
    <t>reptile</t>
  </si>
  <si>
    <t>Frogs and toads</t>
  </si>
  <si>
    <t>excludes wild frogs and toads</t>
  </si>
  <si>
    <t>Snakes</t>
  </si>
  <si>
    <t>Briard</t>
  </si>
  <si>
    <t>skin, spinal problems</t>
  </si>
  <si>
    <t>acanthosis nigricans, Intervertebral disk disease</t>
  </si>
  <si>
    <t>Tortoises and turtles</t>
  </si>
  <si>
    <t>Rats</t>
  </si>
  <si>
    <t>Newts and salamanders</t>
  </si>
  <si>
    <t>Gerbils</t>
  </si>
  <si>
    <t>Miniature Schnauzer</t>
  </si>
  <si>
    <t>Horses or ponies kept as pets</t>
  </si>
  <si>
    <t>horse</t>
  </si>
  <si>
    <t>excludes wild horses / ponies</t>
  </si>
  <si>
    <t>Only 2 puppies for sale</t>
  </si>
  <si>
    <t>Pigeons kept as pets</t>
  </si>
  <si>
    <t>excludes wild pigeons</t>
  </si>
  <si>
    <t>Total</t>
  </si>
  <si>
    <t>liver, sinus problems</t>
  </si>
  <si>
    <t>Portosystemic shunt, Sick sinus syndrome</t>
  </si>
  <si>
    <t>Brussels Griffon</t>
  </si>
  <si>
    <t>http://www.vetstreet.com/dogs/miniature-schnauzer#grooming</t>
  </si>
  <si>
    <t>http://www.purina.com.au/sitecore/content/PurinaAustralia/Home/owning-a-dog/dog-breeds/Schnauzer-Miniature</t>
  </si>
  <si>
    <t>Furthermore...</t>
  </si>
  <si>
    <t>People who keep insects</t>
  </si>
  <si>
    <t>may keep more than one each</t>
  </si>
  <si>
    <t>Bull Terrier</t>
  </si>
  <si>
    <t>People who keep mice</t>
  </si>
  <si>
    <t>heart problems, zinc metabolism disorder</t>
  </si>
  <si>
    <t>lethal acrodermatitis, Mitral valve dysplasia</t>
  </si>
  <si>
    <t>2. Proportion of UK households owning a pet</t>
  </si>
  <si>
    <t>weight should not exceed 6 pounds</t>
  </si>
  <si>
    <t>knee problems</t>
  </si>
  <si>
    <t>Patellar luxation</t>
  </si>
  <si>
    <t>Total UK households</t>
  </si>
  <si>
    <t>ONS and others (see below)</t>
  </si>
  <si>
    <t>% that own at least one pet</t>
  </si>
  <si>
    <t>PFMA</t>
  </si>
  <si>
    <t>breathing, hip, heart problems, 'dry eye'</t>
  </si>
  <si>
    <t>brachycephalic syndrome, Hip dysplasia, Keratoconjunctivitis sicca (KCS) - "dry eye", Pulmonic stenosis, Ventricular septal defect (VSD)</t>
  </si>
  <si>
    <t>http://www.yourdogsbreed.com/dog-breeds/95-chihuahua.html</t>
  </si>
  <si>
    <t>Equivalent to</t>
  </si>
  <si>
    <t>households</t>
  </si>
  <si>
    <t>http://www.vetstreet.com/dogs/chihuahua</t>
  </si>
  <si>
    <t>English bulldog</t>
  </si>
  <si>
    <t>eye, hip problems</t>
  </si>
  <si>
    <t>Entropion, Hip dysplasia</t>
  </si>
  <si>
    <t>Eng + Wales</t>
  </si>
  <si>
    <t>ONS</t>
  </si>
  <si>
    <t>http://www.ons.gov.uk/ons/publications/re-reference-tables.html?edition=tcm%3A77-274670</t>
  </si>
  <si>
    <t>Whippet</t>
  </si>
  <si>
    <t>NI</t>
  </si>
  <si>
    <t>NISRA</t>
  </si>
  <si>
    <t>http://www.nisra.gov.uk/Census/pop_2_2011.pdf</t>
  </si>
  <si>
    <t>Canaan Dog</t>
  </si>
  <si>
    <t>Scotland</t>
  </si>
  <si>
    <t>General Register Office for Scotland</t>
  </si>
  <si>
    <t>http://www.gro-scotland.gov.uk/press/news2012/number-of-households.html</t>
  </si>
  <si>
    <t>English Springer Spaniel</t>
  </si>
  <si>
    <t>Cane Corso</t>
  </si>
  <si>
    <t>hip, eye, skin problems; enzyme deficiency</t>
  </si>
  <si>
    <t>Hip dysplasia, Phosphofructokinase (PFK) deficiency, Retinal dysplasia, seborrhea</t>
  </si>
  <si>
    <t>Cardigan Welsh Corgi</t>
  </si>
  <si>
    <t>West Highland White Terrier</t>
  </si>
  <si>
    <t>Cavalier King Charles Spaniel</t>
  </si>
  <si>
    <t>heart, spinal problems</t>
  </si>
  <si>
    <t>Mitral valve dysplasia, Chiari-like malformation (CM) and syringomyelia (SM)</t>
  </si>
  <si>
    <t>'lion jaw', 'dry eye', skin problems</t>
  </si>
  <si>
    <t>Craniomandibular osteopathy ("lion jaw"), Keratoconjunctivitis sicca (KCS) - "dry eye", seborrhea</t>
  </si>
  <si>
    <t>Cesky Terrier</t>
  </si>
  <si>
    <t>1. Cat people vs dog people</t>
  </si>
  <si>
    <t>Chesapeake Bay Retriever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</si>
  <si>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</si>
  <si>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</si>
  <si>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</si>
  <si>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</si>
  <si>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</si>
  <si>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15 in is min height for standard poodle</t>
  </si>
  <si>
    <t>fatal stomach bloat, skin disorder</t>
  </si>
  <si>
    <t>Gastric dilatation-volvulus (serious stomach disorder), sebaceous adenitis (skin disorder)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</si>
  <si>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</si>
  <si>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</si>
  <si>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</si>
  <si>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</si>
  <si>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</si>
  <si>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</si>
  <si>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</si>
  <si>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</si>
  <si>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</si>
  <si>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</si>
  <si>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</si>
  <si>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</si>
  <si>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Chinese Crested</t>
  </si>
  <si>
    <t>containing someone educated to degree level</t>
  </si>
  <si>
    <t>with cats</t>
  </si>
  <si>
    <t>with children aged under 11</t>
  </si>
  <si>
    <t>aged over 65</t>
  </si>
  <si>
    <t>Chinese Shar Pei</t>
  </si>
  <si>
    <t>canine hay fever, skin, eye, hip problems</t>
  </si>
  <si>
    <t>Atopy, Demodicosis/ Demodectic mange, Entropion, Hip dysplasia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</si>
  <si>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</si>
  <si>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</si>
  <si>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</si>
  <si>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</si>
  <si>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</si>
  <si>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</si>
  <si>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German Shorthaired Pointer</t>
  </si>
  <si>
    <t>Chow Chow</t>
  </si>
  <si>
    <t>Clumber Spaniel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</si>
  <si>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</si>
  <si>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</si>
  <si>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</si>
  <si>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English Pointer. price: 8 puppies for sale only</t>
  </si>
  <si>
    <t>Collie</t>
  </si>
  <si>
    <t>eye, skin and muscle disorders</t>
  </si>
  <si>
    <t>Collie eye anomaly (CEA), Dermatomyositis and ulcerative dermatosis</t>
  </si>
  <si>
    <t>Curly Coated Retriever</t>
  </si>
  <si>
    <t>Labrador Retriever</t>
  </si>
  <si>
    <t>elbows, hips, eyes</t>
  </si>
  <si>
    <t>elbow dysplasia, hip dysplasia, retinal dysplasia</t>
  </si>
  <si>
    <t>Dalmatian</t>
  </si>
  <si>
    <t>deafness, urinary stones</t>
  </si>
  <si>
    <t>Deafness, Urolithiasis (stones)</t>
  </si>
  <si>
    <t>Maltese</t>
  </si>
  <si>
    <t>Patent ductus arteriosus (PDA)</t>
  </si>
  <si>
    <t>Dandie Dinmont Terrier</t>
  </si>
  <si>
    <t>http://www.vetstreet.com/dogs/maltese#grooming</t>
  </si>
  <si>
    <t>http://www.purina.com.au/sitecore/content/PurinaAustralia/Home/owning-a-dog/dog-breeds/Maltese</t>
  </si>
  <si>
    <t>Only 2 for sale</t>
  </si>
  <si>
    <t>Pomeranian</t>
  </si>
  <si>
    <t>heart, spine, blood clotting disorders</t>
  </si>
  <si>
    <t>Dilated cardiomyopathy, Cervical vertebral instability (Wobbler syndrome), Intervertebral disk disease, von Willebrand's disease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</si>
  <si>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</si>
  <si>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</si>
  <si>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</si>
  <si>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</si>
  <si>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</si>
  <si>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</si>
  <si>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</si>
  <si>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</si>
  <si>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</si>
  <si>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</si>
  <si>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</si>
  <si>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</si>
  <si>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</si>
  <si>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</si>
  <si>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</si>
  <si>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</si>
  <si>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</si>
  <si>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</si>
  <si>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</si>
  <si>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</si>
  <si>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</si>
  <si>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Shih Tzu</t>
  </si>
  <si>
    <t>English Foxhound</t>
  </si>
  <si>
    <t>eye problems</t>
  </si>
  <si>
    <t>Exposure keratopathy syndrome (exophthalmos, lagophthalmos, and/or macroblepharon)</t>
  </si>
  <si>
    <t>English Setter</t>
  </si>
  <si>
    <t>lifetime costs</t>
  </si>
  <si>
    <t>per year percentages</t>
  </si>
  <si>
    <t>Yorkshire Terrier</t>
  </si>
  <si>
    <t>English Toy Spaniel</t>
  </si>
  <si>
    <t>knee, liver, trachea, eye disorders</t>
  </si>
  <si>
    <t>Patellar luxation, Portosystemic shunt, tracheal collapse, Retinal dysplasia</t>
  </si>
  <si>
    <t>Entlebucher Mountain Dog</t>
  </si>
  <si>
    <t>Irish Setter</t>
  </si>
  <si>
    <t>Field Spaniel</t>
  </si>
  <si>
    <t>hip, eye problems</t>
  </si>
  <si>
    <t>Hip dysplasia, Progressive retinal atrophy</t>
  </si>
  <si>
    <t>Finnish Lapphund</t>
  </si>
  <si>
    <t>Pharaoh Hound</t>
  </si>
  <si>
    <t>Finnish Spitz</t>
  </si>
  <si>
    <t>price: 6 puppies for sale only</t>
  </si>
  <si>
    <t>Flat-Coated Retriever</t>
  </si>
  <si>
    <t>per life time</t>
  </si>
  <si>
    <t>Price: 3 dogs only</t>
  </si>
  <si>
    <t>French Bulldog</t>
  </si>
  <si>
    <t>Small Dog Average</t>
  </si>
  <si>
    <t>must weigh 28 pounds or less</t>
  </si>
  <si>
    <t>German Pinscher</t>
  </si>
  <si>
    <t xml:space="preserve">elbows, hips, eyes, heart </t>
  </si>
  <si>
    <t>elbow dysplasia, hip dysplasia, retinal dysplasia, subaortic stenosis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</si>
  <si>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</si>
  <si>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</si>
  <si>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Samoyed</t>
  </si>
  <si>
    <t>http://www.k9puppy.co.uk/Puppies/StaffordshireBullTerrierforsale.aspx?Page=1</t>
  </si>
  <si>
    <t>German Wirehaired Pointer</t>
  </si>
  <si>
    <t>Giant Schnauzer</t>
  </si>
  <si>
    <t>Glen of Imaal Terrier</t>
  </si>
  <si>
    <t>Cat (British shorthair)</t>
  </si>
  <si>
    <t>Tibetan Terrier</t>
  </si>
  <si>
    <t>Gordon Setter</t>
  </si>
  <si>
    <t>3 dogs only</t>
  </si>
  <si>
    <t>http://www.petwebsite.com/cats/cost_keeping_cat.htm</t>
  </si>
  <si>
    <t>heart, spinal, hip problems, fatal stomach bloat</t>
  </si>
  <si>
    <t>Dilated cardiomyopathy, Cervical vertebral instability (Wobbler syndrome), Gastric dilatation-volvulus, Hip dysplasia</t>
  </si>
  <si>
    <t>http://www.tescofinance.com/personal/finance/insurance/petins/index.jsp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</si>
  <si>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</si>
  <si>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</si>
  <si>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</si>
  <si>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</si>
  <si>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Pug</t>
  </si>
  <si>
    <t>Greyhound</t>
  </si>
  <si>
    <t>blood vessel disorders</t>
  </si>
  <si>
    <t>familial vasculopathy</t>
  </si>
  <si>
    <t>Budgie</t>
  </si>
  <si>
    <t>Harrier</t>
  </si>
  <si>
    <t>http://www.vetstreet.com/dogs/pug#grooming</t>
  </si>
  <si>
    <t>http://www.purina.com.au/sitecore/content/PurinaAustralia/Home/owning-a-dog/dog-breeds/Pug</t>
  </si>
  <si>
    <t>Havanese</t>
  </si>
  <si>
    <t>http://www.birdtrader.co.uk/birds/budgerigars-for-sale/</t>
  </si>
  <si>
    <t>Ibizan Hound</t>
  </si>
  <si>
    <t>Norfolk Terrier</t>
  </si>
  <si>
    <t>Icelandic Sheepdog</t>
  </si>
  <si>
    <t>price: 9 puppies only</t>
  </si>
  <si>
    <t>Irish Red and White Setter</t>
  </si>
  <si>
    <t>only 2 dogs for sale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</si>
  <si>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</si>
  <si>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</si>
  <si>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</si>
  <si>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</si>
  <si>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</si>
  <si>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</si>
  <si>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height food cost</t>
  </si>
  <si>
    <t>http://www.vetstreet.com/dogs/english-toy-spaniel#health</t>
  </si>
  <si>
    <t>Parrots (African Grey)</t>
  </si>
  <si>
    <t>Japanese Chin</t>
  </si>
  <si>
    <t>http://www.purina.com.au/owning-a-dog/dog-breeds/King-Charles-Spaniel</t>
  </si>
  <si>
    <t>Belgian Tervuren</t>
  </si>
  <si>
    <t>Keeshond</t>
  </si>
  <si>
    <t>http://pets.oodle.co.uk/birds/for-sale/pet_breed_african_grey_parrot/</t>
  </si>
  <si>
    <t>Kerry Blue Terrier</t>
  </si>
  <si>
    <t>Komondor</t>
  </si>
  <si>
    <t>Kuvasz</t>
  </si>
  <si>
    <t>Tropical fish</t>
  </si>
  <si>
    <t>Lakeland Terrier</t>
  </si>
  <si>
    <t>Leonberger</t>
  </si>
  <si>
    <t>http://www.dartfordaquatics.co.uk/fish.asp?fCat=5</t>
  </si>
  <si>
    <t>5 dogs for sale only</t>
  </si>
  <si>
    <t>Staffordshire Bull Terrier</t>
  </si>
  <si>
    <t>Löwchen</t>
  </si>
  <si>
    <t>Guinea Pigs</t>
  </si>
  <si>
    <t>Manchester Terrier</t>
  </si>
  <si>
    <t>only 7 puppies for sale. weight for standard (not miniature)</t>
  </si>
  <si>
    <t>hip, heart problems</t>
  </si>
  <si>
    <t>Hip dysplasia, Pulmonic stenosis</t>
  </si>
  <si>
    <t>http://www.petplanet.co.uk/small_breed_profile.asp?sbid=23</t>
  </si>
  <si>
    <t>min weight for dogs</t>
  </si>
  <si>
    <t>Pembroke Welsh Corgi</t>
  </si>
  <si>
    <t>Miniature Bull Terrier</t>
  </si>
  <si>
    <t>Miniature Pinscher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</si>
  <si>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</si>
  <si>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</si>
  <si>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</si>
  <si>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http://www.purina.com.au/sitecore/content/PurinaAustralia/Home/owning-a-dog/dog-breeds/Welsh-Corgi-Pembroke</t>
  </si>
  <si>
    <t>Neapolitan Mastiff</t>
  </si>
  <si>
    <t>Mice</t>
  </si>
  <si>
    <t>Newfoundland</t>
  </si>
  <si>
    <t>hip problems, heart defects</t>
  </si>
  <si>
    <t>subaortic stenosis, hip dysplasia</t>
  </si>
  <si>
    <t>http://www.petwebsite.com/mice_for_sale.asp</t>
  </si>
  <si>
    <t>Saluki</t>
  </si>
  <si>
    <t>lower end of range for males (23-28). females smaller</t>
  </si>
  <si>
    <t>Norwegian Buhund</t>
  </si>
  <si>
    <t>Norwegian Elkhound</t>
  </si>
  <si>
    <t>price: 5 puppies only</t>
  </si>
  <si>
    <t>Norwegian Lundehund</t>
  </si>
  <si>
    <t>Horse (16hh)</t>
  </si>
  <si>
    <t>Norwich Terrier</t>
  </si>
  <si>
    <t>http://www.vetstreet.com/dogs/giant-schnauzer#grooming</t>
  </si>
  <si>
    <t>http://www.purina.com.au/sitecore/content/PurinaAustralia/Home/owning-a-dog/dog-breeds/Schnauzer-Giant</t>
  </si>
  <si>
    <t>Nova Scotia Duck Tolling Retriever</t>
  </si>
  <si>
    <t>http://www.horsemart.co.uk/All-Rounder/A/horses-for-sale.php?ads_hid_min_qf=16&amp;ads_hid_max_qf=16.3</t>
  </si>
  <si>
    <t>4 dogs for sale only</t>
  </si>
  <si>
    <t>Old English Sheepdog</t>
  </si>
  <si>
    <t>Scottish Terrier</t>
  </si>
  <si>
    <t>Otterhound</t>
  </si>
  <si>
    <t>blood clotting disorder</t>
  </si>
  <si>
    <t>von Willebrand's disease</t>
  </si>
  <si>
    <t>Snake</t>
  </si>
  <si>
    <t>Rottweiler</t>
  </si>
  <si>
    <t>Parson Russell Terrier</t>
  </si>
  <si>
    <t>http://www.snakebreeder.co.uk/html/</t>
  </si>
  <si>
    <t>heart, elbow, hip problems</t>
  </si>
  <si>
    <t>Subaortic stenosis, Elbow dysplasia - OCD of the elbow, Hip dysplasia</t>
  </si>
  <si>
    <t>Pekingese</t>
  </si>
  <si>
    <t>n/a</t>
  </si>
  <si>
    <t>to weigh no more than 14 pounds</t>
  </si>
  <si>
    <t>Tortoises</t>
  </si>
  <si>
    <t>Petit Basset Griffon Vendeen</t>
  </si>
  <si>
    <t>price: 3 puppies for sale only</t>
  </si>
  <si>
    <t>Plott</t>
  </si>
  <si>
    <t>http://www.pets4homes.co.uk/reptilesforsale/breed/tortoise/</t>
  </si>
  <si>
    <t>Polish Lowland Sheepdog</t>
  </si>
  <si>
    <t>Koi</t>
  </si>
  <si>
    <t>http://www.koicarp.org.u</t>
  </si>
  <si>
    <t>Portuguese Water Dog</t>
  </si>
  <si>
    <t>1 or 6 depending on taste</t>
  </si>
  <si>
    <t>Rhodesian Ridgeback</t>
  </si>
  <si>
    <t>Puli</t>
  </si>
  <si>
    <t>birth defects, hip problems</t>
  </si>
  <si>
    <t>dermoid sinus, Hip dysplasia</t>
  </si>
  <si>
    <t>Pyrenean Shepherd</t>
  </si>
  <si>
    <t>Hamster (syrian)</t>
  </si>
  <si>
    <t>Redbone Coonhound</t>
  </si>
  <si>
    <t>http://www.petwebsite.com/hamsters_for_sale.asp</t>
  </si>
  <si>
    <t>http://www.petplanet.co.uk/small_breed_profile.asp?sbid=16</t>
  </si>
  <si>
    <t>Saint Bernard</t>
  </si>
  <si>
    <t>heart, hip disorders, fatal stomach bloat</t>
  </si>
  <si>
    <t>Dilated cardiomyopathy, Gastric dilatation-volvulus, Hip dysplasia</t>
  </si>
  <si>
    <t>http://www.rabbitrehome.org.uk/care/rabbit_costs.asp</t>
  </si>
  <si>
    <t>Schipperke</t>
  </si>
  <si>
    <t>http://www.petplanet.co.uk/small_breed_profile.asp?sbid=5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</si>
  <si>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</si>
  <si>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</si>
  <si>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</si>
  <si>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</si>
  <si>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</si>
  <si>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 xml:space="preserve">   </t>
  </si>
  <si>
    <t>Sealyham Terrier</t>
  </si>
  <si>
    <t>Retinal dysplasia</t>
  </si>
  <si>
    <t>Shiba Inu</t>
  </si>
  <si>
    <t>Silky Terrier</t>
  </si>
  <si>
    <t>http://www.vetstreet.com/dogs/mastiff#grooming</t>
  </si>
  <si>
    <t>Skye Terrier</t>
  </si>
  <si>
    <t>http://www.purina.com.au/sitecore/content/PurinaAustralia/Home/owning-a-dog/dog-breeds/Mastiff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</si>
  <si>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</si>
  <si>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</si>
  <si>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</si>
  <si>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</si>
  <si>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</si>
  <si>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</si>
  <si>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</si>
  <si>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</si>
  <si>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</si>
  <si>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</si>
  <si>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</si>
  <si>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Belgian Sheepdog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</si>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</sst>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u/>
      <color rgb="FF0000FF"/>
    </font>
    <font>
      <sz val="9.0"/>
    </font>
    <font>
      <sz val="14.0"/>
      <color rgb="FF000000"/>
    </font>
    <font>
      <sz val="9.0"/>
      <color rgb="FFCCCCCC"/>
    </font>
    <font>
      <sz val="9.0"/>
      <color rgb="FF000000"/>
    </font>
    <font>
      <sz val="10.0"/>
      <color rgb="FF000000"/>
    </font>
    <font>
      <sz val="9.0"/>
      <color rgb="FFB7B7B7"/>
    </font>
    <font>
      <sz val="9.0"/>
      <color rgb="FFCC0000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999999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u/>
      <sz val="9.0"/>
      <color rgb="FF0000FF"/>
    </font>
    <font>
      <u/>
      <sz val="9.0"/>
      <color rgb="FF0000FF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8" numFmtId="164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14" numFmtId="0" xfId="0" applyAlignment="1" applyFont="1">
      <alignment readingOrder="0" shrinkToFit="0" wrapText="1"/>
    </xf>
    <xf borderId="0" fillId="0" fontId="12" numFmtId="0" xfId="0" applyAlignment="1" applyFont="1">
      <alignment horizontal="left" readingOrder="0" shrinkToFit="0" vertical="top" wrapText="1"/>
    </xf>
    <xf borderId="0" fillId="0" fontId="15" numFmtId="4" xfId="0" applyAlignment="1" applyFont="1" applyNumberFormat="1">
      <alignment horizontal="left"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2" fontId="5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0" fontId="8" numFmtId="4" xfId="0" applyAlignment="1" applyFont="1" applyNumberFormat="1">
      <alignment horizontal="left"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3" fontId="5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0" fontId="7" numFmtId="3" xfId="0" applyAlignment="1" applyFont="1" applyNumberFormat="1">
      <alignment horizontal="left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5" numFmtId="3" xfId="0" applyAlignment="1" applyFont="1" applyNumberForma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4" fontId="8" numFmtId="0" xfId="0" applyAlignment="1" applyFill="1" applyFont="1">
      <alignment horizontal="left" readingOrder="0" shrinkToFit="0" vertical="top" wrapText="1"/>
    </xf>
    <xf borderId="0" fillId="0" fontId="8" numFmtId="164" xfId="0" applyAlignment="1" applyFont="1" applyNumberFormat="1">
      <alignment horizontal="left" shrinkToFit="0" vertical="top" wrapText="1"/>
    </xf>
    <xf borderId="0" fillId="3" fontId="5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0"/>
    </xf>
    <xf borderId="0" fillId="0" fontId="6" numFmtId="0" xfId="0" applyAlignment="1" applyFont="1">
      <alignment horizontal="left" shrinkToFit="0" vertical="top" wrapText="1"/>
    </xf>
    <xf borderId="0" fillId="2" fontId="8" numFmtId="0" xfId="0" applyAlignment="1" applyFont="1">
      <alignment shrinkToFit="0" wrapText="1"/>
    </xf>
    <xf borderId="0" fillId="4" fontId="8" numFmtId="4" xfId="0" applyAlignment="1" applyFont="1" applyNumberFormat="1">
      <alignment horizontal="left" shrinkToFit="0" vertical="top" wrapText="1"/>
    </xf>
    <xf borderId="0" fillId="3" fontId="12" numFmtId="0" xfId="0" applyAlignment="1" applyFont="1">
      <alignment horizontal="left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8" numFmtId="0" xfId="0" applyAlignment="1" applyFont="1">
      <alignment shrinkToFit="0" vertical="top" wrapText="1"/>
    </xf>
    <xf borderId="0" fillId="0" fontId="9" numFmtId="0" xfId="0" applyAlignment="1" applyFont="1">
      <alignment shrinkToFit="0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9" numFmtId="0" xfId="0" applyAlignment="1" applyFont="1">
      <alignment shrinkToFit="0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18" numFmtId="3" xfId="0" applyAlignment="1" applyFont="1" applyNumberFormat="1">
      <alignment shrinkToFit="0" vertical="top" wrapText="1"/>
    </xf>
    <xf borderId="0" fillId="0" fontId="17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2" fontId="8" numFmtId="0" xfId="0" applyAlignment="1" applyFont="1">
      <alignment shrinkToFit="0" vertical="top" wrapText="1"/>
    </xf>
    <xf borderId="0" fillId="2" fontId="16" numFmtId="0" xfId="0" applyAlignment="1" applyFont="1">
      <alignment shrinkToFit="0" wrapText="1"/>
    </xf>
    <xf borderId="0" fillId="0" fontId="17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shrinkToFit="0" wrapText="1"/>
    </xf>
    <xf borderId="0" fillId="0" fontId="20" numFmtId="0" xfId="0" applyAlignment="1" applyFont="1">
      <alignment readingOrder="0" shrinkToFit="0" vertical="top" wrapText="1"/>
    </xf>
    <xf borderId="0" fillId="4" fontId="17" numFmtId="0" xfId="0" applyAlignment="1" applyFont="1">
      <alignment horizontal="left" readingOrder="0" shrinkToFit="0" vertical="top" wrapText="1"/>
    </xf>
    <xf borderId="0" fillId="5" fontId="12" numFmtId="0" xfId="0" applyAlignment="1" applyFill="1" applyFont="1">
      <alignment readingOrder="0" shrinkToFit="0" vertical="top" wrapText="1"/>
    </xf>
    <xf borderId="0" fillId="4" fontId="17" numFmtId="164" xfId="0" applyAlignment="1" applyFont="1" applyNumberFormat="1">
      <alignment horizontal="left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shrinkToFit="0" vertical="top" wrapText="1"/>
    </xf>
    <xf borderId="0" fillId="4" fontId="21" numFmtId="0" xfId="0" applyAlignment="1" applyFont="1">
      <alignment horizontal="left" readingOrder="0" shrinkToFit="0" vertical="top" wrapText="1"/>
    </xf>
    <xf borderId="0" fillId="4" fontId="17" numFmtId="4" xfId="0" applyAlignment="1" applyFont="1" applyNumberFormat="1">
      <alignment horizontal="left" readingOrder="0" shrinkToFit="0" vertical="top" wrapText="0"/>
    </xf>
    <xf borderId="0" fillId="3" fontId="17" numFmtId="0" xfId="0" applyAlignment="1" applyFont="1">
      <alignment horizontal="center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5" fontId="17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shrinkToFit="0" vertical="top" wrapText="1"/>
    </xf>
    <xf borderId="0" fillId="5" fontId="12" numFmtId="0" xfId="0" applyAlignment="1" applyFont="1">
      <alignment horizontal="center" readingOrder="0" shrinkToFit="0" vertical="top" wrapText="1"/>
    </xf>
    <xf borderId="0" fillId="5" fontId="12" numFmtId="3" xfId="0" applyAlignment="1" applyFont="1" applyNumberFormat="1">
      <alignment horizontal="center"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5" fontId="14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23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4" fontId="17" numFmtId="0" xfId="0" applyAlignment="1" applyFont="1">
      <alignment horizontal="center" readingOrder="0" shrinkToFit="0" vertical="top" wrapText="0"/>
    </xf>
    <xf borderId="0" fillId="4" fontId="17" numFmtId="0" xfId="0" applyAlignment="1" applyFont="1">
      <alignment horizontal="center" readingOrder="0" shrinkToFit="0" vertical="top" wrapText="1"/>
    </xf>
    <xf borderId="0" fillId="4" fontId="8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shrinkToFit="0" vertical="top" wrapText="1"/>
    </xf>
    <xf borderId="0" fillId="4" fontId="17" numFmtId="3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8" numFmtId="0" xfId="0" applyAlignment="1" applyFont="1">
      <alignment horizontal="left" shrinkToFit="0" vertical="top" wrapText="0"/>
    </xf>
    <xf borderId="0" fillId="0" fontId="25" numFmtId="0" xfId="0" applyAlignment="1" applyFont="1">
      <alignment horizontal="left" readingOrder="0" shrinkToFit="0" vertical="top" wrapText="1"/>
    </xf>
    <xf borderId="0" fillId="2" fontId="26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0"/>
    </xf>
    <xf borderId="0" fillId="2" fontId="7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0" fontId="26" numFmtId="164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26" numFmtId="4" xfId="0" applyAlignment="1" applyFont="1" applyNumberFormat="1">
      <alignment horizontal="left" readingOrder="0" shrinkToFit="0" vertical="top" wrapText="1"/>
    </xf>
    <xf borderId="0" fillId="0" fontId="26" numFmtId="16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8" numFmtId="3" xfId="0" applyAlignment="1" applyFont="1" applyNumberFormat="1">
      <alignment horizontal="left" readingOrder="0" shrinkToFit="0" vertical="top" wrapText="1"/>
    </xf>
    <xf borderId="0" fillId="0" fontId="26" numFmtId="3" xfId="0" applyAlignment="1" applyFont="1" applyNumberFormat="1">
      <alignment horizontal="left" shrinkToFit="0" vertical="bottom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2" fontId="26" numFmtId="3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readingOrder="0" shrinkToFit="0" vertical="top" wrapText="1"/>
    </xf>
    <xf borderId="0" fillId="0" fontId="10" numFmtId="10" xfId="0" applyAlignment="1" applyFont="1" applyNumberFormat="1">
      <alignment horizontal="left" readingOrder="0" shrinkToFit="0" vertical="top" wrapText="1"/>
    </xf>
    <xf borderId="0" fillId="0" fontId="15" numFmtId="9" xfId="0" applyAlignment="1" applyFont="1" applyNumberFormat="1">
      <alignment horizontal="left" shrinkToFit="0" vertical="top" wrapText="1"/>
    </xf>
    <xf borderId="0" fillId="0" fontId="10" numFmtId="9" xfId="0" applyAlignment="1" applyFont="1" applyNumberFormat="1">
      <alignment horizontal="left" shrinkToFit="0" vertical="top" wrapText="1"/>
    </xf>
    <xf borderId="0" fillId="0" fontId="10" numFmtId="9" xfId="0" applyAlignment="1" applyFont="1" applyNumberFormat="1">
      <alignment horizontal="left" readingOrder="0" shrinkToFit="0" vertical="top" wrapText="1"/>
    </xf>
    <xf borderId="0" fillId="6" fontId="8" numFmtId="3" xfId="0" applyAlignment="1" applyFill="1" applyFont="1" applyNumberFormat="1">
      <alignment horizontal="left" shrinkToFit="0" vertical="top" wrapText="1"/>
    </xf>
    <xf borderId="0" fillId="0" fontId="8" numFmtId="9" xfId="0" applyAlignment="1" applyFont="1" applyNumberFormat="1">
      <alignment horizontal="left" shrinkToFit="0" vertical="top" wrapText="1"/>
    </xf>
    <xf borderId="0" fillId="4" fontId="8" numFmtId="3" xfId="0" applyAlignment="1" applyFont="1" applyNumberFormat="1">
      <alignment horizontal="left" shrinkToFit="0" vertical="top" wrapText="1"/>
    </xf>
    <xf borderId="0" fillId="2" fontId="8" numFmtId="3" xfId="0" applyAlignment="1" applyFont="1" applyNumberFormat="1">
      <alignment horizontal="left" shrinkToFit="0" vertical="top" wrapText="1"/>
    </xf>
    <xf quotePrefix="1" borderId="0" fillId="0" fontId="8" numFmtId="0" xfId="0" applyAlignment="1" applyFont="1">
      <alignment horizontal="left" readingOrder="0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12" numFmtId="3" xfId="0" applyAlignment="1" applyFont="1" applyNumberFormat="1">
      <alignment horizontal="left" shrinkToFit="0" vertical="top" wrapText="1"/>
    </xf>
    <xf borderId="0" fillId="4" fontId="10" numFmtId="10" xfId="0" applyAlignment="1" applyFont="1" applyNumberFormat="1">
      <alignment horizontal="left" readingOrder="0" shrinkToFit="0" vertical="top" wrapText="1"/>
    </xf>
    <xf borderId="0" fillId="6" fontId="5" numFmtId="0" xfId="0" applyAlignment="1" applyFont="1">
      <alignment horizontal="left" readingOrder="0" shrinkToFit="0" vertical="top" wrapText="1"/>
    </xf>
    <xf borderId="0" fillId="6" fontId="8" numFmtId="3" xfId="0" applyAlignment="1" applyFont="1" applyNumberFormat="1">
      <alignment horizontal="left" readingOrder="0" shrinkToFit="0" vertical="top" wrapText="1"/>
    </xf>
    <xf borderId="0" fillId="4" fontId="10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readingOrder="0" shrinkToFit="0" vertical="top" wrapText="1"/>
    </xf>
    <xf borderId="0" fillId="4" fontId="10" numFmtId="0" xfId="0" applyAlignment="1" applyFont="1">
      <alignment horizontal="left" shrinkToFit="0" vertical="top" wrapText="1"/>
    </xf>
    <xf quotePrefix="1" borderId="0" fillId="4" fontId="8" numFmtId="0" xfId="0" applyAlignment="1" applyFont="1">
      <alignment horizontal="left" readingOrder="0" shrinkToFit="0" vertical="top" wrapText="1"/>
    </xf>
    <xf borderId="0" fillId="4" fontId="8" numFmtId="3" xfId="0" applyAlignment="1" applyFont="1" applyNumberFormat="1">
      <alignment horizontal="left" readingOrder="0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0" fontId="16" numFmtId="4" xfId="0" applyAlignment="1" applyFont="1" applyNumberFormat="1">
      <alignment horizontal="left" readingOrder="0" shrinkToFit="0" vertical="top" wrapText="1"/>
    </xf>
    <xf borderId="0" fillId="4" fontId="8" numFmtId="4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shrinkToFit="0" wrapText="1"/>
    </xf>
    <xf borderId="0" fillId="3" fontId="5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12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7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5" fontId="5" numFmtId="165" xfId="0" applyAlignment="1" applyFont="1" applyNumberForma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7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0" fontId="10" numFmtId="165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bottom" wrapText="1"/>
    </xf>
    <xf borderId="0" fillId="9" fontId="10" numFmtId="3" xfId="0" applyAlignment="1" applyFill="1" applyFont="1" applyNumberForma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0" fillId="3" fontId="13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4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0" numFmtId="3" xfId="0" applyAlignment="1" applyFont="1" applyNumberFormat="1">
      <alignment horizontal="left" shrinkToFit="0" vertical="top" wrapText="1"/>
    </xf>
    <xf borderId="0" fillId="7" fontId="8" numFmtId="3" xfId="0" applyAlignment="1" applyFont="1" applyNumberForma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7" fontId="10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10" numFmtId="166" xfId="0" applyAlignment="1" applyFont="1" applyNumberFormat="1">
      <alignment horizontal="left" shrinkToFit="0" vertical="top" wrapText="1"/>
    </xf>
    <xf borderId="0" fillId="0" fontId="8" numFmtId="167" xfId="0" applyAlignment="1" applyFont="1" applyNumberFormat="1">
      <alignment horizontal="left" shrinkToFit="0" vertical="top" wrapText="1"/>
    </xf>
    <xf borderId="0" fillId="0" fontId="8" numFmtId="167" xfId="0" applyAlignment="1" applyFont="1" applyNumberFormat="1">
      <alignment horizontal="left" readingOrder="0" shrinkToFit="0" vertical="top" wrapText="1"/>
    </xf>
    <xf borderId="0" fillId="0" fontId="8" numFmtId="165" xfId="0" applyAlignment="1" applyFont="1" applyNumberForma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4" fontId="9" numFmtId="0" xfId="0" applyAlignment="1" applyFont="1">
      <alignment shrinkToFit="0" wrapText="1"/>
    </xf>
    <xf borderId="0" fillId="4" fontId="33" numFmtId="0" xfId="0" applyAlignment="1" applyFont="1">
      <alignment horizontal="left" readingOrder="0" shrinkToFit="0" vertical="top" wrapText="1"/>
    </xf>
    <xf borderId="0" fillId="4" fontId="8" numFmtId="167" xfId="0" applyAlignment="1" applyFont="1" applyNumberFormat="1">
      <alignment horizontal="left" shrinkToFit="0" vertical="top" wrapText="1"/>
    </xf>
    <xf borderId="0" fillId="4" fontId="8" numFmtId="166" xfId="0" applyAlignment="1" applyFont="1" applyNumberFormat="1">
      <alignment horizontal="left" shrinkToFit="0" vertical="top" wrapText="1"/>
    </xf>
    <xf borderId="0" fillId="4" fontId="8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8" numFmtId="10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8" numFmtId="168" xfId="0" applyAlignment="1" applyFont="1" applyNumberForma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8" numFmtId="16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2" fontId="8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horizontal="left" shrinkToFit="0" vertical="top" wrapText="0"/>
    </xf>
    <xf borderId="0" fillId="0" fontId="27" numFmtId="0" xfId="0" applyAlignment="1" applyFont="1">
      <alignment shrinkToFit="0" wrapText="1"/>
    </xf>
    <xf borderId="0" fillId="0" fontId="9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left" shrinkToFit="0" vertical="bottom" wrapText="1"/>
    </xf>
    <xf borderId="0" fillId="2" fontId="9" numFmtId="0" xfId="0" applyAlignment="1" applyFont="1">
      <alignment horizontal="left" shrinkToFit="0" vertical="bottom" wrapText="1"/>
    </xf>
    <xf borderId="0" fillId="0" fontId="9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5" t="s">
        <v>4</v>
      </c>
    </row>
    <row r="13">
      <c r="A13" s="1" t="s">
        <v>6</v>
      </c>
    </row>
    <row r="14">
      <c r="A14" s="5" t="s">
        <v>7</v>
      </c>
    </row>
    <row r="16">
      <c r="A16" s="1" t="s">
        <v>8</v>
      </c>
    </row>
    <row r="17">
      <c r="A17" s="5" t="s">
        <v>9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4"/>
      <c r="D1" s="6"/>
      <c r="E1" s="7"/>
      <c r="F1" s="6"/>
      <c r="G1" s="8"/>
      <c r="H1" s="6"/>
      <c r="I1" s="4"/>
      <c r="J1" s="8"/>
      <c r="K1" s="8"/>
      <c r="L1" s="8"/>
      <c r="M1" s="9"/>
      <c r="N1" s="10"/>
      <c r="O1" s="12"/>
      <c r="P1" s="9"/>
      <c r="Q1" s="8"/>
      <c r="R1" s="8"/>
      <c r="S1" s="12"/>
      <c r="T1" s="9"/>
      <c r="U1" s="8"/>
      <c r="V1" s="9"/>
      <c r="W1" s="14"/>
      <c r="X1" s="16"/>
      <c r="Y1" s="18"/>
      <c r="Z1" s="18"/>
      <c r="AA1" s="18"/>
      <c r="AB1" s="18"/>
      <c r="AC1" s="18"/>
      <c r="AD1" s="18"/>
      <c r="AE1" s="19"/>
      <c r="AF1" s="16"/>
      <c r="AG1" s="18"/>
      <c r="AH1" s="18"/>
      <c r="AI1" s="18"/>
      <c r="AJ1" s="18"/>
      <c r="AK1" s="18"/>
      <c r="AL1" s="18"/>
      <c r="AM1" s="18"/>
      <c r="AN1" s="18"/>
      <c r="AO1" s="18"/>
      <c r="AP1" s="9"/>
      <c r="AQ1" s="8"/>
      <c r="AR1" s="20"/>
      <c r="AS1" s="9"/>
      <c r="AT1" s="8"/>
      <c r="AU1" s="14"/>
      <c r="AV1" s="12"/>
      <c r="AW1" s="14"/>
      <c r="AX1" s="12"/>
      <c r="AY1" s="21"/>
      <c r="AZ1" s="22"/>
      <c r="BA1" s="12"/>
      <c r="BB1" s="23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5" t="s">
        <v>14</v>
      </c>
      <c r="O2" s="12"/>
      <c r="P2" s="9"/>
      <c r="R2" s="8"/>
      <c r="S2" s="12"/>
      <c r="T2" s="9"/>
      <c r="U2" s="8"/>
      <c r="V2" s="9"/>
      <c r="W2" s="14"/>
      <c r="X2" s="16"/>
      <c r="Y2" s="18"/>
      <c r="Z2" s="18"/>
      <c r="AA2" s="18"/>
      <c r="AB2" s="18"/>
      <c r="AC2" s="18"/>
      <c r="AD2" s="18"/>
      <c r="AE2" s="19"/>
      <c r="AF2" s="16"/>
      <c r="AG2" s="18"/>
      <c r="AH2" s="18"/>
      <c r="AI2" s="18"/>
      <c r="AJ2" s="18"/>
      <c r="AK2" s="18"/>
      <c r="AL2" s="18"/>
      <c r="AM2" s="18"/>
      <c r="AN2" s="18"/>
      <c r="AO2" s="18"/>
      <c r="AP2" s="9"/>
      <c r="AQ2" s="8"/>
      <c r="AR2" s="8"/>
      <c r="AS2" s="9"/>
      <c r="AT2" s="8"/>
      <c r="AU2" s="14"/>
      <c r="AV2" s="12"/>
      <c r="AW2" s="14"/>
      <c r="AX2" s="12"/>
      <c r="AY2" s="9"/>
      <c r="AZ2" s="22"/>
      <c r="BA2" s="12"/>
      <c r="BB2" s="12"/>
      <c r="BC2" s="8"/>
      <c r="BD2" s="8"/>
      <c r="BE2" s="8"/>
      <c r="BF2" s="8"/>
      <c r="BG2" s="8"/>
      <c r="BH2" s="8"/>
      <c r="BI2" s="8"/>
      <c r="BJ2" s="8"/>
      <c r="BK2" s="8"/>
    </row>
    <row r="3">
      <c r="A3" s="28" t="s">
        <v>15</v>
      </c>
      <c r="B3" s="32"/>
      <c r="C3" s="33"/>
      <c r="D3" s="38"/>
      <c r="E3" s="33"/>
      <c r="F3" s="38"/>
      <c r="G3" s="33"/>
      <c r="H3" s="38"/>
      <c r="I3" s="33"/>
      <c r="J3" s="33"/>
      <c r="K3" s="33"/>
      <c r="L3" s="33"/>
      <c r="M3" s="9"/>
      <c r="N3" s="10"/>
      <c r="O3" s="12"/>
      <c r="P3" s="9"/>
      <c r="Q3" s="8"/>
      <c r="R3" s="8"/>
      <c r="S3" s="12"/>
      <c r="T3" s="9"/>
      <c r="U3" s="33"/>
      <c r="V3" s="9"/>
      <c r="W3" s="40"/>
      <c r="X3" s="16"/>
      <c r="Y3" s="18"/>
      <c r="Z3" s="18"/>
      <c r="AA3" s="18"/>
      <c r="AB3" s="18"/>
      <c r="AC3" s="18"/>
      <c r="AD3" s="18"/>
      <c r="AE3" s="19"/>
      <c r="AF3" s="16"/>
      <c r="AG3" s="18"/>
      <c r="AH3" s="18"/>
      <c r="AI3" s="18"/>
      <c r="AJ3" s="18"/>
      <c r="AK3" s="18"/>
      <c r="AL3" s="18"/>
      <c r="AM3" s="18"/>
      <c r="AN3" s="18"/>
      <c r="AO3" s="18"/>
      <c r="AP3" s="9"/>
      <c r="AQ3" s="8"/>
      <c r="AR3" s="8"/>
      <c r="AS3" s="9"/>
      <c r="AT3" s="8"/>
      <c r="AU3" s="14"/>
      <c r="AV3" s="12"/>
      <c r="AW3" s="14"/>
      <c r="AX3" s="12"/>
      <c r="AY3" s="9"/>
      <c r="AZ3" s="22"/>
      <c r="BA3" s="12"/>
      <c r="BB3" s="12"/>
      <c r="BC3" s="8"/>
      <c r="BD3" s="8"/>
      <c r="BE3" s="8"/>
      <c r="BF3" s="8"/>
      <c r="BG3" s="8"/>
      <c r="BH3" s="8"/>
      <c r="BI3" s="8"/>
      <c r="BJ3" s="8"/>
      <c r="BK3" s="8"/>
    </row>
    <row r="4">
      <c r="A4" s="18"/>
      <c r="B4" s="43"/>
      <c r="C4" s="18"/>
      <c r="D4" s="45"/>
      <c r="E4" s="46"/>
      <c r="F4" s="45"/>
      <c r="G4" s="60"/>
      <c r="H4" s="61"/>
      <c r="I4" s="63"/>
      <c r="M4" s="61"/>
      <c r="O4" s="66"/>
      <c r="P4" s="61"/>
      <c r="T4" s="61"/>
      <c r="U4" s="33"/>
      <c r="V4" s="32"/>
      <c r="W4" s="14"/>
      <c r="X4" s="68"/>
      <c r="Y4" s="70"/>
      <c r="Z4" s="70"/>
      <c r="AA4" s="70"/>
      <c r="AB4" s="50"/>
      <c r="AC4" s="50"/>
      <c r="AD4" s="50"/>
      <c r="AE4" s="19"/>
      <c r="AF4" s="16"/>
      <c r="AG4" s="8"/>
      <c r="AH4" s="8"/>
      <c r="AI4" s="8"/>
      <c r="AJ4" s="33"/>
      <c r="AK4" s="33"/>
      <c r="AL4" s="33"/>
      <c r="AM4" s="33"/>
      <c r="AN4" s="33"/>
      <c r="AO4" s="33"/>
      <c r="AP4" s="72"/>
      <c r="AQ4" s="33"/>
      <c r="AR4" s="33"/>
      <c r="AS4" s="72"/>
      <c r="AT4" s="74"/>
      <c r="AU4" s="74"/>
      <c r="AV4" s="74"/>
      <c r="AW4" s="74"/>
      <c r="AX4" s="33"/>
      <c r="AY4" s="9"/>
      <c r="AZ4" s="22"/>
      <c r="BA4" s="12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>
      <c r="A5" s="8"/>
      <c r="B5" s="45"/>
      <c r="C5" s="46"/>
      <c r="D5" s="45"/>
      <c r="E5" s="46"/>
      <c r="F5" s="45"/>
      <c r="G5" s="77" t="s">
        <v>61</v>
      </c>
      <c r="H5" s="80"/>
      <c r="I5" s="83" t="s">
        <v>66</v>
      </c>
      <c r="M5" s="84"/>
      <c r="N5" s="85" t="s">
        <v>68</v>
      </c>
      <c r="P5" s="86"/>
      <c r="Q5" s="83" t="s">
        <v>72</v>
      </c>
      <c r="T5" s="87"/>
      <c r="U5" s="88" t="s">
        <v>73</v>
      </c>
      <c r="V5" s="86"/>
      <c r="W5" s="89" t="s">
        <v>74</v>
      </c>
      <c r="X5" s="90" t="s">
        <v>75</v>
      </c>
      <c r="AB5" s="91" t="s">
        <v>76</v>
      </c>
      <c r="AG5" s="90" t="s">
        <v>77</v>
      </c>
      <c r="AO5" s="91" t="s">
        <v>78</v>
      </c>
      <c r="AP5" s="45"/>
      <c r="AQ5" s="92" t="s">
        <v>79</v>
      </c>
      <c r="AS5" s="45"/>
      <c r="AT5" s="89" t="s">
        <v>80</v>
      </c>
      <c r="AY5" s="9"/>
      <c r="AZ5" s="22"/>
      <c r="BA5" s="12"/>
      <c r="BB5" s="93"/>
      <c r="BC5" s="7"/>
      <c r="BD5" s="8"/>
      <c r="BE5" s="8"/>
      <c r="BF5" s="8"/>
      <c r="BG5" s="8"/>
      <c r="BH5" s="8"/>
      <c r="BI5" s="8"/>
      <c r="BJ5" s="8"/>
      <c r="BK5" s="8"/>
    </row>
    <row r="6">
      <c r="A6" s="29" t="s">
        <v>81</v>
      </c>
      <c r="B6" s="80"/>
      <c r="C6" s="94" t="s">
        <v>82</v>
      </c>
      <c r="D6" s="80"/>
      <c r="E6" s="94" t="s">
        <v>19</v>
      </c>
      <c r="F6" s="80"/>
      <c r="G6" s="94" t="s">
        <v>83</v>
      </c>
      <c r="H6" s="80"/>
      <c r="I6" s="29" t="s">
        <v>84</v>
      </c>
      <c r="J6" s="29" t="s">
        <v>85</v>
      </c>
      <c r="K6" s="29" t="s">
        <v>86</v>
      </c>
      <c r="L6" s="29" t="s">
        <v>87</v>
      </c>
      <c r="M6" s="21"/>
      <c r="N6" s="31" t="s">
        <v>88</v>
      </c>
      <c r="O6" s="95" t="s">
        <v>89</v>
      </c>
      <c r="P6" s="21"/>
      <c r="Q6" s="29" t="s">
        <v>90</v>
      </c>
      <c r="R6" s="29" t="s">
        <v>91</v>
      </c>
      <c r="S6" s="95" t="s">
        <v>92</v>
      </c>
      <c r="T6" s="21"/>
      <c r="U6" s="29" t="s">
        <v>93</v>
      </c>
      <c r="V6" s="21"/>
      <c r="W6" s="96" t="s">
        <v>94</v>
      </c>
      <c r="X6" s="97" t="s">
        <v>95</v>
      </c>
      <c r="Y6" s="98" t="s">
        <v>96</v>
      </c>
      <c r="Z6" s="98" t="s">
        <v>97</v>
      </c>
      <c r="AA6" s="98" t="s">
        <v>98</v>
      </c>
      <c r="AB6" s="98" t="s">
        <v>99</v>
      </c>
      <c r="AC6" s="98" t="s">
        <v>100</v>
      </c>
      <c r="AD6" s="98" t="s">
        <v>101</v>
      </c>
      <c r="AE6" s="99" t="s">
        <v>102</v>
      </c>
      <c r="AF6" s="97" t="s">
        <v>103</v>
      </c>
      <c r="AG6" s="97" t="s">
        <v>104</v>
      </c>
      <c r="AH6" s="97" t="s">
        <v>105</v>
      </c>
      <c r="AI6" s="98" t="s">
        <v>106</v>
      </c>
      <c r="AJ6" s="98" t="s">
        <v>107</v>
      </c>
      <c r="AK6" s="98" t="s">
        <v>108</v>
      </c>
      <c r="AL6" s="98" t="s">
        <v>109</v>
      </c>
      <c r="AM6" s="98" t="s">
        <v>110</v>
      </c>
      <c r="AN6" s="98" t="s">
        <v>111</v>
      </c>
      <c r="AO6" s="98" t="s">
        <v>112</v>
      </c>
      <c r="AP6" s="21"/>
      <c r="AQ6" s="29" t="s">
        <v>113</v>
      </c>
      <c r="AR6" s="29" t="s">
        <v>114</v>
      </c>
      <c r="AS6" s="21"/>
      <c r="AT6" s="29" t="s">
        <v>115</v>
      </c>
      <c r="AU6" s="96" t="s">
        <v>116</v>
      </c>
      <c r="AV6" s="95" t="s">
        <v>117</v>
      </c>
      <c r="AW6" s="96" t="s">
        <v>118</v>
      </c>
      <c r="AX6" s="95" t="s">
        <v>119</v>
      </c>
      <c r="AY6" s="21"/>
      <c r="AZ6" s="95" t="s">
        <v>120</v>
      </c>
      <c r="BA6" s="95" t="s">
        <v>121</v>
      </c>
      <c r="BB6" s="95" t="s">
        <v>122</v>
      </c>
      <c r="BC6" s="7"/>
      <c r="BD6" s="20"/>
      <c r="BE6" s="20"/>
      <c r="BF6" s="20"/>
      <c r="BG6" s="20"/>
      <c r="BH6" s="20"/>
      <c r="BI6" s="20"/>
      <c r="BJ6" s="20"/>
      <c r="BK6" s="20"/>
    </row>
    <row r="7">
      <c r="A7" s="100"/>
      <c r="B7" s="101"/>
      <c r="C7" s="102" t="s">
        <v>123</v>
      </c>
      <c r="D7" s="101"/>
      <c r="E7" s="102" t="s">
        <v>124</v>
      </c>
      <c r="F7" s="101"/>
      <c r="G7" s="102" t="s">
        <v>125</v>
      </c>
      <c r="H7" s="101"/>
      <c r="I7" s="100"/>
      <c r="J7" s="100"/>
      <c r="K7" s="100"/>
      <c r="L7" s="100"/>
      <c r="M7" s="101"/>
      <c r="N7" s="103" t="s">
        <v>126</v>
      </c>
      <c r="O7" s="102" t="s">
        <v>127</v>
      </c>
      <c r="P7" s="101"/>
      <c r="Q7" s="102" t="s">
        <v>128</v>
      </c>
      <c r="R7" s="102" t="s">
        <v>129</v>
      </c>
      <c r="S7" s="102" t="s">
        <v>128</v>
      </c>
      <c r="T7" s="101"/>
      <c r="U7" s="102" t="s">
        <v>130</v>
      </c>
      <c r="V7" s="101"/>
      <c r="W7" s="104"/>
      <c r="X7" s="105" t="s">
        <v>131</v>
      </c>
      <c r="Y7" s="100"/>
      <c r="Z7" s="100"/>
      <c r="AA7" s="100"/>
      <c r="AB7" s="100"/>
      <c r="AC7" s="100"/>
      <c r="AD7" s="100"/>
      <c r="AE7" s="103" t="s">
        <v>132</v>
      </c>
      <c r="AF7" s="105" t="s">
        <v>133</v>
      </c>
      <c r="AG7" s="105" t="s">
        <v>134</v>
      </c>
      <c r="AH7" s="105" t="s">
        <v>132</v>
      </c>
      <c r="AI7" s="100"/>
      <c r="AJ7" s="102" t="s">
        <v>135</v>
      </c>
      <c r="AO7" s="102" t="s">
        <v>136</v>
      </c>
      <c r="AP7" s="101"/>
      <c r="AQ7" s="102" t="s">
        <v>137</v>
      </c>
      <c r="AR7" s="102" t="s">
        <v>138</v>
      </c>
      <c r="AS7" s="101"/>
      <c r="AT7" s="100"/>
      <c r="AU7" s="105" t="s">
        <v>139</v>
      </c>
      <c r="AY7" s="101"/>
      <c r="AZ7" s="102" t="s">
        <v>140</v>
      </c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</row>
    <row r="8">
      <c r="A8" s="25" t="s">
        <v>141</v>
      </c>
      <c r="B8" s="9"/>
      <c r="C8" s="8"/>
      <c r="D8" s="9"/>
      <c r="E8" s="25" t="s">
        <v>43</v>
      </c>
      <c r="F8" s="9"/>
      <c r="G8" s="25">
        <v>139.0</v>
      </c>
      <c r="H8" s="9"/>
      <c r="I8" s="25">
        <v>37.0</v>
      </c>
      <c r="J8" s="25" t="s">
        <v>142</v>
      </c>
      <c r="K8" s="25" t="s">
        <v>143</v>
      </c>
      <c r="L8" s="25" t="s">
        <v>144</v>
      </c>
      <c r="M8" s="9"/>
      <c r="N8" s="41">
        <v>11.42</v>
      </c>
      <c r="O8" s="106">
        <v>21.0</v>
      </c>
      <c r="P8" s="9"/>
      <c r="Q8" s="25" t="s">
        <v>145</v>
      </c>
      <c r="R8" s="25">
        <v>0.0</v>
      </c>
      <c r="S8" s="106" t="s">
        <v>145</v>
      </c>
      <c r="T8" s="9"/>
      <c r="U8" s="25">
        <v>4.0</v>
      </c>
      <c r="V8" s="9"/>
      <c r="W8" s="14">
        <f t="shared" ref="W8:W9" si="1">X8+AF8+AG8+AO8</f>
        <v>14833.26422</v>
      </c>
      <c r="X8" s="16">
        <f>average(350,350,200,400,400,350,800,750,750,750)</f>
        <v>510</v>
      </c>
      <c r="Y8" s="107" t="s">
        <v>146</v>
      </c>
      <c r="Z8" s="107">
        <v>200.0</v>
      </c>
      <c r="AA8" s="107">
        <v>800.0</v>
      </c>
      <c r="AB8" s="108">
        <f t="shared" ref="AB8:AB9" si="2">average(AC8,AD8)</f>
        <v>4</v>
      </c>
      <c r="AC8" s="107">
        <v>4.0</v>
      </c>
      <c r="AD8" s="107">
        <v>4.0</v>
      </c>
      <c r="AE8" s="19">
        <f>IFERROR(__xludf.DUMMYFUNCTION("AB8*GoogleFinance(""CURRENCY:GBPUSD"")"),4.98318)</f>
        <v>4.98318</v>
      </c>
      <c r="AF8" s="16">
        <f t="shared" ref="AF8:AF9" si="3">AE8*52.1775*N8</f>
        <v>2969.312766</v>
      </c>
      <c r="AG8" s="16">
        <f t="shared" ref="AG8:AG12" si="4">AH8*N8</f>
        <v>11153.95146</v>
      </c>
      <c r="AH8" s="16">
        <f>IFERROR(__xludf.DUMMYFUNCTION("AI8*GoogleFinance(""CURRENCY:GBPUSD"")"),976.70328)</f>
        <v>976.70328</v>
      </c>
      <c r="AI8" s="108">
        <f t="shared" ref="AI8:AI179" si="5">sum(AJ8:AN8)</f>
        <v>784</v>
      </c>
      <c r="AJ8" s="107">
        <v>121.0</v>
      </c>
      <c r="AK8" s="107">
        <v>126.0</v>
      </c>
      <c r="AL8" s="107">
        <v>244.0</v>
      </c>
      <c r="AM8" s="107">
        <v>177.0</v>
      </c>
      <c r="AN8" s="107">
        <v>116.0</v>
      </c>
      <c r="AO8" s="107">
        <v>200.0</v>
      </c>
      <c r="AP8" s="9"/>
      <c r="AQ8" s="25" t="s">
        <v>147</v>
      </c>
      <c r="AR8" s="25" t="s">
        <v>148</v>
      </c>
      <c r="AS8" s="9"/>
      <c r="AT8" s="25" t="s">
        <v>149</v>
      </c>
      <c r="AU8" s="109" t="s">
        <v>150</v>
      </c>
      <c r="AV8" s="106" t="s">
        <v>150</v>
      </c>
      <c r="AW8" s="14">
        <f t="shared" ref="AW8:AW26" si="6">AX8*2.54</f>
        <v>26.035</v>
      </c>
      <c r="AX8" s="112">
        <f>average(9,11.5)</f>
        <v>10.25</v>
      </c>
      <c r="AY8" s="9"/>
      <c r="AZ8" s="12"/>
      <c r="BA8" s="12"/>
      <c r="BB8" s="12"/>
      <c r="BC8" s="8"/>
      <c r="BD8" s="8"/>
      <c r="BE8" s="8"/>
      <c r="BF8" s="8"/>
      <c r="BG8" s="8"/>
      <c r="BH8" s="8"/>
      <c r="BI8" s="8"/>
      <c r="BJ8" s="8"/>
      <c r="BK8" s="8"/>
    </row>
    <row r="9">
      <c r="A9" s="25" t="s">
        <v>156</v>
      </c>
      <c r="B9" s="9"/>
      <c r="C9" s="8"/>
      <c r="D9" s="9"/>
      <c r="E9" s="25" t="s">
        <v>53</v>
      </c>
      <c r="F9" s="9"/>
      <c r="G9" s="25">
        <v>88.0</v>
      </c>
      <c r="H9" s="9"/>
      <c r="I9" s="25">
        <v>80.0</v>
      </c>
      <c r="J9" s="25" t="s">
        <v>157</v>
      </c>
      <c r="K9" s="25" t="s">
        <v>158</v>
      </c>
      <c r="L9" s="25" t="s">
        <v>159</v>
      </c>
      <c r="M9" s="9"/>
      <c r="N9" s="41">
        <v>11.92</v>
      </c>
      <c r="O9" s="106">
        <v>154.0</v>
      </c>
      <c r="P9" s="9"/>
      <c r="Q9" s="25" t="s">
        <v>145</v>
      </c>
      <c r="R9" s="25">
        <v>0.0</v>
      </c>
      <c r="S9" s="106" t="s">
        <v>145</v>
      </c>
      <c r="T9" s="9"/>
      <c r="U9" s="25">
        <v>2.0</v>
      </c>
      <c r="V9" s="9"/>
      <c r="W9" s="14">
        <f t="shared" si="1"/>
        <v>19512.06057</v>
      </c>
      <c r="X9" s="16">
        <f>average(1000,450,800,1000,1200,1000,1000,1000,1000,450)</f>
        <v>890</v>
      </c>
      <c r="Y9" s="107" t="s">
        <v>160</v>
      </c>
      <c r="Z9" s="107">
        <v>450.0</v>
      </c>
      <c r="AA9" s="107">
        <v>1000.0</v>
      </c>
      <c r="AB9" s="108">
        <f t="shared" si="2"/>
        <v>8.75</v>
      </c>
      <c r="AC9" s="107">
        <v>7.5</v>
      </c>
      <c r="AD9" s="107">
        <v>10.0</v>
      </c>
      <c r="AE9" s="19">
        <f>IFERROR(__xludf.DUMMYFUNCTION("AB9*GoogleFinance(""CURRENCY:GBPUSD"")"),10.90070625)</f>
        <v>10.90070625</v>
      </c>
      <c r="AF9" s="16">
        <f t="shared" si="3"/>
        <v>6779.757476</v>
      </c>
      <c r="AG9" s="16">
        <f t="shared" si="4"/>
        <v>11642.3031</v>
      </c>
      <c r="AH9" s="16">
        <f>IFERROR(__xludf.DUMMYFUNCTION("AI9*GoogleFinance(""CURRENCY:GBPUSD"")"),976.70328)</f>
        <v>976.70328</v>
      </c>
      <c r="AI9" s="108">
        <f t="shared" si="5"/>
        <v>784</v>
      </c>
      <c r="AJ9" s="107">
        <v>121.0</v>
      </c>
      <c r="AK9" s="107">
        <v>126.0</v>
      </c>
      <c r="AL9" s="107">
        <v>244.0</v>
      </c>
      <c r="AM9" s="107">
        <v>177.0</v>
      </c>
      <c r="AN9" s="107">
        <v>116.0</v>
      </c>
      <c r="AO9" s="107">
        <v>200.0</v>
      </c>
      <c r="AP9" s="9"/>
      <c r="AQ9" s="25" t="s">
        <v>164</v>
      </c>
      <c r="AR9" s="25" t="s">
        <v>165</v>
      </c>
      <c r="AS9" s="9"/>
      <c r="AT9" s="25" t="s">
        <v>166</v>
      </c>
      <c r="AU9" s="14">
        <f>AV9*0.45359237</f>
        <v>24.94758035</v>
      </c>
      <c r="AV9" s="112">
        <f>average(50,60)</f>
        <v>55</v>
      </c>
      <c r="AW9" s="14">
        <f t="shared" si="6"/>
        <v>66.04</v>
      </c>
      <c r="AX9" s="112">
        <f>average(25,27)</f>
        <v>26</v>
      </c>
      <c r="AY9" s="9"/>
      <c r="AZ9" s="12"/>
      <c r="BA9" s="12"/>
      <c r="BB9" s="12"/>
      <c r="BC9" s="8"/>
      <c r="BD9" s="8"/>
      <c r="BE9" s="8"/>
      <c r="BF9" s="8"/>
      <c r="BG9" s="8"/>
      <c r="BH9" s="8"/>
      <c r="BI9" s="8"/>
      <c r="BJ9" s="8"/>
      <c r="BK9" s="8"/>
    </row>
    <row r="10">
      <c r="A10" s="25" t="s">
        <v>173</v>
      </c>
      <c r="B10" s="9"/>
      <c r="C10" s="8"/>
      <c r="D10" s="9"/>
      <c r="E10" s="25" t="s">
        <v>23</v>
      </c>
      <c r="F10" s="9"/>
      <c r="G10" s="25">
        <v>55.0</v>
      </c>
      <c r="H10" s="9"/>
      <c r="I10" s="25">
        <v>29.0</v>
      </c>
      <c r="J10" s="25" t="s">
        <v>142</v>
      </c>
      <c r="K10" s="25" t="s">
        <v>143</v>
      </c>
      <c r="L10" s="25" t="s">
        <v>144</v>
      </c>
      <c r="M10" s="9"/>
      <c r="N10" s="41">
        <v>11.45</v>
      </c>
      <c r="O10" s="106">
        <v>307.0</v>
      </c>
      <c r="P10" s="9"/>
      <c r="Q10" s="25" t="s">
        <v>174</v>
      </c>
      <c r="R10" s="25">
        <v>1.0</v>
      </c>
      <c r="S10" s="106" t="s">
        <v>175</v>
      </c>
      <c r="T10" s="9"/>
      <c r="U10" s="25">
        <v>4.0</v>
      </c>
      <c r="V10" s="9"/>
      <c r="W10" s="115" t="s">
        <v>150</v>
      </c>
      <c r="X10" s="16">
        <f>average(550,800,750,1200,650,500,500,475,700,1200)</f>
        <v>732.5</v>
      </c>
      <c r="Y10" s="107" t="s">
        <v>160</v>
      </c>
      <c r="Z10" s="107">
        <v>475.0</v>
      </c>
      <c r="AA10" s="107">
        <v>1200.0</v>
      </c>
      <c r="AB10" s="115" t="s">
        <v>150</v>
      </c>
      <c r="AC10" s="115" t="s">
        <v>150</v>
      </c>
      <c r="AD10" s="115" t="s">
        <v>150</v>
      </c>
      <c r="AE10" s="115" t="s">
        <v>150</v>
      </c>
      <c r="AF10" s="115" t="s">
        <v>150</v>
      </c>
      <c r="AG10" s="16">
        <f t="shared" si="4"/>
        <v>11183.25256</v>
      </c>
      <c r="AH10" s="16">
        <f>IFERROR(__xludf.DUMMYFUNCTION("AI10*GoogleFinance(""CURRENCY:GBPUSD"")"),976.70328)</f>
        <v>976.70328</v>
      </c>
      <c r="AI10" s="108">
        <f t="shared" si="5"/>
        <v>784</v>
      </c>
      <c r="AJ10" s="107">
        <v>121.0</v>
      </c>
      <c r="AK10" s="107">
        <v>126.0</v>
      </c>
      <c r="AL10" s="107">
        <v>244.0</v>
      </c>
      <c r="AM10" s="107">
        <v>177.0</v>
      </c>
      <c r="AN10" s="107">
        <v>116.0</v>
      </c>
      <c r="AO10" s="107">
        <v>200.0</v>
      </c>
      <c r="AP10" s="9"/>
      <c r="AQ10" s="107" t="s">
        <v>182</v>
      </c>
      <c r="AR10" s="107" t="s">
        <v>182</v>
      </c>
      <c r="AS10" s="9"/>
      <c r="AT10" s="25" t="s">
        <v>148</v>
      </c>
      <c r="AU10" s="106" t="s">
        <v>150</v>
      </c>
      <c r="AV10" s="106" t="s">
        <v>150</v>
      </c>
      <c r="AW10" s="14">
        <f t="shared" si="6"/>
        <v>58.42</v>
      </c>
      <c r="AX10" s="106">
        <v>23.0</v>
      </c>
      <c r="AY10" s="9"/>
      <c r="AZ10" s="12"/>
      <c r="BA10" s="12"/>
      <c r="BB10" s="12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5" t="s">
        <v>183</v>
      </c>
      <c r="B11" s="9"/>
      <c r="C11" s="8"/>
      <c r="D11" s="9"/>
      <c r="E11" s="25" t="s">
        <v>38</v>
      </c>
      <c r="F11" s="9"/>
      <c r="G11" s="25">
        <v>47.0</v>
      </c>
      <c r="H11" s="9"/>
      <c r="I11" s="25">
        <v>54.0</v>
      </c>
      <c r="J11" s="25" t="s">
        <v>184</v>
      </c>
      <c r="K11" s="116" t="s">
        <v>185</v>
      </c>
      <c r="L11" s="25" t="s">
        <v>187</v>
      </c>
      <c r="M11" s="9"/>
      <c r="N11" s="41">
        <v>10.16</v>
      </c>
      <c r="O11" s="106">
        <v>192.0</v>
      </c>
      <c r="P11" s="9"/>
      <c r="Q11" s="25" t="s">
        <v>174</v>
      </c>
      <c r="R11" s="25">
        <v>1.0</v>
      </c>
      <c r="S11" s="106" t="s">
        <v>175</v>
      </c>
      <c r="T11" s="9"/>
      <c r="U11" s="25">
        <v>2.0</v>
      </c>
      <c r="V11" s="9"/>
      <c r="W11" s="14">
        <f t="shared" ref="W11:W12" si="7">X11+AF11+AG11+AO11</f>
        <v>17103.52478</v>
      </c>
      <c r="X11" s="16">
        <f>average(750,1400,1350,1500,565,850,1000,1800,1000,1800)</f>
        <v>1201.5</v>
      </c>
      <c r="Y11" s="107" t="s">
        <v>160</v>
      </c>
      <c r="Z11" s="107">
        <v>565.0</v>
      </c>
      <c r="AA11" s="107">
        <v>1800.0</v>
      </c>
      <c r="AB11" s="108">
        <f t="shared" ref="AB11:AB12" si="8">average(AC11,AD11)</f>
        <v>8.75</v>
      </c>
      <c r="AC11" s="107">
        <v>7.5</v>
      </c>
      <c r="AD11" s="107">
        <v>10.0</v>
      </c>
      <c r="AE11" s="19">
        <f>IFERROR(__xludf.DUMMYFUNCTION("AB11*GoogleFinance(""CURRENCY:GBPUSD"")"),10.90070625)</f>
        <v>10.90070625</v>
      </c>
      <c r="AF11" s="16">
        <f t="shared" ref="AF11:AF12" si="9">AE11*52.1775*N11</f>
        <v>5778.71946</v>
      </c>
      <c r="AG11" s="16">
        <f t="shared" si="4"/>
        <v>9923.305325</v>
      </c>
      <c r="AH11" s="16">
        <f>IFERROR(__xludf.DUMMYFUNCTION("AI11*GoogleFinance(""CURRENCY:GBPUSD"")"),976.70328)</f>
        <v>976.70328</v>
      </c>
      <c r="AI11" s="108">
        <f t="shared" si="5"/>
        <v>784</v>
      </c>
      <c r="AJ11" s="107">
        <v>121.0</v>
      </c>
      <c r="AK11" s="107">
        <v>126.0</v>
      </c>
      <c r="AL11" s="107">
        <v>244.0</v>
      </c>
      <c r="AM11" s="107">
        <v>177.0</v>
      </c>
      <c r="AN11" s="107">
        <v>116.0</v>
      </c>
      <c r="AO11" s="107">
        <v>200.0</v>
      </c>
      <c r="AP11" s="9"/>
      <c r="AQ11" s="25" t="s">
        <v>147</v>
      </c>
      <c r="AR11" s="25" t="s">
        <v>209</v>
      </c>
      <c r="AS11" s="9"/>
      <c r="AT11" s="25" t="s">
        <v>166</v>
      </c>
      <c r="AU11" s="106" t="s">
        <v>150</v>
      </c>
      <c r="AV11" s="106" t="s">
        <v>150</v>
      </c>
      <c r="AW11" s="14">
        <f t="shared" si="6"/>
        <v>66.04</v>
      </c>
      <c r="AX11" s="112">
        <f>average(24,28)</f>
        <v>26</v>
      </c>
      <c r="AY11" s="9"/>
      <c r="AZ11" s="12"/>
      <c r="BA11" s="12"/>
      <c r="BB11" s="12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5" t="s">
        <v>212</v>
      </c>
      <c r="B12" s="9"/>
      <c r="C12" s="8"/>
      <c r="D12" s="9"/>
      <c r="E12" s="25" t="s">
        <v>38</v>
      </c>
      <c r="F12" s="9"/>
      <c r="G12" s="25">
        <v>58.0</v>
      </c>
      <c r="H12" s="9"/>
      <c r="I12" s="25">
        <v>50.0</v>
      </c>
      <c r="J12" s="25" t="s">
        <v>184</v>
      </c>
      <c r="K12" s="116" t="s">
        <v>185</v>
      </c>
      <c r="L12" s="25" t="s">
        <v>187</v>
      </c>
      <c r="M12" s="9"/>
      <c r="N12" s="41">
        <v>10.67</v>
      </c>
      <c r="O12" s="106">
        <v>14.0</v>
      </c>
      <c r="P12" s="9"/>
      <c r="Q12" s="25" t="s">
        <v>217</v>
      </c>
      <c r="R12" s="25">
        <v>2.0</v>
      </c>
      <c r="S12" s="106" t="s">
        <v>218</v>
      </c>
      <c r="T12" s="9"/>
      <c r="U12" s="25">
        <v>3.0</v>
      </c>
      <c r="V12" s="9"/>
      <c r="W12" s="14">
        <f t="shared" si="7"/>
        <v>17899.71697</v>
      </c>
      <c r="X12" s="16">
        <f>average(900,550,800,695,800,1800,1000,1550,1650,2350)</f>
        <v>1209.5</v>
      </c>
      <c r="Y12" s="107" t="s">
        <v>160</v>
      </c>
      <c r="Z12" s="107">
        <v>550.0</v>
      </c>
      <c r="AA12" s="107">
        <v>2350.0</v>
      </c>
      <c r="AB12" s="108">
        <f t="shared" si="8"/>
        <v>8.75</v>
      </c>
      <c r="AC12" s="107">
        <v>7.5</v>
      </c>
      <c r="AD12" s="107">
        <v>10.0</v>
      </c>
      <c r="AE12" s="19">
        <f>IFERROR(__xludf.DUMMYFUNCTION("AB12*GoogleFinance(""CURRENCY:GBPUSD"")"),10.90070625)</f>
        <v>10.90070625</v>
      </c>
      <c r="AF12" s="16">
        <f t="shared" si="9"/>
        <v>6068.792976</v>
      </c>
      <c r="AG12" s="16">
        <f t="shared" si="4"/>
        <v>10421.424</v>
      </c>
      <c r="AH12" s="16">
        <f>IFERROR(__xludf.DUMMYFUNCTION("AI12*GoogleFinance(""CURRENCY:GBPUSD"")"),976.70328)</f>
        <v>976.70328</v>
      </c>
      <c r="AI12" s="108">
        <f t="shared" si="5"/>
        <v>784</v>
      </c>
      <c r="AJ12" s="107">
        <v>121.0</v>
      </c>
      <c r="AK12" s="107">
        <v>126.0</v>
      </c>
      <c r="AL12" s="107">
        <v>244.0</v>
      </c>
      <c r="AM12" s="107">
        <v>177.0</v>
      </c>
      <c r="AN12" s="107">
        <v>116.0</v>
      </c>
      <c r="AO12" s="107">
        <v>200.0</v>
      </c>
      <c r="AP12" s="9"/>
      <c r="AQ12" s="25" t="s">
        <v>164</v>
      </c>
      <c r="AR12" s="25" t="s">
        <v>148</v>
      </c>
      <c r="AS12" s="9"/>
      <c r="AT12" s="25" t="s">
        <v>166</v>
      </c>
      <c r="AU12" s="14">
        <f>AV12*0.45359237</f>
        <v>36.2873896</v>
      </c>
      <c r="AV12" s="112">
        <f>average(75,85)</f>
        <v>80</v>
      </c>
      <c r="AW12" s="14">
        <f t="shared" si="6"/>
        <v>60.96</v>
      </c>
      <c r="AX12" s="112">
        <f>average(23,25)</f>
        <v>24</v>
      </c>
      <c r="AY12" s="9"/>
      <c r="AZ12" s="106" t="s">
        <v>222</v>
      </c>
      <c r="BA12" s="106" t="s">
        <v>223</v>
      </c>
      <c r="BB12" s="128" t="s">
        <v>224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5" t="s">
        <v>225</v>
      </c>
      <c r="B13" s="9"/>
      <c r="C13" s="8"/>
      <c r="D13" s="9"/>
      <c r="E13" s="25" t="s">
        <v>53</v>
      </c>
      <c r="F13" s="9"/>
      <c r="G13" s="25">
        <v>33.0</v>
      </c>
      <c r="H13" s="9"/>
      <c r="I13" s="106" t="s">
        <v>150</v>
      </c>
      <c r="J13" s="106" t="s">
        <v>150</v>
      </c>
      <c r="K13" s="106" t="s">
        <v>150</v>
      </c>
      <c r="L13" s="106" t="s">
        <v>150</v>
      </c>
      <c r="M13" s="134"/>
      <c r="N13" s="106" t="s">
        <v>150</v>
      </c>
      <c r="O13" s="106" t="s">
        <v>182</v>
      </c>
      <c r="P13" s="134"/>
      <c r="Q13" s="106" t="s">
        <v>150</v>
      </c>
      <c r="R13" s="106" t="s">
        <v>150</v>
      </c>
      <c r="S13" s="106" t="s">
        <v>150</v>
      </c>
      <c r="T13" s="9"/>
      <c r="U13" s="25">
        <v>2.0</v>
      </c>
      <c r="V13" s="9"/>
      <c r="W13" s="115" t="s">
        <v>150</v>
      </c>
      <c r="X13" s="16">
        <f>average(300,100,350,300,350,300)</f>
        <v>283.3333333</v>
      </c>
      <c r="Y13" s="107" t="s">
        <v>146</v>
      </c>
      <c r="Z13" s="107">
        <v>100.0</v>
      </c>
      <c r="AA13" s="107">
        <v>350.0</v>
      </c>
      <c r="AB13" s="115" t="s">
        <v>150</v>
      </c>
      <c r="AC13" s="115" t="s">
        <v>150</v>
      </c>
      <c r="AD13" s="115" t="s">
        <v>150</v>
      </c>
      <c r="AE13" s="115" t="s">
        <v>150</v>
      </c>
      <c r="AF13" s="115" t="s">
        <v>150</v>
      </c>
      <c r="AG13" s="115" t="s">
        <v>150</v>
      </c>
      <c r="AH13" s="16">
        <f>IFERROR(__xludf.DUMMYFUNCTION("AI13*GoogleFinance(""CURRENCY:GBPUSD"")"),976.70328)</f>
        <v>976.70328</v>
      </c>
      <c r="AI13" s="108">
        <f t="shared" si="5"/>
        <v>784</v>
      </c>
      <c r="AJ13" s="107">
        <v>121.0</v>
      </c>
      <c r="AK13" s="107">
        <v>126.0</v>
      </c>
      <c r="AL13" s="107">
        <v>244.0</v>
      </c>
      <c r="AM13" s="107">
        <v>177.0</v>
      </c>
      <c r="AN13" s="107">
        <v>116.0</v>
      </c>
      <c r="AO13" s="107">
        <v>200.0</v>
      </c>
      <c r="AP13" s="9"/>
      <c r="AQ13" s="107" t="s">
        <v>182</v>
      </c>
      <c r="AR13" s="107" t="s">
        <v>182</v>
      </c>
      <c r="AS13" s="9"/>
      <c r="AT13" s="25" t="s">
        <v>166</v>
      </c>
      <c r="AU13" s="106" t="s">
        <v>150</v>
      </c>
      <c r="AV13" s="106" t="s">
        <v>150</v>
      </c>
      <c r="AW13" s="14">
        <f t="shared" si="6"/>
        <v>62.23</v>
      </c>
      <c r="AX13" s="112">
        <f>average(23,26)</f>
        <v>24.5</v>
      </c>
      <c r="AY13" s="9"/>
      <c r="AZ13" s="106" t="s">
        <v>226</v>
      </c>
      <c r="BA13" s="12"/>
      <c r="BB13" s="12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5" t="s">
        <v>227</v>
      </c>
      <c r="B14" s="9"/>
      <c r="C14" s="8"/>
      <c r="D14" s="9"/>
      <c r="E14" s="25" t="s">
        <v>34</v>
      </c>
      <c r="F14" s="9"/>
      <c r="G14" s="25">
        <v>116.0</v>
      </c>
      <c r="H14" s="9"/>
      <c r="I14" s="106" t="s">
        <v>150</v>
      </c>
      <c r="J14" s="106" t="s">
        <v>150</v>
      </c>
      <c r="K14" s="106" t="s">
        <v>150</v>
      </c>
      <c r="L14" s="106" t="s">
        <v>150</v>
      </c>
      <c r="M14" s="134"/>
      <c r="N14" s="137" t="s">
        <v>150</v>
      </c>
      <c r="O14" s="106" t="s">
        <v>182</v>
      </c>
      <c r="P14" s="9"/>
      <c r="Q14" s="25" t="s">
        <v>145</v>
      </c>
      <c r="R14" s="25">
        <v>0.0</v>
      </c>
      <c r="S14" s="106" t="s">
        <v>145</v>
      </c>
      <c r="T14" s="9"/>
      <c r="U14" s="25">
        <v>3.0</v>
      </c>
      <c r="V14" s="9"/>
      <c r="W14" s="115" t="s">
        <v>150</v>
      </c>
      <c r="X14" s="16">
        <f>average(400,300,350,350,500,600,800,800,550,950)</f>
        <v>560</v>
      </c>
      <c r="Y14" s="107" t="s">
        <v>146</v>
      </c>
      <c r="Z14" s="107">
        <v>300.0</v>
      </c>
      <c r="AA14" s="107">
        <v>950.0</v>
      </c>
      <c r="AB14" s="115" t="s">
        <v>150</v>
      </c>
      <c r="AC14" s="115" t="s">
        <v>150</v>
      </c>
      <c r="AD14" s="115" t="s">
        <v>150</v>
      </c>
      <c r="AE14" s="115" t="s">
        <v>150</v>
      </c>
      <c r="AF14" s="115" t="s">
        <v>150</v>
      </c>
      <c r="AG14" s="115" t="s">
        <v>150</v>
      </c>
      <c r="AH14" s="16">
        <f>IFERROR(__xludf.DUMMYFUNCTION("AI14*GoogleFinance(""CURRENCY:GBPUSD"")"),976.70328)</f>
        <v>976.70328</v>
      </c>
      <c r="AI14" s="108">
        <f t="shared" si="5"/>
        <v>784</v>
      </c>
      <c r="AJ14" s="107">
        <v>121.0</v>
      </c>
      <c r="AK14" s="107">
        <v>126.0</v>
      </c>
      <c r="AL14" s="107">
        <v>244.0</v>
      </c>
      <c r="AM14" s="107">
        <v>177.0</v>
      </c>
      <c r="AN14" s="107">
        <v>116.0</v>
      </c>
      <c r="AO14" s="107">
        <v>200.0</v>
      </c>
      <c r="AP14" s="9"/>
      <c r="AQ14" s="107" t="s">
        <v>182</v>
      </c>
      <c r="AR14" s="107" t="s">
        <v>182</v>
      </c>
      <c r="AS14" s="9"/>
      <c r="AT14" s="25" t="s">
        <v>149</v>
      </c>
      <c r="AU14" s="106" t="s">
        <v>150</v>
      </c>
      <c r="AV14" s="106" t="s">
        <v>150</v>
      </c>
      <c r="AW14" s="14">
        <f t="shared" si="6"/>
        <v>35.56</v>
      </c>
      <c r="AX14" s="112">
        <f>average(9,19)</f>
        <v>14</v>
      </c>
      <c r="AY14" s="9"/>
      <c r="AZ14" s="12"/>
      <c r="BA14" s="12"/>
      <c r="BB14" s="12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5" t="s">
        <v>241</v>
      </c>
      <c r="B15" s="9"/>
      <c r="C15" s="8"/>
      <c r="D15" s="9"/>
      <c r="E15" s="25" t="s">
        <v>53</v>
      </c>
      <c r="F15" s="9"/>
      <c r="G15" s="25">
        <v>173.0</v>
      </c>
      <c r="H15" s="9"/>
      <c r="I15" s="25">
        <v>46.0</v>
      </c>
      <c r="J15" s="25" t="s">
        <v>184</v>
      </c>
      <c r="K15" s="116" t="s">
        <v>185</v>
      </c>
      <c r="L15" s="25" t="s">
        <v>187</v>
      </c>
      <c r="M15" s="9"/>
      <c r="N15" s="137" t="s">
        <v>150</v>
      </c>
      <c r="O15" s="106" t="s">
        <v>182</v>
      </c>
      <c r="P15" s="134"/>
      <c r="Q15" s="106" t="s">
        <v>150</v>
      </c>
      <c r="R15" s="106" t="s">
        <v>150</v>
      </c>
      <c r="S15" s="106" t="s">
        <v>150</v>
      </c>
      <c r="T15" s="9"/>
      <c r="U15" s="25">
        <v>3.0</v>
      </c>
      <c r="V15" s="9"/>
      <c r="W15" s="115" t="s">
        <v>150</v>
      </c>
      <c r="X15" s="16">
        <f>average(1000,1000,850,850,250,600,750)</f>
        <v>757.1428571</v>
      </c>
      <c r="Y15" s="107" t="s">
        <v>160</v>
      </c>
      <c r="Z15" s="107">
        <v>250.0</v>
      </c>
      <c r="AA15" s="107">
        <v>1000.0</v>
      </c>
      <c r="AB15" s="115" t="s">
        <v>150</v>
      </c>
      <c r="AC15" s="115" t="s">
        <v>150</v>
      </c>
      <c r="AD15" s="115" t="s">
        <v>150</v>
      </c>
      <c r="AE15" s="115" t="s">
        <v>150</v>
      </c>
      <c r="AF15" s="115" t="s">
        <v>150</v>
      </c>
      <c r="AG15" s="115" t="s">
        <v>150</v>
      </c>
      <c r="AH15" s="16">
        <f>IFERROR(__xludf.DUMMYFUNCTION("AI15*GoogleFinance(""CURRENCY:GBPUSD"")"),976.70328)</f>
        <v>976.70328</v>
      </c>
      <c r="AI15" s="108">
        <f t="shared" si="5"/>
        <v>784</v>
      </c>
      <c r="AJ15" s="107">
        <v>121.0</v>
      </c>
      <c r="AK15" s="107">
        <v>126.0</v>
      </c>
      <c r="AL15" s="107">
        <v>244.0</v>
      </c>
      <c r="AM15" s="107">
        <v>177.0</v>
      </c>
      <c r="AN15" s="107">
        <v>116.0</v>
      </c>
      <c r="AO15" s="107">
        <v>200.0</v>
      </c>
      <c r="AP15" s="9"/>
      <c r="AQ15" s="107" t="s">
        <v>182</v>
      </c>
      <c r="AR15" s="107" t="s">
        <v>182</v>
      </c>
      <c r="AS15" s="9"/>
      <c r="AT15" s="25" t="s">
        <v>148</v>
      </c>
      <c r="AU15" s="106" t="s">
        <v>150</v>
      </c>
      <c r="AV15" s="106" t="s">
        <v>150</v>
      </c>
      <c r="AW15" s="14">
        <f t="shared" si="6"/>
        <v>58.42</v>
      </c>
      <c r="AX15" s="112">
        <f>average(21,25)</f>
        <v>23</v>
      </c>
      <c r="AY15" s="9"/>
      <c r="AZ15" s="106" t="s">
        <v>244</v>
      </c>
      <c r="BA15" s="12"/>
      <c r="BB15" s="12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5" t="s">
        <v>245</v>
      </c>
      <c r="B16" s="9"/>
      <c r="C16" s="8"/>
      <c r="D16" s="9"/>
      <c r="E16" s="25" t="s">
        <v>23</v>
      </c>
      <c r="F16" s="9"/>
      <c r="G16" s="25">
        <v>72.0</v>
      </c>
      <c r="H16" s="9"/>
      <c r="I16" s="25">
        <v>34.0</v>
      </c>
      <c r="J16" s="25" t="s">
        <v>142</v>
      </c>
      <c r="K16" s="25" t="s">
        <v>143</v>
      </c>
      <c r="L16" s="25" t="s">
        <v>144</v>
      </c>
      <c r="M16" s="9"/>
      <c r="N16" s="137" t="s">
        <v>150</v>
      </c>
      <c r="O16" s="106" t="s">
        <v>182</v>
      </c>
      <c r="P16" s="9"/>
      <c r="Q16" s="25" t="s">
        <v>246</v>
      </c>
      <c r="R16" s="25">
        <v>1.0</v>
      </c>
      <c r="S16" s="106" t="s">
        <v>247</v>
      </c>
      <c r="T16" s="9"/>
      <c r="U16" s="25">
        <v>1.0</v>
      </c>
      <c r="V16" s="9"/>
      <c r="W16" s="115" t="s">
        <v>150</v>
      </c>
      <c r="X16" s="16">
        <f>average(1000,600,1500,1000,1500,250,1500,1000,1500,580)</f>
        <v>1043</v>
      </c>
      <c r="Y16" s="107" t="s">
        <v>160</v>
      </c>
      <c r="Z16" s="107">
        <v>250.0</v>
      </c>
      <c r="AA16" s="107">
        <v>1500.0</v>
      </c>
      <c r="AB16" s="115" t="s">
        <v>150</v>
      </c>
      <c r="AC16" s="115" t="s">
        <v>150</v>
      </c>
      <c r="AD16" s="115" t="s">
        <v>150</v>
      </c>
      <c r="AE16" s="115" t="s">
        <v>150</v>
      </c>
      <c r="AF16" s="115" t="s">
        <v>150</v>
      </c>
      <c r="AG16" s="115" t="s">
        <v>150</v>
      </c>
      <c r="AH16" s="16">
        <f>IFERROR(__xludf.DUMMYFUNCTION("AI16*GoogleFinance(""CURRENCY:GBPUSD"")"),976.70328)</f>
        <v>976.70328</v>
      </c>
      <c r="AI16" s="108">
        <f t="shared" si="5"/>
        <v>784</v>
      </c>
      <c r="AJ16" s="107">
        <v>121.0</v>
      </c>
      <c r="AK16" s="107">
        <v>126.0</v>
      </c>
      <c r="AL16" s="107">
        <v>244.0</v>
      </c>
      <c r="AM16" s="107">
        <v>177.0</v>
      </c>
      <c r="AN16" s="107">
        <v>116.0</v>
      </c>
      <c r="AO16" s="107">
        <v>200.0</v>
      </c>
      <c r="AP16" s="9"/>
      <c r="AQ16" s="107" t="s">
        <v>182</v>
      </c>
      <c r="AR16" s="107" t="s">
        <v>182</v>
      </c>
      <c r="AS16" s="9"/>
      <c r="AT16" s="25" t="s">
        <v>148</v>
      </c>
      <c r="AU16" s="106" t="s">
        <v>150</v>
      </c>
      <c r="AV16" s="106" t="s">
        <v>150</v>
      </c>
      <c r="AW16" s="14">
        <f t="shared" si="6"/>
        <v>45.72</v>
      </c>
      <c r="AX16" s="112">
        <f>average(17,19)</f>
        <v>18</v>
      </c>
      <c r="AY16" s="9"/>
      <c r="AZ16" s="12"/>
      <c r="BA16" s="12"/>
      <c r="BB16" s="12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5" t="s">
        <v>248</v>
      </c>
      <c r="B17" s="9"/>
      <c r="C17" s="8"/>
      <c r="D17" s="9"/>
      <c r="E17" s="25" t="s">
        <v>27</v>
      </c>
      <c r="F17" s="9"/>
      <c r="G17" s="25">
        <v>157.0</v>
      </c>
      <c r="H17" s="9"/>
      <c r="I17" s="25">
        <v>44.0</v>
      </c>
      <c r="J17" s="25" t="s">
        <v>184</v>
      </c>
      <c r="K17" s="116" t="s">
        <v>185</v>
      </c>
      <c r="L17" s="25" t="s">
        <v>187</v>
      </c>
      <c r="M17" s="9"/>
      <c r="N17" s="137" t="s">
        <v>150</v>
      </c>
      <c r="O17" s="106" t="s">
        <v>182</v>
      </c>
      <c r="P17" s="9"/>
      <c r="Q17" s="25" t="s">
        <v>145</v>
      </c>
      <c r="R17" s="25">
        <v>0.0</v>
      </c>
      <c r="S17" s="106" t="s">
        <v>145</v>
      </c>
      <c r="T17" s="9"/>
      <c r="U17" s="25">
        <v>3.0</v>
      </c>
      <c r="V17" s="9"/>
      <c r="W17" s="115" t="s">
        <v>150</v>
      </c>
      <c r="X17" s="16">
        <f>average(1250,600,600,600,600)</f>
        <v>730</v>
      </c>
      <c r="Y17" s="107" t="s">
        <v>160</v>
      </c>
      <c r="Z17" s="107">
        <v>600.0</v>
      </c>
      <c r="AA17" s="107">
        <v>1250.0</v>
      </c>
      <c r="AB17" s="115" t="s">
        <v>150</v>
      </c>
      <c r="AC17" s="115" t="s">
        <v>150</v>
      </c>
      <c r="AD17" s="115" t="s">
        <v>150</v>
      </c>
      <c r="AE17" s="115" t="s">
        <v>150</v>
      </c>
      <c r="AF17" s="115" t="s">
        <v>150</v>
      </c>
      <c r="AG17" s="115" t="s">
        <v>150</v>
      </c>
      <c r="AH17" s="16">
        <f>IFERROR(__xludf.DUMMYFUNCTION("AI17*GoogleFinance(""CURRENCY:GBPUSD"")"),976.70328)</f>
        <v>976.70328</v>
      </c>
      <c r="AI17" s="108">
        <f t="shared" si="5"/>
        <v>784</v>
      </c>
      <c r="AJ17" s="107">
        <v>121.0</v>
      </c>
      <c r="AK17" s="107">
        <v>126.0</v>
      </c>
      <c r="AL17" s="107">
        <v>244.0</v>
      </c>
      <c r="AM17" s="107">
        <v>177.0</v>
      </c>
      <c r="AN17" s="107">
        <v>116.0</v>
      </c>
      <c r="AO17" s="107">
        <v>200.0</v>
      </c>
      <c r="AP17" s="9"/>
      <c r="AQ17" s="107" t="s">
        <v>182</v>
      </c>
      <c r="AR17" s="107" t="s">
        <v>182</v>
      </c>
      <c r="AS17" s="9"/>
      <c r="AT17" s="25" t="s">
        <v>148</v>
      </c>
      <c r="AU17" s="14">
        <f t="shared" ref="AU17:AU18" si="10">AV17*0.45359237</f>
        <v>15.87573295</v>
      </c>
      <c r="AV17" s="112">
        <f>average(25,45)</f>
        <v>35</v>
      </c>
      <c r="AW17" s="14">
        <f t="shared" si="6"/>
        <v>41.91</v>
      </c>
      <c r="AX17" s="112">
        <f>average(15,18)</f>
        <v>16.5</v>
      </c>
      <c r="AY17" s="9"/>
      <c r="AZ17" s="12"/>
      <c r="BA17" s="12"/>
      <c r="BB17" s="12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5" t="s">
        <v>249</v>
      </c>
      <c r="B18" s="9"/>
      <c r="C18" s="8"/>
      <c r="D18" s="9"/>
      <c r="E18" s="25" t="s">
        <v>38</v>
      </c>
      <c r="F18" s="9"/>
      <c r="G18" s="25">
        <v>111.0</v>
      </c>
      <c r="H18" s="9"/>
      <c r="I18" s="106" t="s">
        <v>150</v>
      </c>
      <c r="J18" s="106" t="s">
        <v>150</v>
      </c>
      <c r="K18" s="106" t="s">
        <v>150</v>
      </c>
      <c r="L18" s="106" t="s">
        <v>150</v>
      </c>
      <c r="M18" s="9"/>
      <c r="N18" s="41">
        <v>10.75</v>
      </c>
      <c r="O18" s="106">
        <v>23.0</v>
      </c>
      <c r="P18" s="134"/>
      <c r="Q18" s="106" t="s">
        <v>150</v>
      </c>
      <c r="R18" s="106" t="s">
        <v>150</v>
      </c>
      <c r="S18" s="106" t="s">
        <v>150</v>
      </c>
      <c r="T18" s="9"/>
      <c r="U18" s="25">
        <v>3.0</v>
      </c>
      <c r="V18" s="9"/>
      <c r="W18" s="115" t="s">
        <v>150</v>
      </c>
      <c r="X18" s="155">
        <f>average(500,1000.85,650,750,500,900,500,680)</f>
        <v>685.10625</v>
      </c>
      <c r="Y18" s="115" t="s">
        <v>146</v>
      </c>
      <c r="Z18" s="107" t="s">
        <v>150</v>
      </c>
      <c r="AA18" s="107" t="s">
        <v>150</v>
      </c>
      <c r="AB18" s="108">
        <f t="shared" ref="AB18:AB25" si="11">average(AC18,AD18)</f>
        <v>8.75</v>
      </c>
      <c r="AC18" s="107">
        <v>7.5</v>
      </c>
      <c r="AD18" s="107">
        <v>10.0</v>
      </c>
      <c r="AE18" s="19">
        <f>IFERROR(__xludf.DUMMYFUNCTION("AB18*GoogleFinance(""CURRENCY:GBPUSD"")"),10.90070625)</f>
        <v>10.90070625</v>
      </c>
      <c r="AF18" s="16">
        <f t="shared" ref="AF18:AF25" si="12">AE18*52.1775*N18</f>
        <v>6114.294704</v>
      </c>
      <c r="AG18" s="16">
        <f t="shared" ref="AG18:AG25" si="13">AH18*N18</f>
        <v>10499.56026</v>
      </c>
      <c r="AH18" s="16">
        <f>IFERROR(__xludf.DUMMYFUNCTION("AI18*GoogleFinance(""CURRENCY:GBPUSD"")"),976.70328)</f>
        <v>976.70328</v>
      </c>
      <c r="AI18" s="108">
        <f t="shared" si="5"/>
        <v>784</v>
      </c>
      <c r="AJ18" s="107">
        <v>121.0</v>
      </c>
      <c r="AK18" s="107">
        <v>126.0</v>
      </c>
      <c r="AL18" s="107">
        <v>244.0</v>
      </c>
      <c r="AM18" s="107">
        <v>177.0</v>
      </c>
      <c r="AN18" s="107">
        <v>116.0</v>
      </c>
      <c r="AO18" s="107">
        <v>200.0</v>
      </c>
      <c r="AP18" s="9"/>
      <c r="AQ18" s="25" t="s">
        <v>147</v>
      </c>
      <c r="AR18" s="25" t="s">
        <v>148</v>
      </c>
      <c r="AS18" s="9"/>
      <c r="AT18" s="25" t="s">
        <v>166</v>
      </c>
      <c r="AU18" s="14">
        <f t="shared" si="10"/>
        <v>52.16312255</v>
      </c>
      <c r="AV18" s="112">
        <f>average(80,150)</f>
        <v>115</v>
      </c>
      <c r="AW18" s="14">
        <f t="shared" si="6"/>
        <v>71.12</v>
      </c>
      <c r="AX18" s="112">
        <f>average(27,29)</f>
        <v>28</v>
      </c>
      <c r="AY18" s="9"/>
      <c r="AZ18" s="12"/>
      <c r="BA18" s="12"/>
      <c r="BB18" s="12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5" t="s">
        <v>255</v>
      </c>
      <c r="B19" s="9"/>
      <c r="C19" s="8"/>
      <c r="D19" s="9"/>
      <c r="E19" s="25" t="s">
        <v>32</v>
      </c>
      <c r="F19" s="9"/>
      <c r="G19" s="25">
        <v>60.0</v>
      </c>
      <c r="H19" s="9"/>
      <c r="I19" s="25">
        <v>10.0</v>
      </c>
      <c r="J19" s="25" t="s">
        <v>250</v>
      </c>
      <c r="K19" s="25" t="s">
        <v>251</v>
      </c>
      <c r="L19" s="25" t="s">
        <v>252</v>
      </c>
      <c r="M19" s="9"/>
      <c r="N19" s="41">
        <v>11.67</v>
      </c>
      <c r="O19" s="106">
        <v>11.0</v>
      </c>
      <c r="P19" s="9"/>
      <c r="Q19" s="25" t="s">
        <v>174</v>
      </c>
      <c r="R19" s="25">
        <v>1.0</v>
      </c>
      <c r="S19" s="106" t="s">
        <v>175</v>
      </c>
      <c r="T19" s="9"/>
      <c r="U19" s="25">
        <v>2.0</v>
      </c>
      <c r="V19" s="9"/>
      <c r="W19" s="14">
        <f t="shared" ref="W19:W24" si="14">X19+AF19+AG19+AO19</f>
        <v>16489.95543</v>
      </c>
      <c r="X19" s="16">
        <f>average(500,1000,500,250,750,350,600,400,500,450)</f>
        <v>530</v>
      </c>
      <c r="Y19" s="107" t="s">
        <v>146</v>
      </c>
      <c r="Z19" s="107">
        <v>250.0</v>
      </c>
      <c r="AA19" s="107">
        <v>1000.0</v>
      </c>
      <c r="AB19" s="108">
        <f t="shared" si="11"/>
        <v>5.75</v>
      </c>
      <c r="AC19" s="107">
        <v>4.0</v>
      </c>
      <c r="AD19" s="107">
        <v>7.5</v>
      </c>
      <c r="AE19" s="19">
        <f>IFERROR(__xludf.DUMMYFUNCTION("AB19*GoogleFinance(""CURRENCY:GBPUSD"")"),7.16332125)</f>
        <v>7.16332125</v>
      </c>
      <c r="AF19" s="16">
        <f t="shared" si="12"/>
        <v>4361.82815</v>
      </c>
      <c r="AG19" s="16">
        <f t="shared" si="13"/>
        <v>11398.12728</v>
      </c>
      <c r="AH19" s="16">
        <f>IFERROR(__xludf.DUMMYFUNCTION("AI19*GoogleFinance(""CURRENCY:GBPUSD"")"),976.70328)</f>
        <v>976.70328</v>
      </c>
      <c r="AI19" s="108">
        <f t="shared" si="5"/>
        <v>784</v>
      </c>
      <c r="AJ19" s="107">
        <v>121.0</v>
      </c>
      <c r="AK19" s="107">
        <v>126.0</v>
      </c>
      <c r="AL19" s="107">
        <v>244.0</v>
      </c>
      <c r="AM19" s="107">
        <v>177.0</v>
      </c>
      <c r="AN19" s="107">
        <v>116.0</v>
      </c>
      <c r="AO19" s="107">
        <v>200.0</v>
      </c>
      <c r="AP19" s="9"/>
      <c r="AQ19" s="25" t="s">
        <v>147</v>
      </c>
      <c r="AR19" s="25" t="s">
        <v>209</v>
      </c>
      <c r="AS19" s="9"/>
      <c r="AT19" s="25" t="s">
        <v>148</v>
      </c>
      <c r="AU19" s="106" t="s">
        <v>150</v>
      </c>
      <c r="AV19" s="106" t="s">
        <v>150</v>
      </c>
      <c r="AW19" s="14">
        <f t="shared" si="6"/>
        <v>46.99</v>
      </c>
      <c r="AX19" s="112">
        <f>average(17,20)</f>
        <v>18.5</v>
      </c>
      <c r="AY19" s="9"/>
      <c r="AZ19" s="12"/>
      <c r="BA19" s="12"/>
      <c r="BB19" s="12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5" t="s">
        <v>256</v>
      </c>
      <c r="B20" s="9"/>
      <c r="C20" s="8"/>
      <c r="D20" s="9"/>
      <c r="E20" s="25" t="s">
        <v>32</v>
      </c>
      <c r="F20" s="9"/>
      <c r="G20" s="25">
        <v>24.0</v>
      </c>
      <c r="H20" s="9"/>
      <c r="I20" s="25">
        <v>42.0</v>
      </c>
      <c r="J20" s="25" t="s">
        <v>184</v>
      </c>
      <c r="K20" s="116" t="s">
        <v>185</v>
      </c>
      <c r="L20" s="25" t="s">
        <v>187</v>
      </c>
      <c r="M20" s="9"/>
      <c r="N20" s="41">
        <v>12.28</v>
      </c>
      <c r="O20" s="106">
        <v>641.0</v>
      </c>
      <c r="P20" s="9"/>
      <c r="Q20" s="25" t="s">
        <v>257</v>
      </c>
      <c r="R20" s="25">
        <v>2.0</v>
      </c>
      <c r="S20" s="106" t="s">
        <v>258</v>
      </c>
      <c r="T20" s="9"/>
      <c r="U20" s="25">
        <v>3.0</v>
      </c>
      <c r="V20" s="9"/>
      <c r="W20" s="14">
        <f t="shared" si="14"/>
        <v>17348.74059</v>
      </c>
      <c r="X20" s="16">
        <f>average(250,300,600,350,1000,400,350,500,1200,700)</f>
        <v>565</v>
      </c>
      <c r="Y20" s="107" t="s">
        <v>146</v>
      </c>
      <c r="Z20" s="107">
        <v>250.0</v>
      </c>
      <c r="AA20" s="107">
        <v>1000.0</v>
      </c>
      <c r="AB20" s="108">
        <f t="shared" si="11"/>
        <v>5.75</v>
      </c>
      <c r="AC20" s="107">
        <v>4.0</v>
      </c>
      <c r="AD20" s="107">
        <v>7.5</v>
      </c>
      <c r="AE20" s="19">
        <f>IFERROR(__xludf.DUMMYFUNCTION("AB20*GoogleFinance(""CURRENCY:GBPUSD"")"),7.16332125)</f>
        <v>7.16332125</v>
      </c>
      <c r="AF20" s="16">
        <f t="shared" si="12"/>
        <v>4589.824309</v>
      </c>
      <c r="AG20" s="16">
        <f t="shared" si="13"/>
        <v>11993.91628</v>
      </c>
      <c r="AH20" s="16">
        <f>IFERROR(__xludf.DUMMYFUNCTION("AI20*GoogleFinance(""CURRENCY:GBPUSD"")"),976.70328)</f>
        <v>976.70328</v>
      </c>
      <c r="AI20" s="108">
        <f t="shared" si="5"/>
        <v>784</v>
      </c>
      <c r="AJ20" s="107">
        <v>121.0</v>
      </c>
      <c r="AK20" s="107">
        <v>126.0</v>
      </c>
      <c r="AL20" s="107">
        <v>244.0</v>
      </c>
      <c r="AM20" s="107">
        <v>177.0</v>
      </c>
      <c r="AN20" s="107">
        <v>116.0</v>
      </c>
      <c r="AO20" s="107">
        <v>200.0</v>
      </c>
      <c r="AP20" s="9"/>
      <c r="AQ20" s="25" t="s">
        <v>147</v>
      </c>
      <c r="AR20" s="25" t="s">
        <v>148</v>
      </c>
      <c r="AS20" s="9"/>
      <c r="AT20" s="25" t="s">
        <v>148</v>
      </c>
      <c r="AU20" s="106" t="s">
        <v>150</v>
      </c>
      <c r="AV20" s="106" t="s">
        <v>150</v>
      </c>
      <c r="AW20" s="14">
        <f t="shared" si="6"/>
        <v>52.07</v>
      </c>
      <c r="AX20" s="112">
        <f>average(18,23)</f>
        <v>20.5</v>
      </c>
      <c r="AY20" s="9"/>
      <c r="AZ20" s="12"/>
      <c r="BA20" s="12"/>
      <c r="BB20" s="12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5" t="s">
        <v>259</v>
      </c>
      <c r="B21" s="9"/>
      <c r="C21" s="8"/>
      <c r="D21" s="9"/>
      <c r="E21" s="25" t="s">
        <v>23</v>
      </c>
      <c r="F21" s="9"/>
      <c r="G21" s="25">
        <v>121.0</v>
      </c>
      <c r="H21" s="9"/>
      <c r="I21" s="25">
        <v>34.0</v>
      </c>
      <c r="J21" s="25" t="s">
        <v>142</v>
      </c>
      <c r="K21" s="25" t="s">
        <v>143</v>
      </c>
      <c r="L21" s="25" t="s">
        <v>144</v>
      </c>
      <c r="M21" s="9"/>
      <c r="N21" s="41">
        <v>11.05</v>
      </c>
      <c r="O21" s="106">
        <v>241.0</v>
      </c>
      <c r="P21" s="9"/>
      <c r="Q21" s="25" t="s">
        <v>145</v>
      </c>
      <c r="R21" s="25">
        <v>0.0</v>
      </c>
      <c r="S21" s="106" t="s">
        <v>145</v>
      </c>
      <c r="T21" s="9"/>
      <c r="U21" s="25">
        <v>4.0</v>
      </c>
      <c r="V21" s="9"/>
      <c r="W21" s="14">
        <f t="shared" si="14"/>
        <v>14505.68036</v>
      </c>
      <c r="X21" s="16">
        <f>average(200,650,900,500,650,650,600,800,650,800)</f>
        <v>640</v>
      </c>
      <c r="Y21" s="107" t="s">
        <v>146</v>
      </c>
      <c r="Z21" s="107">
        <v>200.0</v>
      </c>
      <c r="AA21" s="107">
        <v>900.0</v>
      </c>
      <c r="AB21" s="108">
        <f t="shared" si="11"/>
        <v>4</v>
      </c>
      <c r="AC21" s="107">
        <v>4.0</v>
      </c>
      <c r="AD21" s="107">
        <v>4.0</v>
      </c>
      <c r="AE21" s="19">
        <f>IFERROR(__xludf.DUMMYFUNCTION("AB21*GoogleFinance(""CURRENCY:GBPUSD"")"),4.98318)</f>
        <v>4.98318</v>
      </c>
      <c r="AF21" s="16">
        <f t="shared" si="12"/>
        <v>2873.109113</v>
      </c>
      <c r="AG21" s="16">
        <f t="shared" si="13"/>
        <v>10792.57124</v>
      </c>
      <c r="AH21" s="16">
        <f>IFERROR(__xludf.DUMMYFUNCTION("AI21*GoogleFinance(""CURRENCY:GBPUSD"")"),976.70328)</f>
        <v>976.70328</v>
      </c>
      <c r="AI21" s="108">
        <f t="shared" si="5"/>
        <v>784</v>
      </c>
      <c r="AJ21" s="107">
        <v>121.0</v>
      </c>
      <c r="AK21" s="107">
        <v>126.0</v>
      </c>
      <c r="AL21" s="107">
        <v>244.0</v>
      </c>
      <c r="AM21" s="107">
        <v>177.0</v>
      </c>
      <c r="AN21" s="107">
        <v>116.0</v>
      </c>
      <c r="AO21" s="107">
        <v>200.0</v>
      </c>
      <c r="AP21" s="9"/>
      <c r="AQ21" s="25" t="s">
        <v>147</v>
      </c>
      <c r="AR21" s="25" t="s">
        <v>148</v>
      </c>
      <c r="AS21" s="9"/>
      <c r="AT21" s="25" t="s">
        <v>149</v>
      </c>
      <c r="AU21" s="106" t="s">
        <v>150</v>
      </c>
      <c r="AV21" s="106" t="s">
        <v>150</v>
      </c>
      <c r="AW21" s="14">
        <f t="shared" si="6"/>
        <v>26.67</v>
      </c>
      <c r="AX21" s="112">
        <f>average(10,11)</f>
        <v>10.5</v>
      </c>
      <c r="AY21" s="9"/>
      <c r="AZ21" s="12"/>
      <c r="BA21" s="12"/>
      <c r="BB21" s="12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5" t="s">
        <v>260</v>
      </c>
      <c r="B22" s="9"/>
      <c r="C22" s="8"/>
      <c r="D22" s="9"/>
      <c r="E22" s="25" t="s">
        <v>53</v>
      </c>
      <c r="F22" s="9"/>
      <c r="G22" s="25">
        <v>93.0</v>
      </c>
      <c r="H22" s="9"/>
      <c r="I22" s="25">
        <v>79.0</v>
      </c>
      <c r="J22" s="25" t="s">
        <v>157</v>
      </c>
      <c r="K22" s="25" t="s">
        <v>158</v>
      </c>
      <c r="L22" s="25" t="s">
        <v>159</v>
      </c>
      <c r="M22" s="9"/>
      <c r="N22" s="41">
        <v>13.58</v>
      </c>
      <c r="O22" s="106">
        <v>46.0</v>
      </c>
      <c r="P22" s="9"/>
      <c r="Q22" s="25" t="s">
        <v>261</v>
      </c>
      <c r="R22" s="25">
        <v>3.0</v>
      </c>
      <c r="S22" s="106" t="s">
        <v>262</v>
      </c>
      <c r="T22" s="9"/>
      <c r="U22" s="25">
        <v>3.0</v>
      </c>
      <c r="V22" s="9"/>
      <c r="W22" s="14">
        <f t="shared" si="14"/>
        <v>17934.56464</v>
      </c>
      <c r="X22" s="16">
        <f>average(1200,800,1200,1200,600,1000,650,1200,800,750)</f>
        <v>940</v>
      </c>
      <c r="Y22" s="107" t="s">
        <v>160</v>
      </c>
      <c r="Z22" s="107">
        <v>600.0</v>
      </c>
      <c r="AA22" s="107">
        <v>1200.0</v>
      </c>
      <c r="AB22" s="108">
        <f t="shared" si="11"/>
        <v>4</v>
      </c>
      <c r="AC22" s="107">
        <v>4.0</v>
      </c>
      <c r="AD22" s="107">
        <v>4.0</v>
      </c>
      <c r="AE22" s="19">
        <f>IFERROR(__xludf.DUMMYFUNCTION("AB22*GoogleFinance(""CURRENCY:GBPUSD"")"),4.98318)</f>
        <v>4.98318</v>
      </c>
      <c r="AF22" s="16">
        <f t="shared" si="12"/>
        <v>3530.934095</v>
      </c>
      <c r="AG22" s="16">
        <f t="shared" si="13"/>
        <v>13263.63054</v>
      </c>
      <c r="AH22" s="16">
        <f>IFERROR(__xludf.DUMMYFUNCTION("AI22*GoogleFinance(""CURRENCY:GBPUSD"")"),976.70328)</f>
        <v>976.70328</v>
      </c>
      <c r="AI22" s="108">
        <f t="shared" si="5"/>
        <v>784</v>
      </c>
      <c r="AJ22" s="107">
        <v>121.0</v>
      </c>
      <c r="AK22" s="107">
        <v>126.0</v>
      </c>
      <c r="AL22" s="107">
        <v>244.0</v>
      </c>
      <c r="AM22" s="107">
        <v>177.0</v>
      </c>
      <c r="AN22" s="107">
        <v>116.0</v>
      </c>
      <c r="AO22" s="107">
        <v>200.0</v>
      </c>
      <c r="AP22" s="9"/>
      <c r="AQ22" s="25" t="s">
        <v>147</v>
      </c>
      <c r="AR22" s="25" t="s">
        <v>148</v>
      </c>
      <c r="AS22" s="9"/>
      <c r="AT22" s="25" t="s">
        <v>148</v>
      </c>
      <c r="AU22" s="14">
        <f>AV22*0.45359237</f>
        <v>10.43262451</v>
      </c>
      <c r="AV22" s="112">
        <f>average(22,24)</f>
        <v>23</v>
      </c>
      <c r="AW22" s="14">
        <f t="shared" si="6"/>
        <v>41.91</v>
      </c>
      <c r="AX22" s="112">
        <f>average(16,17)</f>
        <v>16.5</v>
      </c>
      <c r="AY22" s="9"/>
      <c r="AZ22" s="12"/>
      <c r="BA22" s="12"/>
      <c r="BB22" s="12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5" t="s">
        <v>264</v>
      </c>
      <c r="B23" s="9"/>
      <c r="C23" s="8"/>
      <c r="D23" s="9"/>
      <c r="E23" s="25" t="s">
        <v>53</v>
      </c>
      <c r="F23" s="9"/>
      <c r="G23" s="25">
        <v>41.0</v>
      </c>
      <c r="H23" s="9"/>
      <c r="I23" s="25">
        <v>71.0</v>
      </c>
      <c r="J23" s="25" t="s">
        <v>157</v>
      </c>
      <c r="K23" s="25" t="s">
        <v>158</v>
      </c>
      <c r="L23" s="25" t="s">
        <v>159</v>
      </c>
      <c r="M23" s="9"/>
      <c r="N23" s="41">
        <v>11.43</v>
      </c>
      <c r="O23" s="106">
        <v>152.0</v>
      </c>
      <c r="P23" s="9"/>
      <c r="Q23" s="25" t="s">
        <v>265</v>
      </c>
      <c r="R23" s="25">
        <v>2.0</v>
      </c>
      <c r="S23" s="106" t="s">
        <v>266</v>
      </c>
      <c r="T23" s="9"/>
      <c r="U23" s="25">
        <v>5.0</v>
      </c>
      <c r="V23" s="9"/>
      <c r="W23" s="14">
        <f t="shared" si="14"/>
        <v>14825.13136</v>
      </c>
      <c r="X23" s="16">
        <f>average(600,300,400,750,1000,150,395,500,500,300)</f>
        <v>489.5</v>
      </c>
      <c r="Y23" s="107" t="s">
        <v>146</v>
      </c>
      <c r="Z23" s="107">
        <v>150.0</v>
      </c>
      <c r="AA23" s="107">
        <v>1000.0</v>
      </c>
      <c r="AB23" s="108">
        <f t="shared" si="11"/>
        <v>4</v>
      </c>
      <c r="AC23" s="107">
        <v>4.0</v>
      </c>
      <c r="AD23" s="107">
        <v>4.0</v>
      </c>
      <c r="AE23" s="19">
        <f>IFERROR(__xludf.DUMMYFUNCTION("AB23*GoogleFinance(""CURRENCY:GBPUSD"")"),4.98318)</f>
        <v>4.98318</v>
      </c>
      <c r="AF23" s="16">
        <f t="shared" si="12"/>
        <v>2971.912865</v>
      </c>
      <c r="AG23" s="16">
        <f t="shared" si="13"/>
        <v>11163.71849</v>
      </c>
      <c r="AH23" s="16">
        <f>IFERROR(__xludf.DUMMYFUNCTION("AI23*GoogleFinance(""CURRENCY:GBPUSD"")"),976.70328)</f>
        <v>976.70328</v>
      </c>
      <c r="AI23" s="108">
        <f t="shared" si="5"/>
        <v>784</v>
      </c>
      <c r="AJ23" s="107">
        <v>121.0</v>
      </c>
      <c r="AK23" s="107">
        <v>126.0</v>
      </c>
      <c r="AL23" s="107">
        <v>244.0</v>
      </c>
      <c r="AM23" s="107">
        <v>177.0</v>
      </c>
      <c r="AN23" s="107">
        <v>116.0</v>
      </c>
      <c r="AO23" s="107">
        <v>200.0</v>
      </c>
      <c r="AP23" s="9"/>
      <c r="AQ23" s="25" t="s">
        <v>147</v>
      </c>
      <c r="AR23" s="25" t="s">
        <v>165</v>
      </c>
      <c r="AS23" s="9"/>
      <c r="AT23" s="25" t="s">
        <v>149</v>
      </c>
      <c r="AU23" s="106" t="s">
        <v>150</v>
      </c>
      <c r="AV23" s="106" t="s">
        <v>150</v>
      </c>
      <c r="AW23" s="14">
        <f t="shared" si="6"/>
        <v>35.56</v>
      </c>
      <c r="AX23" s="106">
        <v>14.0</v>
      </c>
      <c r="AY23" s="9"/>
      <c r="AZ23" s="12"/>
      <c r="BA23" s="12"/>
      <c r="BB23" s="12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5" t="s">
        <v>270</v>
      </c>
      <c r="B24" s="9"/>
      <c r="C24" s="8"/>
      <c r="D24" s="9"/>
      <c r="E24" s="25" t="s">
        <v>53</v>
      </c>
      <c r="F24" s="9"/>
      <c r="G24" s="25">
        <v>3.0</v>
      </c>
      <c r="H24" s="9"/>
      <c r="I24" s="25">
        <v>73.0</v>
      </c>
      <c r="J24" s="25" t="s">
        <v>157</v>
      </c>
      <c r="K24" s="25" t="s">
        <v>158</v>
      </c>
      <c r="L24" s="25" t="s">
        <v>159</v>
      </c>
      <c r="M24" s="9"/>
      <c r="N24" s="41">
        <v>12.3</v>
      </c>
      <c r="O24" s="106">
        <v>303.0</v>
      </c>
      <c r="P24" s="9"/>
      <c r="Q24" s="25" t="s">
        <v>271</v>
      </c>
      <c r="R24" s="25">
        <v>1.0</v>
      </c>
      <c r="S24" s="106" t="s">
        <v>272</v>
      </c>
      <c r="T24" s="9"/>
      <c r="U24" s="25">
        <v>5.0</v>
      </c>
      <c r="V24" s="9"/>
      <c r="W24" s="14">
        <f t="shared" si="14"/>
        <v>15699.0718</v>
      </c>
      <c r="X24" s="16">
        <f>average(250,350,100,275,250,250,175,300,325,600)</f>
        <v>287.5</v>
      </c>
      <c r="Y24" s="107" t="s">
        <v>146</v>
      </c>
      <c r="Z24" s="107">
        <v>100.0</v>
      </c>
      <c r="AA24" s="107">
        <v>600.0</v>
      </c>
      <c r="AB24" s="108">
        <f t="shared" si="11"/>
        <v>4</v>
      </c>
      <c r="AC24" s="107">
        <v>4.0</v>
      </c>
      <c r="AD24" s="107">
        <v>4.0</v>
      </c>
      <c r="AE24" s="19">
        <f>IFERROR(__xludf.DUMMYFUNCTION("AB24*GoogleFinance(""CURRENCY:GBPUSD"")"),4.98318)</f>
        <v>4.98318</v>
      </c>
      <c r="AF24" s="16">
        <f t="shared" si="12"/>
        <v>3198.121456</v>
      </c>
      <c r="AG24" s="16">
        <f t="shared" si="13"/>
        <v>12013.45034</v>
      </c>
      <c r="AH24" s="16">
        <f>IFERROR(__xludf.DUMMYFUNCTION("AI24*GoogleFinance(""CURRENCY:GBPUSD"")"),976.70328)</f>
        <v>976.70328</v>
      </c>
      <c r="AI24" s="108">
        <f t="shared" si="5"/>
        <v>784</v>
      </c>
      <c r="AJ24" s="107">
        <v>121.0</v>
      </c>
      <c r="AK24" s="107">
        <v>126.0</v>
      </c>
      <c r="AL24" s="107">
        <v>244.0</v>
      </c>
      <c r="AM24" s="107">
        <v>177.0</v>
      </c>
      <c r="AN24" s="107">
        <v>116.0</v>
      </c>
      <c r="AO24" s="107">
        <v>200.0</v>
      </c>
      <c r="AP24" s="9"/>
      <c r="AQ24" s="25" t="s">
        <v>164</v>
      </c>
      <c r="AR24" s="25" t="s">
        <v>165</v>
      </c>
      <c r="AS24" s="9"/>
      <c r="AT24" s="25" t="s">
        <v>149</v>
      </c>
      <c r="AU24" s="106" t="s">
        <v>150</v>
      </c>
      <c r="AV24" s="106" t="s">
        <v>150</v>
      </c>
      <c r="AW24" s="14">
        <f t="shared" si="6"/>
        <v>35.56</v>
      </c>
      <c r="AX24" s="112">
        <f>average (13,15)</f>
        <v>14</v>
      </c>
      <c r="AY24" s="9"/>
      <c r="AZ24" s="12"/>
      <c r="BA24" s="12"/>
      <c r="BB24" s="12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5" t="s">
        <v>278</v>
      </c>
      <c r="B25" s="9"/>
      <c r="C25" s="8"/>
      <c r="D25" s="9"/>
      <c r="E25" s="25" t="s">
        <v>32</v>
      </c>
      <c r="F25" s="9"/>
      <c r="G25" s="25">
        <v>112.0</v>
      </c>
      <c r="H25" s="9"/>
      <c r="I25" s="25">
        <v>34.0</v>
      </c>
      <c r="J25" s="25" t="s">
        <v>142</v>
      </c>
      <c r="K25" s="25" t="s">
        <v>143</v>
      </c>
      <c r="L25" s="25" t="s">
        <v>144</v>
      </c>
      <c r="M25" s="9"/>
      <c r="N25" s="41">
        <v>12.77</v>
      </c>
      <c r="O25" s="106">
        <v>551.0</v>
      </c>
      <c r="P25" s="9"/>
      <c r="Q25" s="25" t="s">
        <v>145</v>
      </c>
      <c r="R25" s="25">
        <v>0.0</v>
      </c>
      <c r="S25" s="106" t="s">
        <v>145</v>
      </c>
      <c r="T25" s="9"/>
      <c r="U25" s="25">
        <v>5.0</v>
      </c>
      <c r="V25" s="9"/>
      <c r="W25" s="115" t="s">
        <v>150</v>
      </c>
      <c r="X25" s="155">
        <f>average(200,450,200,1200,1200,800)</f>
        <v>675</v>
      </c>
      <c r="Y25" s="115" t="s">
        <v>146</v>
      </c>
      <c r="Z25" s="107" t="s">
        <v>150</v>
      </c>
      <c r="AA25" s="107" t="s">
        <v>150</v>
      </c>
      <c r="AB25" s="108">
        <f t="shared" si="11"/>
        <v>5.75</v>
      </c>
      <c r="AC25" s="107">
        <v>4.0</v>
      </c>
      <c r="AD25" s="107">
        <v>7.5</v>
      </c>
      <c r="AE25" s="19">
        <f>IFERROR(__xludf.DUMMYFUNCTION("AB25*GoogleFinance(""CURRENCY:GBPUSD"")"),7.16332125)</f>
        <v>7.16332125</v>
      </c>
      <c r="AF25" s="16">
        <f t="shared" si="12"/>
        <v>4772.968764</v>
      </c>
      <c r="AG25" s="16">
        <f t="shared" si="13"/>
        <v>12472.50089</v>
      </c>
      <c r="AH25" s="16">
        <f>IFERROR(__xludf.DUMMYFUNCTION("AI25*GoogleFinance(""CURRENCY:GBPUSD"")"),976.70328)</f>
        <v>976.70328</v>
      </c>
      <c r="AI25" s="108">
        <f t="shared" si="5"/>
        <v>784</v>
      </c>
      <c r="AJ25" s="107">
        <v>121.0</v>
      </c>
      <c r="AK25" s="107">
        <v>126.0</v>
      </c>
      <c r="AL25" s="107">
        <v>244.0</v>
      </c>
      <c r="AM25" s="107">
        <v>177.0</v>
      </c>
      <c r="AN25" s="107">
        <v>116.0</v>
      </c>
      <c r="AO25" s="107">
        <v>200.0</v>
      </c>
      <c r="AP25" s="9"/>
      <c r="AQ25" s="25" t="s">
        <v>164</v>
      </c>
      <c r="AR25" s="25" t="s">
        <v>165</v>
      </c>
      <c r="AS25" s="9"/>
      <c r="AT25" s="25" t="s">
        <v>148</v>
      </c>
      <c r="AU25" s="106" t="s">
        <v>150</v>
      </c>
      <c r="AV25" s="106" t="s">
        <v>150</v>
      </c>
      <c r="AW25" s="14">
        <f t="shared" si="6"/>
        <v>53.34</v>
      </c>
      <c r="AX25" s="112">
        <f>average(20,22)</f>
        <v>21</v>
      </c>
      <c r="AY25" s="9"/>
      <c r="AZ25" s="12"/>
      <c r="BA25" s="12"/>
      <c r="BB25" s="12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5" t="s">
        <v>301</v>
      </c>
      <c r="B26" s="61"/>
      <c r="D26" s="61"/>
      <c r="E26" s="25" t="s">
        <v>32</v>
      </c>
      <c r="F26" s="9"/>
      <c r="G26" s="25">
        <v>144.0</v>
      </c>
      <c r="H26" s="9"/>
      <c r="I26" s="106" t="s">
        <v>150</v>
      </c>
      <c r="J26" s="106" t="s">
        <v>150</v>
      </c>
      <c r="K26" s="106" t="s">
        <v>150</v>
      </c>
      <c r="L26" s="106" t="s">
        <v>150</v>
      </c>
      <c r="M26" s="134"/>
      <c r="N26" s="137" t="s">
        <v>150</v>
      </c>
      <c r="O26" s="106" t="s">
        <v>182</v>
      </c>
      <c r="P26" s="134"/>
      <c r="Q26" s="106" t="s">
        <v>150</v>
      </c>
      <c r="R26" s="106" t="s">
        <v>150</v>
      </c>
      <c r="S26" s="106" t="s">
        <v>150</v>
      </c>
      <c r="T26" s="9"/>
      <c r="U26" s="25">
        <v>2.0</v>
      </c>
      <c r="V26" s="9"/>
      <c r="W26" s="115" t="s">
        <v>150</v>
      </c>
      <c r="X26" s="16">
        <f>average(950,1000,950)</f>
        <v>966.6666667</v>
      </c>
      <c r="Y26" s="107" t="s">
        <v>160</v>
      </c>
      <c r="Z26" s="115">
        <v>950.0</v>
      </c>
      <c r="AA26" s="115">
        <v>1000.0</v>
      </c>
      <c r="AB26" s="115" t="s">
        <v>150</v>
      </c>
      <c r="AC26" s="115" t="s">
        <v>150</v>
      </c>
      <c r="AD26" s="115" t="s">
        <v>150</v>
      </c>
      <c r="AE26" s="115" t="s">
        <v>150</v>
      </c>
      <c r="AF26" s="115" t="s">
        <v>150</v>
      </c>
      <c r="AG26" s="115" t="s">
        <v>150</v>
      </c>
      <c r="AH26" s="16">
        <f>IFERROR(__xludf.DUMMYFUNCTION("AI26*GoogleFinance(""CURRENCY:GBPUSD"")"),976.70328)</f>
        <v>976.70328</v>
      </c>
      <c r="AI26" s="108">
        <f t="shared" si="5"/>
        <v>784</v>
      </c>
      <c r="AJ26" s="107">
        <v>121.0</v>
      </c>
      <c r="AK26" s="107">
        <v>126.0</v>
      </c>
      <c r="AL26" s="107">
        <v>244.0</v>
      </c>
      <c r="AM26" s="107">
        <v>177.0</v>
      </c>
      <c r="AN26" s="107">
        <v>116.0</v>
      </c>
      <c r="AO26" s="107">
        <v>200.0</v>
      </c>
      <c r="AP26" s="9"/>
      <c r="AQ26" s="107" t="s">
        <v>182</v>
      </c>
      <c r="AR26" s="107" t="s">
        <v>182</v>
      </c>
      <c r="AS26" s="9"/>
      <c r="AT26" s="25" t="s">
        <v>166</v>
      </c>
      <c r="AU26" s="106" t="s">
        <v>150</v>
      </c>
      <c r="AV26" s="106" t="s">
        <v>150</v>
      </c>
      <c r="AW26" s="14">
        <f t="shared" si="6"/>
        <v>65.405</v>
      </c>
      <c r="AX26" s="112">
        <f>average(24,27.5)</f>
        <v>25.75</v>
      </c>
      <c r="AY26" s="9"/>
      <c r="AZ26" s="106" t="s">
        <v>310</v>
      </c>
      <c r="BA26" s="12"/>
      <c r="BB26" s="12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5" t="s">
        <v>312</v>
      </c>
      <c r="B27" s="9"/>
      <c r="C27" s="8"/>
      <c r="D27" s="9"/>
      <c r="E27" s="25" t="s">
        <v>23</v>
      </c>
      <c r="F27" s="9"/>
      <c r="G27" s="25">
        <v>134.0</v>
      </c>
      <c r="H27" s="9"/>
      <c r="I27" s="25">
        <v>40.0</v>
      </c>
      <c r="J27" s="25" t="s">
        <v>184</v>
      </c>
      <c r="K27" s="116" t="s">
        <v>185</v>
      </c>
      <c r="L27" s="25" t="s">
        <v>187</v>
      </c>
      <c r="M27" s="9"/>
      <c r="N27" s="41">
        <v>13.51</v>
      </c>
      <c r="O27" s="106">
        <v>54.0</v>
      </c>
      <c r="P27" s="9"/>
      <c r="Q27" s="25" t="s">
        <v>314</v>
      </c>
      <c r="R27" s="25">
        <v>2.0</v>
      </c>
      <c r="S27" s="106" t="s">
        <v>315</v>
      </c>
      <c r="T27" s="9"/>
      <c r="U27" s="25">
        <v>2.0</v>
      </c>
      <c r="V27" s="9"/>
      <c r="W27" s="14">
        <f>X27+AF27+AG27+AO27</f>
        <v>17966.32805</v>
      </c>
      <c r="X27" s="16">
        <f>average(1800,1250,1400,250,250,1400)</f>
        <v>1058.333333</v>
      </c>
      <c r="Y27" s="107" t="s">
        <v>160</v>
      </c>
      <c r="Z27" s="107">
        <v>250.0</v>
      </c>
      <c r="AA27" s="107">
        <v>1800.0</v>
      </c>
      <c r="AB27" s="108">
        <f t="shared" ref="AB27:AB28" si="15">average(AC27,AD27)</f>
        <v>4</v>
      </c>
      <c r="AC27" s="107">
        <v>4.0</v>
      </c>
      <c r="AD27" s="107">
        <v>4.0</v>
      </c>
      <c r="AE27" s="19">
        <f>IFERROR(__xludf.DUMMYFUNCTION("AB27*GoogleFinance(""CURRENCY:GBPUSD"")"),4.98318)</f>
        <v>4.98318</v>
      </c>
      <c r="AF27" s="16">
        <f>AE27*52.1775*N27</f>
        <v>3512.733404</v>
      </c>
      <c r="AG27" s="16">
        <f>AH27*N27</f>
        <v>13195.26131</v>
      </c>
      <c r="AH27" s="16">
        <f>IFERROR(__xludf.DUMMYFUNCTION("AI27*GoogleFinance(""CURRENCY:GBPUSD"")"),976.70328)</f>
        <v>976.70328</v>
      </c>
      <c r="AI27" s="108">
        <f t="shared" si="5"/>
        <v>784</v>
      </c>
      <c r="AJ27" s="107">
        <v>121.0</v>
      </c>
      <c r="AK27" s="107">
        <v>126.0</v>
      </c>
      <c r="AL27" s="107">
        <v>244.0</v>
      </c>
      <c r="AM27" s="107">
        <v>177.0</v>
      </c>
      <c r="AN27" s="107">
        <v>116.0</v>
      </c>
      <c r="AO27" s="107">
        <v>200.0</v>
      </c>
      <c r="AP27" s="9"/>
      <c r="AQ27" s="167" t="s">
        <v>147</v>
      </c>
      <c r="AR27" s="167" t="s">
        <v>148</v>
      </c>
      <c r="AS27" s="9"/>
      <c r="AT27" s="25" t="s">
        <v>149</v>
      </c>
      <c r="AU27" s="14">
        <f>AV27*0.45359237</f>
        <v>9.0718474</v>
      </c>
      <c r="AV27" s="112">
        <f>average(17,23)</f>
        <v>20</v>
      </c>
      <c r="AW27" s="106" t="s">
        <v>150</v>
      </c>
      <c r="AX27" s="106" t="s">
        <v>150</v>
      </c>
      <c r="AY27" s="9"/>
      <c r="AZ27" s="106" t="s">
        <v>340</v>
      </c>
      <c r="BA27" s="12"/>
      <c r="BB27" s="12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5" t="s">
        <v>341</v>
      </c>
      <c r="B28" s="9"/>
      <c r="C28" s="8"/>
      <c r="D28" s="9"/>
      <c r="E28" s="25" t="s">
        <v>32</v>
      </c>
      <c r="F28" s="9"/>
      <c r="G28" s="25">
        <v>74.0</v>
      </c>
      <c r="H28" s="9"/>
      <c r="I28" s="25">
        <v>22.0</v>
      </c>
      <c r="J28" s="25" t="s">
        <v>267</v>
      </c>
      <c r="K28" s="116" t="s">
        <v>268</v>
      </c>
      <c r="L28" s="25" t="s">
        <v>269</v>
      </c>
      <c r="M28" s="9"/>
      <c r="N28" s="137" t="s">
        <v>150</v>
      </c>
      <c r="O28" s="106" t="s">
        <v>182</v>
      </c>
      <c r="P28" s="9"/>
      <c r="Q28" s="25" t="s">
        <v>145</v>
      </c>
      <c r="R28" s="25">
        <v>0.0</v>
      </c>
      <c r="S28" s="106" t="s">
        <v>145</v>
      </c>
      <c r="T28" s="9"/>
      <c r="U28" s="25">
        <v>3.0</v>
      </c>
      <c r="V28" s="9"/>
      <c r="W28" s="115" t="s">
        <v>150</v>
      </c>
      <c r="X28" s="16">
        <f>average(1200,1000,1200,1200,1200,800,550,950,700,2000)</f>
        <v>1080</v>
      </c>
      <c r="Y28" s="107" t="s">
        <v>160</v>
      </c>
      <c r="Z28" s="107">
        <v>550.0</v>
      </c>
      <c r="AA28" s="107">
        <v>2000.0</v>
      </c>
      <c r="AB28" s="108">
        <f t="shared" si="15"/>
        <v>5.75</v>
      </c>
      <c r="AC28" s="107">
        <v>4.0</v>
      </c>
      <c r="AD28" s="107">
        <v>7.5</v>
      </c>
      <c r="AE28" s="19">
        <f>IFERROR(__xludf.DUMMYFUNCTION("AB28*GoogleFinance(""CURRENCY:GBPUSD"")"),7.16332125)</f>
        <v>7.16332125</v>
      </c>
      <c r="AF28" s="115" t="s">
        <v>150</v>
      </c>
      <c r="AG28" s="115" t="s">
        <v>150</v>
      </c>
      <c r="AH28" s="16">
        <f>IFERROR(__xludf.DUMMYFUNCTION("AI28*GoogleFinance(""CURRENCY:GBPUSD"")"),976.70328)</f>
        <v>976.70328</v>
      </c>
      <c r="AI28" s="108">
        <f t="shared" si="5"/>
        <v>784</v>
      </c>
      <c r="AJ28" s="107">
        <v>121.0</v>
      </c>
      <c r="AK28" s="107">
        <v>126.0</v>
      </c>
      <c r="AL28" s="107">
        <v>244.0</v>
      </c>
      <c r="AM28" s="107">
        <v>177.0</v>
      </c>
      <c r="AN28" s="107">
        <v>116.0</v>
      </c>
      <c r="AO28" s="107">
        <v>200.0</v>
      </c>
      <c r="AP28" s="9"/>
      <c r="AQ28" s="25" t="s">
        <v>147</v>
      </c>
      <c r="AR28" s="25" t="s">
        <v>165</v>
      </c>
      <c r="AS28" s="9"/>
      <c r="AT28" s="25" t="s">
        <v>166</v>
      </c>
      <c r="AU28" s="106" t="s">
        <v>150</v>
      </c>
      <c r="AV28" s="106" t="s">
        <v>150</v>
      </c>
      <c r="AW28" s="14">
        <f t="shared" ref="AW28:AW37" si="16">AX28*2.54</f>
        <v>60.96</v>
      </c>
      <c r="AX28" s="112">
        <f t="shared" ref="AX28:AX30" si="17">average(22,26)</f>
        <v>24</v>
      </c>
      <c r="AY28" s="9"/>
      <c r="AZ28" s="12"/>
      <c r="BA28" s="12"/>
      <c r="BB28" s="12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170" t="s">
        <v>349</v>
      </c>
      <c r="B29" s="9"/>
      <c r="C29" s="8"/>
      <c r="D29" s="9"/>
      <c r="E29" s="25" t="s">
        <v>32</v>
      </c>
      <c r="F29" s="9"/>
      <c r="G29" s="25">
        <v>118.0</v>
      </c>
      <c r="H29" s="9"/>
      <c r="I29" s="25">
        <v>15.0</v>
      </c>
      <c r="J29" s="25" t="s">
        <v>267</v>
      </c>
      <c r="K29" s="116" t="s">
        <v>268</v>
      </c>
      <c r="L29" s="25" t="s">
        <v>269</v>
      </c>
      <c r="M29" s="9"/>
      <c r="N29" s="137" t="s">
        <v>150</v>
      </c>
      <c r="O29" s="106" t="s">
        <v>182</v>
      </c>
      <c r="P29" s="9"/>
      <c r="Q29" s="25" t="s">
        <v>350</v>
      </c>
      <c r="R29" s="25">
        <v>4.0</v>
      </c>
      <c r="S29" s="106" t="s">
        <v>351</v>
      </c>
      <c r="T29" s="9"/>
      <c r="U29" s="25">
        <v>3.0</v>
      </c>
      <c r="V29" s="9"/>
      <c r="W29" s="115" t="s">
        <v>150</v>
      </c>
      <c r="X29" s="171">
        <v>1200.0</v>
      </c>
      <c r="Y29" s="115" t="s">
        <v>160</v>
      </c>
      <c r="Z29" s="107" t="s">
        <v>150</v>
      </c>
      <c r="AA29" s="107" t="s">
        <v>150</v>
      </c>
      <c r="AB29" s="115" t="s">
        <v>150</v>
      </c>
      <c r="AC29" s="115" t="s">
        <v>150</v>
      </c>
      <c r="AD29" s="115" t="s">
        <v>150</v>
      </c>
      <c r="AE29" s="115" t="s">
        <v>150</v>
      </c>
      <c r="AF29" s="115" t="s">
        <v>150</v>
      </c>
      <c r="AG29" s="115" t="s">
        <v>150</v>
      </c>
      <c r="AH29" s="16">
        <f>IFERROR(__xludf.DUMMYFUNCTION("AI29*GoogleFinance(""CURRENCY:GBPUSD"")"),976.70328)</f>
        <v>976.70328</v>
      </c>
      <c r="AI29" s="108">
        <f t="shared" si="5"/>
        <v>784</v>
      </c>
      <c r="AJ29" s="107">
        <v>121.0</v>
      </c>
      <c r="AK29" s="107">
        <v>126.0</v>
      </c>
      <c r="AL29" s="107">
        <v>244.0</v>
      </c>
      <c r="AM29" s="107">
        <v>177.0</v>
      </c>
      <c r="AN29" s="107">
        <v>116.0</v>
      </c>
      <c r="AO29" s="107">
        <v>200.0</v>
      </c>
      <c r="AP29" s="9"/>
      <c r="AQ29" s="25" t="s">
        <v>182</v>
      </c>
      <c r="AR29" s="25" t="s">
        <v>182</v>
      </c>
      <c r="AS29" s="9"/>
      <c r="AT29" s="25" t="s">
        <v>166</v>
      </c>
      <c r="AU29" s="106" t="s">
        <v>150</v>
      </c>
      <c r="AV29" s="106" t="s">
        <v>150</v>
      </c>
      <c r="AW29" s="14">
        <f t="shared" si="16"/>
        <v>60.96</v>
      </c>
      <c r="AX29" s="112">
        <f t="shared" si="17"/>
        <v>24</v>
      </c>
      <c r="AY29" s="9"/>
      <c r="AZ29" s="12"/>
      <c r="BA29" s="12"/>
      <c r="BB29" s="12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170" t="s">
        <v>352</v>
      </c>
      <c r="B30" s="9"/>
      <c r="C30" s="8"/>
      <c r="D30" s="9"/>
      <c r="E30" s="25" t="s">
        <v>32</v>
      </c>
      <c r="F30" s="9"/>
      <c r="G30" s="25">
        <v>108.0</v>
      </c>
      <c r="H30" s="9"/>
      <c r="I30" s="25">
        <v>14.0</v>
      </c>
      <c r="J30" s="25" t="s">
        <v>267</v>
      </c>
      <c r="K30" s="116" t="s">
        <v>268</v>
      </c>
      <c r="L30" s="25" t="s">
        <v>269</v>
      </c>
      <c r="M30" s="9"/>
      <c r="N30" s="41">
        <v>10.6</v>
      </c>
      <c r="O30" s="106">
        <v>105.0</v>
      </c>
      <c r="P30" s="9"/>
      <c r="Q30" s="25" t="s">
        <v>353</v>
      </c>
      <c r="R30" s="25">
        <v>2.0</v>
      </c>
      <c r="S30" s="106" t="s">
        <v>354</v>
      </c>
      <c r="T30" s="9"/>
      <c r="U30" s="25">
        <v>3.0</v>
      </c>
      <c r="V30" s="9"/>
      <c r="W30" s="14">
        <f t="shared" ref="W30:W32" si="18">X30+AF30+AG30+AO30</f>
        <v>15584.95523</v>
      </c>
      <c r="X30" s="16">
        <f>average(1200,1200,900,900,1200,1200,850,1200,850,1200)</f>
        <v>1070</v>
      </c>
      <c r="Y30" s="107" t="s">
        <v>160</v>
      </c>
      <c r="Z30" s="107">
        <v>850.0</v>
      </c>
      <c r="AA30" s="107">
        <v>1200.0</v>
      </c>
      <c r="AB30" s="108">
        <f t="shared" ref="AB30:AB32" si="19">average(AC30,AD30)</f>
        <v>5.75</v>
      </c>
      <c r="AC30" s="107">
        <v>4.0</v>
      </c>
      <c r="AD30" s="107">
        <v>7.5</v>
      </c>
      <c r="AE30" s="19">
        <f>IFERROR(__xludf.DUMMYFUNCTION("AB30*GoogleFinance(""CURRENCY:GBPUSD"")"),7.16332125)</f>
        <v>7.16332125</v>
      </c>
      <c r="AF30" s="16">
        <f t="shared" ref="AF30:AF32" si="20">AE30*52.1775*N30</f>
        <v>3961.900462</v>
      </c>
      <c r="AG30" s="16">
        <f t="shared" ref="AG30:AG32" si="21">AH30*N30</f>
        <v>10353.05477</v>
      </c>
      <c r="AH30" s="16">
        <f>IFERROR(__xludf.DUMMYFUNCTION("AI30*GoogleFinance(""CURRENCY:GBPUSD"")"),976.70328)</f>
        <v>976.70328</v>
      </c>
      <c r="AI30" s="108">
        <f t="shared" si="5"/>
        <v>784</v>
      </c>
      <c r="AJ30" s="107">
        <v>121.0</v>
      </c>
      <c r="AK30" s="107">
        <v>126.0</v>
      </c>
      <c r="AL30" s="107">
        <v>244.0</v>
      </c>
      <c r="AM30" s="107">
        <v>177.0</v>
      </c>
      <c r="AN30" s="107">
        <v>116.0</v>
      </c>
      <c r="AO30" s="107">
        <v>200.0</v>
      </c>
      <c r="AP30" s="9"/>
      <c r="AQ30" s="25" t="s">
        <v>147</v>
      </c>
      <c r="AR30" s="25" t="s">
        <v>165</v>
      </c>
      <c r="AS30" s="9"/>
      <c r="AT30" s="25" t="s">
        <v>166</v>
      </c>
      <c r="AU30" s="106" t="s">
        <v>150</v>
      </c>
      <c r="AV30" s="106" t="s">
        <v>150</v>
      </c>
      <c r="AW30" s="14">
        <f t="shared" si="16"/>
        <v>60.96</v>
      </c>
      <c r="AX30" s="112">
        <f t="shared" si="17"/>
        <v>24</v>
      </c>
      <c r="AY30" s="9"/>
      <c r="AZ30" s="12"/>
      <c r="BA30" s="12"/>
      <c r="BB30" s="12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5" t="s">
        <v>360</v>
      </c>
      <c r="B31" s="9"/>
      <c r="C31" s="8"/>
      <c r="D31" s="9"/>
      <c r="E31" s="25" t="s">
        <v>38</v>
      </c>
      <c r="F31" s="9"/>
      <c r="G31" s="25">
        <v>34.0</v>
      </c>
      <c r="H31" s="9"/>
      <c r="I31" s="25">
        <v>22.0</v>
      </c>
      <c r="J31" s="25" t="s">
        <v>267</v>
      </c>
      <c r="K31" s="116" t="s">
        <v>268</v>
      </c>
      <c r="L31" s="25" t="s">
        <v>269</v>
      </c>
      <c r="M31" s="9"/>
      <c r="N31" s="41">
        <v>7.56</v>
      </c>
      <c r="O31" s="106">
        <v>701.0</v>
      </c>
      <c r="P31" s="9"/>
      <c r="Q31" s="25" t="s">
        <v>361</v>
      </c>
      <c r="R31" s="25">
        <v>4.0</v>
      </c>
      <c r="S31" s="106" t="s">
        <v>362</v>
      </c>
      <c r="T31" s="9"/>
      <c r="U31" s="25">
        <v>4.0</v>
      </c>
      <c r="V31" s="9"/>
      <c r="W31" s="14">
        <f t="shared" si="18"/>
        <v>13203.7901</v>
      </c>
      <c r="X31" s="16">
        <f>average(1600,1200,1200,800,750,1000,2500,1750,1200,1200)</f>
        <v>1320</v>
      </c>
      <c r="Y31" s="107" t="s">
        <v>160</v>
      </c>
      <c r="Z31" s="107">
        <v>750.0</v>
      </c>
      <c r="AA31" s="107">
        <v>2500.0</v>
      </c>
      <c r="AB31" s="108">
        <f t="shared" si="19"/>
        <v>8.75</v>
      </c>
      <c r="AC31" s="107">
        <v>7.5</v>
      </c>
      <c r="AD31" s="107">
        <v>10.0</v>
      </c>
      <c r="AE31" s="19">
        <f>IFERROR(__xludf.DUMMYFUNCTION("AB31*GoogleFinance(""CURRENCY:GBPUSD"")"),10.90070625)</f>
        <v>10.90070625</v>
      </c>
      <c r="AF31" s="16">
        <f t="shared" si="20"/>
        <v>4299.913299</v>
      </c>
      <c r="AG31" s="16">
        <f t="shared" si="21"/>
        <v>7383.876797</v>
      </c>
      <c r="AH31" s="16">
        <f>IFERROR(__xludf.DUMMYFUNCTION("AI31*GoogleFinance(""CURRENCY:GBPUSD"")"),976.70328)</f>
        <v>976.70328</v>
      </c>
      <c r="AI31" s="108">
        <f t="shared" si="5"/>
        <v>784</v>
      </c>
      <c r="AJ31" s="107">
        <v>121.0</v>
      </c>
      <c r="AK31" s="107">
        <v>126.0</v>
      </c>
      <c r="AL31" s="107">
        <v>244.0</v>
      </c>
      <c r="AM31" s="107">
        <v>177.0</v>
      </c>
      <c r="AN31" s="107">
        <v>116.0</v>
      </c>
      <c r="AO31" s="107">
        <v>200.0</v>
      </c>
      <c r="AP31" s="9"/>
      <c r="AQ31" s="25" t="s">
        <v>164</v>
      </c>
      <c r="AR31" s="25" t="s">
        <v>165</v>
      </c>
      <c r="AS31" s="9"/>
      <c r="AT31" s="25" t="s">
        <v>166</v>
      </c>
      <c r="AU31" s="106" t="s">
        <v>150</v>
      </c>
      <c r="AV31" s="106" t="s">
        <v>150</v>
      </c>
      <c r="AW31" s="14">
        <f t="shared" si="16"/>
        <v>64.135</v>
      </c>
      <c r="AX31" s="112">
        <f>average(23,27.5)</f>
        <v>25.25</v>
      </c>
      <c r="AY31" s="9"/>
      <c r="AZ31" s="12"/>
      <c r="BA31" s="12"/>
      <c r="BB31" s="12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5" t="s">
        <v>365</v>
      </c>
      <c r="B32" s="9"/>
      <c r="C32" s="8"/>
      <c r="D32" s="9"/>
      <c r="E32" s="25" t="s">
        <v>34</v>
      </c>
      <c r="F32" s="9"/>
      <c r="G32" s="25">
        <v>39.0</v>
      </c>
      <c r="H32" s="9"/>
      <c r="I32" s="25">
        <v>45.0</v>
      </c>
      <c r="J32" s="25" t="s">
        <v>184</v>
      </c>
      <c r="K32" s="116" t="s">
        <v>185</v>
      </c>
      <c r="L32" s="25" t="s">
        <v>187</v>
      </c>
      <c r="M32" s="9"/>
      <c r="N32" s="41">
        <v>12.21</v>
      </c>
      <c r="O32" s="106">
        <v>146.0</v>
      </c>
      <c r="P32" s="9"/>
      <c r="Q32" s="25" t="s">
        <v>145</v>
      </c>
      <c r="R32" s="25">
        <v>0.0</v>
      </c>
      <c r="S32" s="106" t="s">
        <v>145</v>
      </c>
      <c r="T32" s="9"/>
      <c r="U32" s="25">
        <v>6.0</v>
      </c>
      <c r="V32" s="9"/>
      <c r="W32" s="14">
        <f t="shared" si="18"/>
        <v>15992.76762</v>
      </c>
      <c r="X32" s="16">
        <f>average(250,895,350,600,1000,700,1500,800,280,550)</f>
        <v>692.5</v>
      </c>
      <c r="Y32" s="107" t="s">
        <v>146</v>
      </c>
      <c r="Z32" s="107">
        <v>250.0</v>
      </c>
      <c r="AA32" s="107">
        <v>1500.0</v>
      </c>
      <c r="AB32" s="108">
        <f t="shared" si="19"/>
        <v>4</v>
      </c>
      <c r="AC32" s="107">
        <v>4.0</v>
      </c>
      <c r="AD32" s="107">
        <v>4.0</v>
      </c>
      <c r="AE32" s="19">
        <f>IFERROR(__xludf.DUMMYFUNCTION("AB32*GoogleFinance(""CURRENCY:GBPUSD"")"),4.98318)</f>
        <v>4.98318</v>
      </c>
      <c r="AF32" s="16">
        <f t="shared" si="20"/>
        <v>3174.720567</v>
      </c>
      <c r="AG32" s="16">
        <f t="shared" si="21"/>
        <v>11925.54705</v>
      </c>
      <c r="AH32" s="16">
        <f>IFERROR(__xludf.DUMMYFUNCTION("AI32*GoogleFinance(""CURRENCY:GBPUSD"")"),976.70328)</f>
        <v>976.70328</v>
      </c>
      <c r="AI32" s="108">
        <f t="shared" si="5"/>
        <v>784</v>
      </c>
      <c r="AJ32" s="107">
        <v>121.0</v>
      </c>
      <c r="AK32" s="107">
        <v>126.0</v>
      </c>
      <c r="AL32" s="107">
        <v>244.0</v>
      </c>
      <c r="AM32" s="107">
        <v>177.0</v>
      </c>
      <c r="AN32" s="107">
        <v>116.0</v>
      </c>
      <c r="AO32" s="107">
        <v>200.0</v>
      </c>
      <c r="AP32" s="9"/>
      <c r="AQ32" s="25" t="s">
        <v>164</v>
      </c>
      <c r="AR32" s="25" t="s">
        <v>165</v>
      </c>
      <c r="AS32" s="9"/>
      <c r="AT32" s="25" t="s">
        <v>149</v>
      </c>
      <c r="AU32" s="106" t="s">
        <v>150</v>
      </c>
      <c r="AV32" s="106" t="s">
        <v>150</v>
      </c>
      <c r="AW32" s="14">
        <f t="shared" si="16"/>
        <v>26.67</v>
      </c>
      <c r="AX32" s="112">
        <f>average(9.5,11.5)</f>
        <v>10.5</v>
      </c>
      <c r="AY32" s="9"/>
      <c r="AZ32" s="12"/>
      <c r="BA32" s="12"/>
      <c r="BB32" s="12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5" t="s">
        <v>367</v>
      </c>
      <c r="B33" s="9"/>
      <c r="C33" s="8"/>
      <c r="D33" s="9"/>
      <c r="E33" s="25" t="s">
        <v>53</v>
      </c>
      <c r="F33" s="9"/>
      <c r="G33" s="25">
        <v>109.0</v>
      </c>
      <c r="H33" s="9"/>
      <c r="I33" s="25">
        <v>44.0</v>
      </c>
      <c r="J33" s="25" t="s">
        <v>184</v>
      </c>
      <c r="K33" s="116" t="s">
        <v>185</v>
      </c>
      <c r="L33" s="25" t="s">
        <v>187</v>
      </c>
      <c r="M33" s="9"/>
      <c r="N33" s="137" t="s">
        <v>150</v>
      </c>
      <c r="O33" s="106" t="s">
        <v>182</v>
      </c>
      <c r="P33" s="9"/>
      <c r="Q33" s="25" t="s">
        <v>145</v>
      </c>
      <c r="R33" s="25">
        <v>0.0</v>
      </c>
      <c r="S33" s="106" t="s">
        <v>145</v>
      </c>
      <c r="T33" s="9"/>
      <c r="U33" s="25">
        <v>4.0</v>
      </c>
      <c r="V33" s="9"/>
      <c r="W33" s="115" t="s">
        <v>150</v>
      </c>
      <c r="X33" s="16">
        <f>average(450,250,250,300,250,350,200,500,250,450)</f>
        <v>325</v>
      </c>
      <c r="Y33" s="107" t="s">
        <v>146</v>
      </c>
      <c r="Z33" s="107">
        <v>200.0</v>
      </c>
      <c r="AA33" s="107">
        <v>500.0</v>
      </c>
      <c r="AB33" s="115" t="s">
        <v>150</v>
      </c>
      <c r="AC33" s="115" t="s">
        <v>150</v>
      </c>
      <c r="AD33" s="115" t="s">
        <v>150</v>
      </c>
      <c r="AE33" s="115" t="s">
        <v>150</v>
      </c>
      <c r="AF33" s="115" t="s">
        <v>150</v>
      </c>
      <c r="AG33" s="115" t="s">
        <v>150</v>
      </c>
      <c r="AH33" s="16">
        <f>IFERROR(__xludf.DUMMYFUNCTION("AI33*GoogleFinance(""CURRENCY:GBPUSD"")"),976.70328)</f>
        <v>976.70328</v>
      </c>
      <c r="AI33" s="108">
        <f t="shared" si="5"/>
        <v>784</v>
      </c>
      <c r="AJ33" s="107">
        <v>121.0</v>
      </c>
      <c r="AK33" s="107">
        <v>126.0</v>
      </c>
      <c r="AL33" s="107">
        <v>244.0</v>
      </c>
      <c r="AM33" s="107">
        <v>177.0</v>
      </c>
      <c r="AN33" s="107">
        <v>116.0</v>
      </c>
      <c r="AO33" s="107">
        <v>200.0</v>
      </c>
      <c r="AP33" s="9"/>
      <c r="AQ33" s="25" t="s">
        <v>182</v>
      </c>
      <c r="AR33" s="25" t="s">
        <v>182</v>
      </c>
      <c r="AS33" s="9"/>
      <c r="AT33" s="25" t="s">
        <v>166</v>
      </c>
      <c r="AU33" s="106" t="s">
        <v>150</v>
      </c>
      <c r="AV33" s="106" t="s">
        <v>150</v>
      </c>
      <c r="AW33" s="14">
        <f t="shared" si="16"/>
        <v>63.5</v>
      </c>
      <c r="AX33" s="112">
        <f>average(23,27)</f>
        <v>25</v>
      </c>
      <c r="AY33" s="9"/>
      <c r="AZ33" s="12"/>
      <c r="BA33" s="12"/>
      <c r="BB33" s="12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5" t="s">
        <v>370</v>
      </c>
      <c r="B34" s="9"/>
      <c r="C34" s="8"/>
      <c r="D34" s="9"/>
      <c r="E34" s="25" t="s">
        <v>38</v>
      </c>
      <c r="F34" s="9"/>
      <c r="G34" s="25">
        <v>128.0</v>
      </c>
      <c r="H34" s="9"/>
      <c r="I34" s="106" t="s">
        <v>150</v>
      </c>
      <c r="J34" s="106" t="s">
        <v>150</v>
      </c>
      <c r="K34" s="106" t="s">
        <v>150</v>
      </c>
      <c r="L34" s="106" t="s">
        <v>150</v>
      </c>
      <c r="M34" s="9"/>
      <c r="N34" s="179" t="s">
        <v>371</v>
      </c>
      <c r="O34" s="106">
        <v>4.0</v>
      </c>
      <c r="P34" s="9"/>
      <c r="Q34" s="25" t="s">
        <v>145</v>
      </c>
      <c r="R34" s="25">
        <v>0.0</v>
      </c>
      <c r="S34" s="106" t="s">
        <v>145</v>
      </c>
      <c r="T34" s="9"/>
      <c r="U34" s="25">
        <v>3.0</v>
      </c>
      <c r="V34" s="9"/>
      <c r="W34" s="115" t="s">
        <v>150</v>
      </c>
      <c r="X34" s="16">
        <f>average(2500,3000,3000)</f>
        <v>2833.333333</v>
      </c>
      <c r="Y34" s="107" t="s">
        <v>372</v>
      </c>
      <c r="Z34" s="107">
        <v>2500.0</v>
      </c>
      <c r="AA34" s="107">
        <v>3000.0</v>
      </c>
      <c r="AB34" s="115" t="s">
        <v>150</v>
      </c>
      <c r="AC34" s="115" t="s">
        <v>150</v>
      </c>
      <c r="AD34" s="115" t="s">
        <v>150</v>
      </c>
      <c r="AE34" s="115" t="s">
        <v>150</v>
      </c>
      <c r="AF34" s="115" t="s">
        <v>150</v>
      </c>
      <c r="AG34" s="115" t="s">
        <v>150</v>
      </c>
      <c r="AH34" s="16">
        <f>IFERROR(__xludf.DUMMYFUNCTION("AI34*GoogleFinance(""CURRENCY:GBPUSD"")"),976.70328)</f>
        <v>976.70328</v>
      </c>
      <c r="AI34" s="108">
        <f t="shared" si="5"/>
        <v>784</v>
      </c>
      <c r="AJ34" s="107">
        <v>121.0</v>
      </c>
      <c r="AK34" s="107">
        <v>126.0</v>
      </c>
      <c r="AL34" s="107">
        <v>244.0</v>
      </c>
      <c r="AM34" s="107">
        <v>177.0</v>
      </c>
      <c r="AN34" s="107">
        <v>116.0</v>
      </c>
      <c r="AO34" s="107">
        <v>200.0</v>
      </c>
      <c r="AP34" s="9"/>
      <c r="AQ34" s="25" t="s">
        <v>182</v>
      </c>
      <c r="AR34" s="25" t="s">
        <v>182</v>
      </c>
      <c r="AS34" s="9"/>
      <c r="AT34" s="25" t="s">
        <v>166</v>
      </c>
      <c r="AU34" s="106" t="s">
        <v>150</v>
      </c>
      <c r="AV34" s="106" t="s">
        <v>150</v>
      </c>
      <c r="AW34" s="14">
        <f t="shared" si="16"/>
        <v>71.12</v>
      </c>
      <c r="AX34" s="112">
        <f>average(26,30)</f>
        <v>28</v>
      </c>
      <c r="AY34" s="9"/>
      <c r="AZ34" s="106" t="s">
        <v>310</v>
      </c>
      <c r="BA34" s="12"/>
      <c r="BB34" s="12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5" t="s">
        <v>52</v>
      </c>
      <c r="B35" s="9"/>
      <c r="C35" s="8"/>
      <c r="D35" s="9"/>
      <c r="E35" s="25" t="s">
        <v>53</v>
      </c>
      <c r="F35" s="9"/>
      <c r="G35" s="25">
        <v>48.0</v>
      </c>
      <c r="H35" s="9"/>
      <c r="I35" s="25">
        <v>75.0</v>
      </c>
      <c r="J35" s="25" t="s">
        <v>157</v>
      </c>
      <c r="K35" s="25" t="s">
        <v>158</v>
      </c>
      <c r="L35" s="25" t="s">
        <v>159</v>
      </c>
      <c r="M35" s="9"/>
      <c r="N35" s="41">
        <v>6.75</v>
      </c>
      <c r="O35" s="106">
        <v>82.0</v>
      </c>
      <c r="P35" s="9"/>
      <c r="Q35" s="25" t="s">
        <v>373</v>
      </c>
      <c r="R35" s="25">
        <v>2.0</v>
      </c>
      <c r="S35" s="106" t="s">
        <v>374</v>
      </c>
      <c r="T35" s="9"/>
      <c r="U35" s="25">
        <v>5.0</v>
      </c>
      <c r="V35" s="9"/>
      <c r="W35" s="14">
        <f>X35+AF35+AG35+AO35</f>
        <v>11239.45544</v>
      </c>
      <c r="X35" s="16">
        <f>average(400,500,400,800,200,400,750,1000,625,1000)</f>
        <v>607.5</v>
      </c>
      <c r="Y35" s="107" t="s">
        <v>146</v>
      </c>
      <c r="Z35" s="107">
        <v>200.0</v>
      </c>
      <c r="AA35" s="107">
        <v>1000.0</v>
      </c>
      <c r="AB35" s="108">
        <f>average(AC35,AD35)</f>
        <v>8.75</v>
      </c>
      <c r="AC35" s="107">
        <v>7.5</v>
      </c>
      <c r="AD35" s="107">
        <v>10.0</v>
      </c>
      <c r="AE35" s="19">
        <f>IFERROR(__xludf.DUMMYFUNCTION("AB35*GoogleFinance(""CURRENCY:GBPUSD"")"),10.90070625)</f>
        <v>10.90070625</v>
      </c>
      <c r="AF35" s="16">
        <f>AE35*52.1775*N35</f>
        <v>3839.208302</v>
      </c>
      <c r="AG35" s="16">
        <f>AH35*N35</f>
        <v>6592.74714</v>
      </c>
      <c r="AH35" s="16">
        <f>IFERROR(__xludf.DUMMYFUNCTION("AI35*GoogleFinance(""CURRENCY:GBPUSD"")"),976.70328)</f>
        <v>976.70328</v>
      </c>
      <c r="AI35" s="108">
        <f t="shared" si="5"/>
        <v>784</v>
      </c>
      <c r="AJ35" s="107">
        <v>121.0</v>
      </c>
      <c r="AK35" s="107">
        <v>126.0</v>
      </c>
      <c r="AL35" s="107">
        <v>244.0</v>
      </c>
      <c r="AM35" s="107">
        <v>177.0</v>
      </c>
      <c r="AN35" s="107">
        <v>116.0</v>
      </c>
      <c r="AO35" s="107">
        <v>200.0</v>
      </c>
      <c r="AP35" s="9"/>
      <c r="AQ35" s="25" t="s">
        <v>147</v>
      </c>
      <c r="AR35" s="25" t="s">
        <v>148</v>
      </c>
      <c r="AS35" s="9"/>
      <c r="AT35" s="25" t="s">
        <v>166</v>
      </c>
      <c r="AU35" s="14">
        <f t="shared" ref="AU35:AU36" si="22">AV35*0.45359237</f>
        <v>38.55535145</v>
      </c>
      <c r="AV35" s="112">
        <f>average(80,90)</f>
        <v>85</v>
      </c>
      <c r="AW35" s="14">
        <f t="shared" si="16"/>
        <v>63.5</v>
      </c>
      <c r="AX35" s="112">
        <f>average(23,27)</f>
        <v>25</v>
      </c>
      <c r="AY35" s="9"/>
      <c r="AZ35" s="12"/>
      <c r="BA35" s="12"/>
      <c r="BB35" s="12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5" t="s">
        <v>376</v>
      </c>
      <c r="B36" s="9"/>
      <c r="C36" s="8"/>
      <c r="D36" s="9"/>
      <c r="E36" s="25" t="s">
        <v>53</v>
      </c>
      <c r="F36" s="9"/>
      <c r="G36" s="25">
        <v>136.0</v>
      </c>
      <c r="H36" s="9"/>
      <c r="I36" s="106" t="s">
        <v>150</v>
      </c>
      <c r="J36" s="106" t="s">
        <v>150</v>
      </c>
      <c r="K36" s="106" t="s">
        <v>150</v>
      </c>
      <c r="L36" s="106" t="s">
        <v>150</v>
      </c>
      <c r="M36" s="134"/>
      <c r="N36" s="137" t="s">
        <v>150</v>
      </c>
      <c r="O36" s="106" t="s">
        <v>182</v>
      </c>
      <c r="P36" s="9"/>
      <c r="Q36" s="25" t="s">
        <v>145</v>
      </c>
      <c r="R36" s="25">
        <v>0.0</v>
      </c>
      <c r="S36" s="106" t="s">
        <v>145</v>
      </c>
      <c r="T36" s="9"/>
      <c r="U36" s="25">
        <v>3.0</v>
      </c>
      <c r="V36" s="9"/>
      <c r="W36" s="115" t="s">
        <v>150</v>
      </c>
      <c r="X36" s="16">
        <f>average(350,300,500,200,300,500,400,250,500,400)</f>
        <v>370</v>
      </c>
      <c r="Y36" s="107" t="s">
        <v>146</v>
      </c>
      <c r="Z36" s="107">
        <v>200.0</v>
      </c>
      <c r="AA36" s="107">
        <v>500.0</v>
      </c>
      <c r="AB36" s="115" t="s">
        <v>150</v>
      </c>
      <c r="AC36" s="115" t="s">
        <v>150</v>
      </c>
      <c r="AD36" s="115" t="s">
        <v>150</v>
      </c>
      <c r="AE36" s="115" t="s">
        <v>150</v>
      </c>
      <c r="AF36" s="115" t="s">
        <v>150</v>
      </c>
      <c r="AG36" s="115" t="s">
        <v>150</v>
      </c>
      <c r="AH36" s="16">
        <f>IFERROR(__xludf.DUMMYFUNCTION("AI36*GoogleFinance(""CURRENCY:GBPUSD"")"),976.70328)</f>
        <v>976.70328</v>
      </c>
      <c r="AI36" s="108">
        <f t="shared" si="5"/>
        <v>784</v>
      </c>
      <c r="AJ36" s="107">
        <v>121.0</v>
      </c>
      <c r="AK36" s="107">
        <v>126.0</v>
      </c>
      <c r="AL36" s="107">
        <v>244.0</v>
      </c>
      <c r="AM36" s="107">
        <v>177.0</v>
      </c>
      <c r="AN36" s="107">
        <v>116.0</v>
      </c>
      <c r="AO36" s="107">
        <v>200.0</v>
      </c>
      <c r="AP36" s="9"/>
      <c r="AQ36" s="25" t="s">
        <v>182</v>
      </c>
      <c r="AR36" s="25" t="s">
        <v>182</v>
      </c>
      <c r="AS36" s="9"/>
      <c r="AT36" s="25" t="s">
        <v>166</v>
      </c>
      <c r="AU36" s="14">
        <f t="shared" si="22"/>
        <v>28.34952313</v>
      </c>
      <c r="AV36" s="112">
        <f>average(45,80)</f>
        <v>62.5</v>
      </c>
      <c r="AW36" s="14">
        <f t="shared" si="16"/>
        <v>60.96</v>
      </c>
      <c r="AX36" s="112">
        <f>average(21,27)</f>
        <v>24</v>
      </c>
      <c r="AY36" s="9"/>
      <c r="AZ36" s="12"/>
      <c r="BA36" s="12"/>
      <c r="BB36" s="12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5" t="s">
        <v>31</v>
      </c>
      <c r="B37" s="9"/>
      <c r="C37" s="8"/>
      <c r="D37" s="9"/>
      <c r="E37" s="25" t="s">
        <v>32</v>
      </c>
      <c r="F37" s="9"/>
      <c r="G37" s="25">
        <v>45.0</v>
      </c>
      <c r="H37" s="9"/>
      <c r="I37" s="25">
        <v>1.0</v>
      </c>
      <c r="J37" s="25" t="s">
        <v>250</v>
      </c>
      <c r="K37" s="25" t="s">
        <v>251</v>
      </c>
      <c r="L37" s="25" t="s">
        <v>252</v>
      </c>
      <c r="M37" s="9"/>
      <c r="N37" s="41">
        <v>12.52</v>
      </c>
      <c r="O37" s="106">
        <v>164.0</v>
      </c>
      <c r="P37" s="9"/>
      <c r="Q37" s="25" t="s">
        <v>253</v>
      </c>
      <c r="R37" s="25">
        <v>2.0</v>
      </c>
      <c r="S37" s="106" t="s">
        <v>254</v>
      </c>
      <c r="T37" s="9"/>
      <c r="U37" s="25">
        <v>3.0</v>
      </c>
      <c r="V37" s="9"/>
      <c r="W37" s="14">
        <f t="shared" ref="W37:W42" si="23">X37+AF37+AG37+AO37</f>
        <v>16306.14869</v>
      </c>
      <c r="X37" s="16">
        <f>average(1050,400,550,400,700,900,175,800,750,500)</f>
        <v>622.5</v>
      </c>
      <c r="Y37" s="107" t="s">
        <v>146</v>
      </c>
      <c r="Z37" s="107">
        <v>175.0</v>
      </c>
      <c r="AA37" s="107">
        <v>1050.0</v>
      </c>
      <c r="AB37" s="108">
        <f t="shared" ref="AB37:AB42" si="24">average(AC37,AD37)</f>
        <v>4</v>
      </c>
      <c r="AC37" s="107">
        <v>4.0</v>
      </c>
      <c r="AD37" s="107">
        <v>4.0</v>
      </c>
      <c r="AE37" s="19">
        <f>IFERROR(__xludf.DUMMYFUNCTION("AB37*GoogleFinance(""CURRENCY:GBPUSD"")"),4.98318)</f>
        <v>4.98318</v>
      </c>
      <c r="AF37" s="16">
        <f t="shared" ref="AF37:AF42" si="25">AE37*52.1775*N37</f>
        <v>3255.323628</v>
      </c>
      <c r="AG37" s="16">
        <f t="shared" ref="AG37:AG42" si="26">AH37*N37</f>
        <v>12228.32507</v>
      </c>
      <c r="AH37" s="16">
        <f>IFERROR(__xludf.DUMMYFUNCTION("AI37*GoogleFinance(""CURRENCY:GBPUSD"")"),976.70328)</f>
        <v>976.70328</v>
      </c>
      <c r="AI37" s="108">
        <f t="shared" si="5"/>
        <v>784</v>
      </c>
      <c r="AJ37" s="107">
        <v>121.0</v>
      </c>
      <c r="AK37" s="107">
        <v>126.0</v>
      </c>
      <c r="AL37" s="107">
        <v>244.0</v>
      </c>
      <c r="AM37" s="107">
        <v>177.0</v>
      </c>
      <c r="AN37" s="107">
        <v>116.0</v>
      </c>
      <c r="AO37" s="107">
        <v>200.0</v>
      </c>
      <c r="AP37" s="9"/>
      <c r="AQ37" s="25" t="s">
        <v>147</v>
      </c>
      <c r="AR37" s="25" t="s">
        <v>209</v>
      </c>
      <c r="AS37" s="9"/>
      <c r="AT37" s="25" t="s">
        <v>148</v>
      </c>
      <c r="AU37" s="106" t="s">
        <v>150</v>
      </c>
      <c r="AV37" s="106" t="s">
        <v>150</v>
      </c>
      <c r="AW37" s="14">
        <f t="shared" si="16"/>
        <v>50.8</v>
      </c>
      <c r="AX37" s="112">
        <f>average(18,22)</f>
        <v>20</v>
      </c>
      <c r="AY37" s="9"/>
      <c r="AZ37" s="12"/>
      <c r="BA37" s="12"/>
      <c r="BB37" s="12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5" t="s">
        <v>22</v>
      </c>
      <c r="B38" s="9"/>
      <c r="C38" s="8"/>
      <c r="D38" s="9"/>
      <c r="E38" s="25" t="s">
        <v>23</v>
      </c>
      <c r="F38" s="9"/>
      <c r="G38" s="25">
        <v>80.0</v>
      </c>
      <c r="H38" s="9"/>
      <c r="I38" s="25">
        <v>30.0</v>
      </c>
      <c r="J38" s="25" t="s">
        <v>142</v>
      </c>
      <c r="K38" s="25" t="s">
        <v>143</v>
      </c>
      <c r="L38" s="25" t="s">
        <v>144</v>
      </c>
      <c r="M38" s="9"/>
      <c r="N38" s="41">
        <v>14.0</v>
      </c>
      <c r="O38" s="106">
        <v>177.0</v>
      </c>
      <c r="P38" s="9"/>
      <c r="Q38" s="25" t="s">
        <v>145</v>
      </c>
      <c r="R38" s="25">
        <v>0.0</v>
      </c>
      <c r="S38" s="106" t="s">
        <v>145</v>
      </c>
      <c r="T38" s="9"/>
      <c r="U38" s="25">
        <v>4.0</v>
      </c>
      <c r="V38" s="9"/>
      <c r="W38" s="14">
        <f t="shared" si="23"/>
        <v>18347.3175</v>
      </c>
      <c r="X38" s="16">
        <f>average(250,850,1000,950,1200,850,950,850,600)</f>
        <v>833.3333333</v>
      </c>
      <c r="Y38" s="107" t="s">
        <v>160</v>
      </c>
      <c r="Z38" s="107">
        <v>250.0</v>
      </c>
      <c r="AA38" s="107">
        <v>1200.0</v>
      </c>
      <c r="AB38" s="108">
        <f t="shared" si="24"/>
        <v>4</v>
      </c>
      <c r="AC38" s="107">
        <v>4.0</v>
      </c>
      <c r="AD38" s="107">
        <v>4.0</v>
      </c>
      <c r="AE38" s="19">
        <f>IFERROR(__xludf.DUMMYFUNCTION("AB38*GoogleFinance(""CURRENCY:GBPUSD"")"),4.98318)</f>
        <v>4.98318</v>
      </c>
      <c r="AF38" s="16">
        <f t="shared" si="25"/>
        <v>3640.138242</v>
      </c>
      <c r="AG38" s="16">
        <f t="shared" si="26"/>
        <v>13673.84592</v>
      </c>
      <c r="AH38" s="16">
        <f>IFERROR(__xludf.DUMMYFUNCTION("AI38*GoogleFinance(""CURRENCY:GBPUSD"")"),976.70328)</f>
        <v>976.70328</v>
      </c>
      <c r="AI38" s="108">
        <f t="shared" si="5"/>
        <v>784</v>
      </c>
      <c r="AJ38" s="107">
        <v>121.0</v>
      </c>
      <c r="AK38" s="107">
        <v>126.0</v>
      </c>
      <c r="AL38" s="107">
        <v>244.0</v>
      </c>
      <c r="AM38" s="107">
        <v>177.0</v>
      </c>
      <c r="AN38" s="107">
        <v>116.0</v>
      </c>
      <c r="AO38" s="107">
        <v>200.0</v>
      </c>
      <c r="AP38" s="9"/>
      <c r="AQ38" s="25" t="s">
        <v>147</v>
      </c>
      <c r="AR38" s="25" t="s">
        <v>165</v>
      </c>
      <c r="AS38" s="9"/>
      <c r="AT38" s="25" t="s">
        <v>149</v>
      </c>
      <c r="AU38" s="14">
        <f t="shared" ref="AU38:AU39" si="27">AV38*0.45359237</f>
        <v>6.123496995</v>
      </c>
      <c r="AV38" s="112">
        <f>average(11.5,15.5)</f>
        <v>13.5</v>
      </c>
      <c r="AW38" s="106" t="s">
        <v>150</v>
      </c>
      <c r="AX38" s="106" t="s">
        <v>150</v>
      </c>
      <c r="AY38" s="9"/>
      <c r="AZ38" s="12"/>
      <c r="BA38" s="12"/>
      <c r="BB38" s="12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5" t="s">
        <v>383</v>
      </c>
      <c r="B39" s="9"/>
      <c r="C39" s="8"/>
      <c r="D39" s="9"/>
      <c r="E39" s="25" t="s">
        <v>53</v>
      </c>
      <c r="F39" s="9"/>
      <c r="G39" s="25">
        <v>102.0</v>
      </c>
      <c r="H39" s="9"/>
      <c r="I39" s="25">
        <v>76.0</v>
      </c>
      <c r="J39" s="25" t="s">
        <v>157</v>
      </c>
      <c r="K39" s="25" t="s">
        <v>158</v>
      </c>
      <c r="L39" s="25" t="s">
        <v>159</v>
      </c>
      <c r="M39" s="9"/>
      <c r="N39" s="41">
        <v>9.08</v>
      </c>
      <c r="O39" s="106">
        <v>87.0</v>
      </c>
      <c r="P39" s="9"/>
      <c r="Q39" s="25" t="s">
        <v>145</v>
      </c>
      <c r="R39" s="25">
        <v>0.0</v>
      </c>
      <c r="S39" s="106" t="s">
        <v>145</v>
      </c>
      <c r="T39" s="9"/>
      <c r="U39" s="25">
        <v>2.0</v>
      </c>
      <c r="V39" s="9"/>
      <c r="W39" s="14">
        <f t="shared" si="23"/>
        <v>13137.24467</v>
      </c>
      <c r="X39" s="16">
        <f>average(400,700,1250,750,300,400,500,400,1250,800)</f>
        <v>675</v>
      </c>
      <c r="Y39" s="107" t="s">
        <v>146</v>
      </c>
      <c r="Z39" s="107">
        <v>300.0</v>
      </c>
      <c r="AA39" s="107">
        <v>1250.0</v>
      </c>
      <c r="AB39" s="108">
        <f t="shared" si="24"/>
        <v>5.75</v>
      </c>
      <c r="AC39" s="107">
        <v>4.0</v>
      </c>
      <c r="AD39" s="107">
        <v>7.5</v>
      </c>
      <c r="AE39" s="19">
        <f>IFERROR(__xludf.DUMMYFUNCTION("AB39*GoogleFinance(""CURRENCY:GBPUSD"")"),7.16332125)</f>
        <v>7.16332125</v>
      </c>
      <c r="AF39" s="16">
        <f t="shared" si="25"/>
        <v>3393.778886</v>
      </c>
      <c r="AG39" s="16">
        <f t="shared" si="26"/>
        <v>8868.465782</v>
      </c>
      <c r="AH39" s="16">
        <f>IFERROR(__xludf.DUMMYFUNCTION("AI39*GoogleFinance(""CURRENCY:GBPUSD"")"),976.70328)</f>
        <v>976.70328</v>
      </c>
      <c r="AI39" s="108">
        <f t="shared" si="5"/>
        <v>784</v>
      </c>
      <c r="AJ39" s="107">
        <v>121.0</v>
      </c>
      <c r="AK39" s="107">
        <v>126.0</v>
      </c>
      <c r="AL39" s="107">
        <v>244.0</v>
      </c>
      <c r="AM39" s="107">
        <v>177.0</v>
      </c>
      <c r="AN39" s="107">
        <v>116.0</v>
      </c>
      <c r="AO39" s="107">
        <v>200.0</v>
      </c>
      <c r="AP39" s="9"/>
      <c r="AQ39" s="25" t="s">
        <v>164</v>
      </c>
      <c r="AR39" s="25" t="s">
        <v>148</v>
      </c>
      <c r="AS39" s="9"/>
      <c r="AT39" s="25" t="s">
        <v>166</v>
      </c>
      <c r="AU39" s="14">
        <f t="shared" si="27"/>
        <v>37.42137053</v>
      </c>
      <c r="AV39" s="112">
        <f>average(60,105)</f>
        <v>82.5</v>
      </c>
      <c r="AW39" s="14">
        <f>AX39*2.54</f>
        <v>71.12</v>
      </c>
      <c r="AX39" s="106">
        <v>28.0</v>
      </c>
      <c r="AY39" s="9"/>
      <c r="AZ39" s="106" t="s">
        <v>393</v>
      </c>
      <c r="BA39" s="12"/>
      <c r="BB39" s="12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5" t="s">
        <v>394</v>
      </c>
      <c r="B40" s="9"/>
      <c r="C40" s="8"/>
      <c r="D40" s="9"/>
      <c r="E40" s="25" t="s">
        <v>34</v>
      </c>
      <c r="F40" s="9"/>
      <c r="G40" s="25">
        <v>22.0</v>
      </c>
      <c r="H40" s="9"/>
      <c r="I40" s="25">
        <v>54.0</v>
      </c>
      <c r="J40" s="25" t="s">
        <v>184</v>
      </c>
      <c r="K40" s="116" t="s">
        <v>185</v>
      </c>
      <c r="L40" s="25" t="s">
        <v>187</v>
      </c>
      <c r="M40" s="9"/>
      <c r="N40" s="41">
        <v>10.92</v>
      </c>
      <c r="O40" s="106">
        <v>42.0</v>
      </c>
      <c r="P40" s="9"/>
      <c r="Q40" s="25" t="s">
        <v>396</v>
      </c>
      <c r="R40" s="25">
        <v>1.0</v>
      </c>
      <c r="S40" s="106" t="s">
        <v>397</v>
      </c>
      <c r="T40" s="9"/>
      <c r="U40" s="25">
        <v>4.0</v>
      </c>
      <c r="V40" s="9"/>
      <c r="W40" s="14">
        <f t="shared" si="23"/>
        <v>14394.90765</v>
      </c>
      <c r="X40" s="16">
        <f>average(450,600,950,550,700,450,1050,750,400,1000)</f>
        <v>690</v>
      </c>
      <c r="Y40" s="107" t="s">
        <v>146</v>
      </c>
      <c r="Z40" s="107">
        <v>400.0</v>
      </c>
      <c r="AA40" s="107">
        <v>1050.0</v>
      </c>
      <c r="AB40" s="108">
        <f t="shared" si="24"/>
        <v>4</v>
      </c>
      <c r="AC40" s="107">
        <v>4.0</v>
      </c>
      <c r="AD40" s="107">
        <v>4.0</v>
      </c>
      <c r="AE40" s="19">
        <f>IFERROR(__xludf.DUMMYFUNCTION("AB40*GoogleFinance(""CURRENCY:GBPUSD"")"),4.98318)</f>
        <v>4.98318</v>
      </c>
      <c r="AF40" s="16">
        <f t="shared" si="25"/>
        <v>2839.307829</v>
      </c>
      <c r="AG40" s="16">
        <f t="shared" si="26"/>
        <v>10665.59982</v>
      </c>
      <c r="AH40" s="16">
        <f>IFERROR(__xludf.DUMMYFUNCTION("AI40*GoogleFinance(""CURRENCY:GBPUSD"")"),976.70328)</f>
        <v>976.70328</v>
      </c>
      <c r="AI40" s="108">
        <f t="shared" si="5"/>
        <v>784</v>
      </c>
      <c r="AJ40" s="107">
        <v>121.0</v>
      </c>
      <c r="AK40" s="107">
        <v>126.0</v>
      </c>
      <c r="AL40" s="107">
        <v>244.0</v>
      </c>
      <c r="AM40" s="107">
        <v>177.0</v>
      </c>
      <c r="AN40" s="107">
        <v>116.0</v>
      </c>
      <c r="AO40" s="107">
        <v>200.0</v>
      </c>
      <c r="AP40" s="9"/>
      <c r="AQ40" s="25" t="s">
        <v>147</v>
      </c>
      <c r="AR40" s="25" t="s">
        <v>165</v>
      </c>
      <c r="AS40" s="9"/>
      <c r="AT40" s="25" t="s">
        <v>148</v>
      </c>
      <c r="AU40" s="109" t="s">
        <v>405</v>
      </c>
      <c r="AV40" s="109" t="s">
        <v>405</v>
      </c>
      <c r="AW40" s="106" t="s">
        <v>150</v>
      </c>
      <c r="AX40" s="106" t="s">
        <v>150</v>
      </c>
      <c r="AY40" s="9"/>
      <c r="AZ40" s="12"/>
      <c r="BA40" s="12"/>
      <c r="BB40" s="12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5" t="s">
        <v>406</v>
      </c>
      <c r="B41" s="9"/>
      <c r="C41" s="8"/>
      <c r="D41" s="9"/>
      <c r="E41" s="25" t="s">
        <v>32</v>
      </c>
      <c r="F41" s="9"/>
      <c r="G41" s="25">
        <v>83.0</v>
      </c>
      <c r="H41" s="9"/>
      <c r="I41" s="25">
        <v>29.0</v>
      </c>
      <c r="J41" s="25" t="s">
        <v>142</v>
      </c>
      <c r="K41" s="25" t="s">
        <v>143</v>
      </c>
      <c r="L41" s="25" t="s">
        <v>144</v>
      </c>
      <c r="M41" s="9"/>
      <c r="N41" s="41">
        <v>10.34</v>
      </c>
      <c r="O41" s="106">
        <v>1079.0</v>
      </c>
      <c r="P41" s="9"/>
      <c r="Q41" s="25" t="s">
        <v>174</v>
      </c>
      <c r="R41" s="25">
        <v>1.0</v>
      </c>
      <c r="S41" s="106" t="s">
        <v>175</v>
      </c>
      <c r="T41" s="9"/>
      <c r="U41" s="25">
        <v>3.0</v>
      </c>
      <c r="V41" s="9"/>
      <c r="W41" s="14">
        <f t="shared" si="23"/>
        <v>15498.83369</v>
      </c>
      <c r="X41" s="16">
        <f>average(1300,800,1200,800,800,900,2500,1800,2050,1200)</f>
        <v>1335</v>
      </c>
      <c r="Y41" s="107" t="s">
        <v>160</v>
      </c>
      <c r="Z41" s="107">
        <v>800.0</v>
      </c>
      <c r="AA41" s="107">
        <v>2500.0</v>
      </c>
      <c r="AB41" s="108">
        <f t="shared" si="24"/>
        <v>5.75</v>
      </c>
      <c r="AC41" s="107">
        <v>4.0</v>
      </c>
      <c r="AD41" s="107">
        <v>7.5</v>
      </c>
      <c r="AE41" s="19">
        <f>IFERROR(__xludf.DUMMYFUNCTION("AB41*GoogleFinance(""CURRENCY:GBPUSD"")"),7.16332125)</f>
        <v>7.16332125</v>
      </c>
      <c r="AF41" s="16">
        <f t="shared" si="25"/>
        <v>3864.721771</v>
      </c>
      <c r="AG41" s="16">
        <f t="shared" si="26"/>
        <v>10099.11192</v>
      </c>
      <c r="AH41" s="16">
        <f>IFERROR(__xludf.DUMMYFUNCTION("AI41*GoogleFinance(""CURRENCY:GBPUSD"")"),976.70328)</f>
        <v>976.70328</v>
      </c>
      <c r="AI41" s="108">
        <f t="shared" si="5"/>
        <v>784</v>
      </c>
      <c r="AJ41" s="107">
        <v>121.0</v>
      </c>
      <c r="AK41" s="107">
        <v>126.0</v>
      </c>
      <c r="AL41" s="107">
        <v>244.0</v>
      </c>
      <c r="AM41" s="107">
        <v>177.0</v>
      </c>
      <c r="AN41" s="107">
        <v>116.0</v>
      </c>
      <c r="AO41" s="107">
        <v>200.0</v>
      </c>
      <c r="AP41" s="9"/>
      <c r="AQ41" s="25" t="s">
        <v>147</v>
      </c>
      <c r="AR41" s="25" t="s">
        <v>165</v>
      </c>
      <c r="AS41" s="9"/>
      <c r="AT41" s="25" t="s">
        <v>166</v>
      </c>
      <c r="AU41" s="106" t="s">
        <v>150</v>
      </c>
      <c r="AV41" s="106" t="s">
        <v>150</v>
      </c>
      <c r="AW41" s="14">
        <f t="shared" ref="AW41:AW45" si="28">AX41*2.54</f>
        <v>64.77</v>
      </c>
      <c r="AX41" s="112">
        <f>average(23.5,27.5)</f>
        <v>25.5</v>
      </c>
      <c r="AY41" s="9"/>
      <c r="AZ41" s="12"/>
      <c r="BA41" s="12"/>
      <c r="BB41" s="12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5" t="s">
        <v>411</v>
      </c>
      <c r="B42" s="9"/>
      <c r="C42" s="8"/>
      <c r="D42" s="9"/>
      <c r="E42" s="25" t="s">
        <v>38</v>
      </c>
      <c r="F42" s="9"/>
      <c r="G42" s="25">
        <v>7.0</v>
      </c>
      <c r="H42" s="9"/>
      <c r="I42" s="25">
        <v>48.0</v>
      </c>
      <c r="J42" s="25" t="s">
        <v>184</v>
      </c>
      <c r="K42" s="116" t="s">
        <v>185</v>
      </c>
      <c r="L42" s="25" t="s">
        <v>187</v>
      </c>
      <c r="M42" s="9"/>
      <c r="N42" s="41">
        <v>8.81</v>
      </c>
      <c r="O42" s="106">
        <v>2112.0</v>
      </c>
      <c r="P42" s="9"/>
      <c r="Q42" s="25" t="s">
        <v>412</v>
      </c>
      <c r="R42" s="25">
        <v>4.0</v>
      </c>
      <c r="S42" s="106" t="s">
        <v>413</v>
      </c>
      <c r="T42" s="9"/>
      <c r="U42" s="25">
        <v>5.0</v>
      </c>
      <c r="V42" s="9"/>
      <c r="W42" s="14">
        <f t="shared" si="23"/>
        <v>12797.61845</v>
      </c>
      <c r="X42" s="16">
        <f>average(500,550,700,500,650,2500,600,350,300,350)</f>
        <v>700</v>
      </c>
      <c r="Y42" s="107" t="s">
        <v>160</v>
      </c>
      <c r="Z42" s="107">
        <v>300.0</v>
      </c>
      <c r="AA42" s="107">
        <v>2500.0</v>
      </c>
      <c r="AB42" s="108">
        <f t="shared" si="24"/>
        <v>5.75</v>
      </c>
      <c r="AC42" s="107">
        <v>4.0</v>
      </c>
      <c r="AD42" s="107">
        <v>7.5</v>
      </c>
      <c r="AE42" s="19">
        <f>IFERROR(__xludf.DUMMYFUNCTION("AB42*GoogleFinance(""CURRENCY:GBPUSD"")"),7.16332125)</f>
        <v>7.16332125</v>
      </c>
      <c r="AF42" s="16">
        <f t="shared" si="25"/>
        <v>3292.862554</v>
      </c>
      <c r="AG42" s="16">
        <f t="shared" si="26"/>
        <v>8604.755897</v>
      </c>
      <c r="AH42" s="16">
        <f>IFERROR(__xludf.DUMMYFUNCTION("AI42*GoogleFinance(""CURRENCY:GBPUSD"")"),976.70328)</f>
        <v>976.70328</v>
      </c>
      <c r="AI42" s="108">
        <f t="shared" si="5"/>
        <v>784</v>
      </c>
      <c r="AJ42" s="107">
        <v>121.0</v>
      </c>
      <c r="AK42" s="107">
        <v>126.0</v>
      </c>
      <c r="AL42" s="107">
        <v>244.0</v>
      </c>
      <c r="AM42" s="107">
        <v>177.0</v>
      </c>
      <c r="AN42" s="107">
        <v>116.0</v>
      </c>
      <c r="AO42" s="107">
        <v>200.0</v>
      </c>
      <c r="AP42" s="9"/>
      <c r="AQ42" s="25" t="s">
        <v>147</v>
      </c>
      <c r="AR42" s="25" t="s">
        <v>165</v>
      </c>
      <c r="AS42" s="9"/>
      <c r="AT42" s="25" t="s">
        <v>148</v>
      </c>
      <c r="AU42" s="106" t="s">
        <v>150</v>
      </c>
      <c r="AV42" s="106" t="s">
        <v>150</v>
      </c>
      <c r="AW42" s="14">
        <f t="shared" si="28"/>
        <v>59.055</v>
      </c>
      <c r="AX42" s="112">
        <f>average(21.5,25)</f>
        <v>23.25</v>
      </c>
      <c r="AY42" s="9"/>
      <c r="AZ42" s="12"/>
      <c r="BA42" s="12"/>
      <c r="BB42" s="12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5" t="s">
        <v>420</v>
      </c>
      <c r="B43" s="9"/>
      <c r="C43" s="8"/>
      <c r="D43" s="9"/>
      <c r="E43" s="25" t="s">
        <v>27</v>
      </c>
      <c r="F43" s="9"/>
      <c r="G43" s="25">
        <v>138.0</v>
      </c>
      <c r="H43" s="9"/>
      <c r="I43" s="106" t="s">
        <v>150</v>
      </c>
      <c r="J43" s="106" t="s">
        <v>150</v>
      </c>
      <c r="K43" s="106" t="s">
        <v>150</v>
      </c>
      <c r="L43" s="106" t="s">
        <v>150</v>
      </c>
      <c r="M43" s="134"/>
      <c r="N43" s="137" t="s">
        <v>150</v>
      </c>
      <c r="O43" s="106" t="s">
        <v>182</v>
      </c>
      <c r="P43" s="134"/>
      <c r="Q43" s="106" t="s">
        <v>150</v>
      </c>
      <c r="R43" s="106" t="s">
        <v>150</v>
      </c>
      <c r="S43" s="106" t="s">
        <v>150</v>
      </c>
      <c r="T43" s="9"/>
      <c r="U43" s="25">
        <v>3.0</v>
      </c>
      <c r="V43" s="9"/>
      <c r="W43" s="115" t="s">
        <v>150</v>
      </c>
      <c r="X43" s="16">
        <f>average(500,200,800,600,500,650,500,500)</f>
        <v>531.25</v>
      </c>
      <c r="Y43" s="107" t="s">
        <v>146</v>
      </c>
      <c r="Z43" s="107">
        <v>200.0</v>
      </c>
      <c r="AA43" s="107">
        <v>800.0</v>
      </c>
      <c r="AB43" s="115" t="s">
        <v>150</v>
      </c>
      <c r="AC43" s="115" t="s">
        <v>150</v>
      </c>
      <c r="AD43" s="115" t="s">
        <v>150</v>
      </c>
      <c r="AE43" s="115" t="s">
        <v>150</v>
      </c>
      <c r="AF43" s="115" t="s">
        <v>150</v>
      </c>
      <c r="AG43" s="115" t="s">
        <v>150</v>
      </c>
      <c r="AH43" s="16">
        <f>IFERROR(__xludf.DUMMYFUNCTION("AI43*GoogleFinance(""CURRENCY:GBPUSD"")"),976.70328)</f>
        <v>976.70328</v>
      </c>
      <c r="AI43" s="108">
        <f t="shared" si="5"/>
        <v>784</v>
      </c>
      <c r="AJ43" s="107">
        <v>121.0</v>
      </c>
      <c r="AK43" s="107">
        <v>126.0</v>
      </c>
      <c r="AL43" s="107">
        <v>244.0</v>
      </c>
      <c r="AM43" s="107">
        <v>177.0</v>
      </c>
      <c r="AN43" s="107">
        <v>116.0</v>
      </c>
      <c r="AO43" s="107">
        <v>200.0</v>
      </c>
      <c r="AP43" s="9"/>
      <c r="AQ43" s="25" t="s">
        <v>182</v>
      </c>
      <c r="AR43" s="25" t="s">
        <v>182</v>
      </c>
      <c r="AS43" s="9"/>
      <c r="AT43" s="25" t="s">
        <v>148</v>
      </c>
      <c r="AU43" s="109" t="s">
        <v>150</v>
      </c>
      <c r="AV43" s="106" t="s">
        <v>150</v>
      </c>
      <c r="AW43" s="14">
        <f t="shared" si="28"/>
        <v>40.64</v>
      </c>
      <c r="AX43" s="112">
        <f>average(14,18)</f>
        <v>16</v>
      </c>
      <c r="AY43" s="9"/>
      <c r="AZ43" s="12"/>
      <c r="BA43" s="12"/>
      <c r="BB43" s="12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5" t="s">
        <v>428</v>
      </c>
      <c r="B44" s="9"/>
      <c r="C44" s="8"/>
      <c r="D44" s="9"/>
      <c r="E44" s="25" t="s">
        <v>32</v>
      </c>
      <c r="F44" s="9"/>
      <c r="G44" s="25">
        <v>125.0</v>
      </c>
      <c r="H44" s="9"/>
      <c r="I44" s="25">
        <v>30.0</v>
      </c>
      <c r="J44" s="25" t="s">
        <v>142</v>
      </c>
      <c r="K44" s="25" t="s">
        <v>143</v>
      </c>
      <c r="L44" s="25" t="s">
        <v>144</v>
      </c>
      <c r="M44" s="9"/>
      <c r="N44" s="41">
        <v>11.17</v>
      </c>
      <c r="O44" s="106">
        <v>71.0</v>
      </c>
      <c r="P44" s="9"/>
      <c r="Q44" s="25" t="s">
        <v>174</v>
      </c>
      <c r="R44" s="25">
        <v>1.0</v>
      </c>
      <c r="S44" s="106" t="s">
        <v>175</v>
      </c>
      <c r="T44" s="9"/>
      <c r="U44" s="25">
        <v>4.0</v>
      </c>
      <c r="V44" s="9"/>
      <c r="W44" s="14">
        <f t="shared" ref="W44:W50" si="29">X44+AF44+AG44+AO44</f>
        <v>15934.72169</v>
      </c>
      <c r="X44" s="16">
        <f>average(800,500)</f>
        <v>650</v>
      </c>
      <c r="Y44" s="107" t="s">
        <v>146</v>
      </c>
      <c r="Z44" s="107">
        <v>500.0</v>
      </c>
      <c r="AA44" s="107">
        <v>800.0</v>
      </c>
      <c r="AB44" s="108">
        <f t="shared" ref="AB44:AB51" si="30">average(AC44,AD44)</f>
        <v>5.75</v>
      </c>
      <c r="AC44" s="107">
        <v>4.0</v>
      </c>
      <c r="AD44" s="107">
        <v>7.5</v>
      </c>
      <c r="AE44" s="19">
        <f>IFERROR(__xludf.DUMMYFUNCTION("AB44*GoogleFinance(""CURRENCY:GBPUSD"")"),7.16332125)</f>
        <v>7.16332125</v>
      </c>
      <c r="AF44" s="16">
        <f t="shared" ref="AF44:AF51" si="31">AE44*52.1775*N44</f>
        <v>4174.946053</v>
      </c>
      <c r="AG44" s="16">
        <f t="shared" ref="AG44:AG51" si="32">AH44*N44</f>
        <v>10909.77564</v>
      </c>
      <c r="AH44" s="16">
        <f>IFERROR(__xludf.DUMMYFUNCTION("AI44*GoogleFinance(""CURRENCY:GBPUSD"")"),976.70328)</f>
        <v>976.70328</v>
      </c>
      <c r="AI44" s="108">
        <f t="shared" si="5"/>
        <v>784</v>
      </c>
      <c r="AJ44" s="107">
        <v>121.0</v>
      </c>
      <c r="AK44" s="107">
        <v>126.0</v>
      </c>
      <c r="AL44" s="107">
        <v>244.0</v>
      </c>
      <c r="AM44" s="107">
        <v>177.0</v>
      </c>
      <c r="AN44" s="107">
        <v>116.0</v>
      </c>
      <c r="AO44" s="107">
        <v>200.0</v>
      </c>
      <c r="AP44" s="9"/>
      <c r="AQ44" s="25" t="s">
        <v>164</v>
      </c>
      <c r="AR44" s="25" t="s">
        <v>165</v>
      </c>
      <c r="AS44" s="9"/>
      <c r="AT44" s="25" t="s">
        <v>166</v>
      </c>
      <c r="AU44" s="106" t="s">
        <v>150</v>
      </c>
      <c r="AV44" s="106" t="s">
        <v>150</v>
      </c>
      <c r="AW44" s="14">
        <f t="shared" si="28"/>
        <v>62.23</v>
      </c>
      <c r="AX44" s="112">
        <f>average(22,27)</f>
        <v>24.5</v>
      </c>
      <c r="AY44" s="9"/>
      <c r="AZ44" s="106" t="s">
        <v>439</v>
      </c>
      <c r="BA44" s="12"/>
      <c r="BB44" s="12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5" t="s">
        <v>263</v>
      </c>
      <c r="B45" s="9"/>
      <c r="C45" s="8"/>
      <c r="D45" s="9"/>
      <c r="E45" s="25" t="s">
        <v>27</v>
      </c>
      <c r="F45" s="9"/>
      <c r="G45" s="25">
        <v>30.0</v>
      </c>
      <c r="H45" s="9"/>
      <c r="I45" s="25">
        <v>19.0</v>
      </c>
      <c r="J45" s="25" t="s">
        <v>267</v>
      </c>
      <c r="K45" s="116" t="s">
        <v>268</v>
      </c>
      <c r="L45" s="25" t="s">
        <v>269</v>
      </c>
      <c r="M45" s="9"/>
      <c r="N45" s="41">
        <v>12.92</v>
      </c>
      <c r="O45" s="106">
        <v>28.0</v>
      </c>
      <c r="P45" s="9"/>
      <c r="Q45" s="25" t="s">
        <v>145</v>
      </c>
      <c r="R45" s="25">
        <v>0.0</v>
      </c>
      <c r="S45" s="106" t="s">
        <v>145</v>
      </c>
      <c r="T45" s="9"/>
      <c r="U45" s="25">
        <v>4.0</v>
      </c>
      <c r="V45" s="9"/>
      <c r="W45" s="14">
        <f t="shared" si="29"/>
        <v>18265.53977</v>
      </c>
      <c r="X45" s="16">
        <f>average(375,350,500,600,500,650,300,800,900,1200)</f>
        <v>617.5</v>
      </c>
      <c r="Y45" s="107" t="s">
        <v>146</v>
      </c>
      <c r="Z45" s="107">
        <v>300.0</v>
      </c>
      <c r="AA45" s="107">
        <v>1200.0</v>
      </c>
      <c r="AB45" s="108">
        <f t="shared" si="30"/>
        <v>5.75</v>
      </c>
      <c r="AC45" s="107">
        <v>4.0</v>
      </c>
      <c r="AD45" s="107">
        <v>7.5</v>
      </c>
      <c r="AE45" s="19">
        <f>IFERROR(__xludf.DUMMYFUNCTION("AB45*GoogleFinance(""CURRENCY:GBPUSD"")"),7.16332125)</f>
        <v>7.16332125</v>
      </c>
      <c r="AF45" s="16">
        <f t="shared" si="31"/>
        <v>4829.033393</v>
      </c>
      <c r="AG45" s="16">
        <f t="shared" si="32"/>
        <v>12619.00638</v>
      </c>
      <c r="AH45" s="16">
        <f>IFERROR(__xludf.DUMMYFUNCTION("AI45*GoogleFinance(""CURRENCY:GBPUSD"")"),976.70328)</f>
        <v>976.70328</v>
      </c>
      <c r="AI45" s="108">
        <f t="shared" si="5"/>
        <v>784</v>
      </c>
      <c r="AJ45" s="107">
        <v>121.0</v>
      </c>
      <c r="AK45" s="107">
        <v>126.0</v>
      </c>
      <c r="AL45" s="107">
        <v>244.0</v>
      </c>
      <c r="AM45" s="107">
        <v>177.0</v>
      </c>
      <c r="AN45" s="107">
        <v>116.0</v>
      </c>
      <c r="AO45" s="107">
        <v>200.0</v>
      </c>
      <c r="AP45" s="9"/>
      <c r="AQ45" s="25" t="s">
        <v>147</v>
      </c>
      <c r="AR45" s="25" t="s">
        <v>148</v>
      </c>
      <c r="AS45" s="9"/>
      <c r="AT45" s="25" t="s">
        <v>148</v>
      </c>
      <c r="AU45" s="14">
        <f t="shared" ref="AU45:AU51" si="33">AV45*0.45359237</f>
        <v>15.87573295</v>
      </c>
      <c r="AV45" s="112">
        <f>average(30,40)</f>
        <v>35</v>
      </c>
      <c r="AW45" s="14">
        <f t="shared" si="28"/>
        <v>48.26</v>
      </c>
      <c r="AX45" s="112">
        <f>average(17.5,20.5)</f>
        <v>19</v>
      </c>
      <c r="AY45" s="9"/>
      <c r="AZ45" s="12"/>
      <c r="BA45" s="12"/>
      <c r="BB45" s="12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5" t="s">
        <v>445</v>
      </c>
      <c r="B46" s="9"/>
      <c r="C46" s="8"/>
      <c r="D46" s="9"/>
      <c r="E46" s="25" t="s">
        <v>43</v>
      </c>
      <c r="F46" s="9"/>
      <c r="G46" s="25">
        <v>77.0</v>
      </c>
      <c r="H46" s="9"/>
      <c r="I46" s="25">
        <v>59.0</v>
      </c>
      <c r="J46" s="25" t="s">
        <v>400</v>
      </c>
      <c r="K46" s="25" t="s">
        <v>401</v>
      </c>
      <c r="L46" s="25" t="s">
        <v>402</v>
      </c>
      <c r="M46" s="9"/>
      <c r="N46" s="41">
        <v>12.0</v>
      </c>
      <c r="O46" s="106">
        <v>71.0</v>
      </c>
      <c r="P46" s="9"/>
      <c r="Q46" s="25" t="s">
        <v>145</v>
      </c>
      <c r="R46" s="25">
        <v>0.0</v>
      </c>
      <c r="S46" s="106" t="s">
        <v>145</v>
      </c>
      <c r="T46" s="9"/>
      <c r="U46" s="25">
        <v>5.0</v>
      </c>
      <c r="V46" s="9"/>
      <c r="W46" s="14">
        <f t="shared" si="29"/>
        <v>15873.05785</v>
      </c>
      <c r="X46" s="16">
        <f>average(500,700,725,650,750,500,800,1000,1500,1200)</f>
        <v>832.5</v>
      </c>
      <c r="Y46" s="107" t="s">
        <v>160</v>
      </c>
      <c r="Z46" s="107">
        <v>500.0</v>
      </c>
      <c r="AA46" s="107">
        <v>1500.0</v>
      </c>
      <c r="AB46" s="108">
        <f t="shared" si="30"/>
        <v>4</v>
      </c>
      <c r="AC46" s="107">
        <v>4.0</v>
      </c>
      <c r="AD46" s="107">
        <v>4.0</v>
      </c>
      <c r="AE46" s="19">
        <f>IFERROR(__xludf.DUMMYFUNCTION("AB46*GoogleFinance(""CURRENCY:GBPUSD"")"),4.98318)</f>
        <v>4.98318</v>
      </c>
      <c r="AF46" s="16">
        <f t="shared" si="31"/>
        <v>3120.118493</v>
      </c>
      <c r="AG46" s="16">
        <f t="shared" si="32"/>
        <v>11720.43936</v>
      </c>
      <c r="AH46" s="16">
        <f>IFERROR(__xludf.DUMMYFUNCTION("AI46*GoogleFinance(""CURRENCY:GBPUSD"")"),976.70328)</f>
        <v>976.70328</v>
      </c>
      <c r="AI46" s="108">
        <f t="shared" si="5"/>
        <v>784</v>
      </c>
      <c r="AJ46" s="107">
        <v>121.0</v>
      </c>
      <c r="AK46" s="107">
        <v>126.0</v>
      </c>
      <c r="AL46" s="107">
        <v>244.0</v>
      </c>
      <c r="AM46" s="107">
        <v>177.0</v>
      </c>
      <c r="AN46" s="107">
        <v>116.0</v>
      </c>
      <c r="AO46" s="107">
        <v>200.0</v>
      </c>
      <c r="AP46" s="9"/>
      <c r="AQ46" s="25" t="s">
        <v>147</v>
      </c>
      <c r="AR46" s="25" t="s">
        <v>209</v>
      </c>
      <c r="AS46" s="9"/>
      <c r="AT46" s="25" t="s">
        <v>149</v>
      </c>
      <c r="AU46" s="14">
        <f t="shared" si="33"/>
        <v>4.08233133</v>
      </c>
      <c r="AV46" s="112">
        <f>average(8,10)</f>
        <v>9</v>
      </c>
      <c r="AW46" s="106" t="s">
        <v>150</v>
      </c>
      <c r="AX46" s="106" t="s">
        <v>150</v>
      </c>
      <c r="AY46" s="9"/>
      <c r="AZ46" s="12"/>
      <c r="BA46" s="12"/>
      <c r="BB46" s="12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5" t="s">
        <v>451</v>
      </c>
      <c r="B47" s="9"/>
      <c r="C47" s="8"/>
      <c r="D47" s="9"/>
      <c r="E47" s="25" t="s">
        <v>23</v>
      </c>
      <c r="F47" s="9"/>
      <c r="G47" s="25">
        <v>51.0</v>
      </c>
      <c r="H47" s="9"/>
      <c r="I47" s="25">
        <v>66.0</v>
      </c>
      <c r="J47" s="25" t="s">
        <v>400</v>
      </c>
      <c r="K47" s="25" t="s">
        <v>401</v>
      </c>
      <c r="L47" s="25" t="s">
        <v>402</v>
      </c>
      <c r="M47" s="9"/>
      <c r="N47" s="41">
        <v>10.21</v>
      </c>
      <c r="O47" s="106">
        <v>225.0</v>
      </c>
      <c r="P47" s="9"/>
      <c r="Q47" s="25" t="s">
        <v>453</v>
      </c>
      <c r="R47" s="25">
        <v>2.0</v>
      </c>
      <c r="S47" s="106" t="s">
        <v>454</v>
      </c>
      <c r="T47" s="9"/>
      <c r="U47" s="25">
        <v>1.0</v>
      </c>
      <c r="V47" s="9"/>
      <c r="W47" s="14">
        <f t="shared" si="29"/>
        <v>15073.27291</v>
      </c>
      <c r="X47" s="16">
        <f>average(600,1500,1500,300,1750,1600,500,1300,600,1200)</f>
        <v>1085</v>
      </c>
      <c r="Y47" s="107" t="s">
        <v>160</v>
      </c>
      <c r="Z47" s="107">
        <v>300.0</v>
      </c>
      <c r="AA47" s="107">
        <v>1750.0</v>
      </c>
      <c r="AB47" s="108">
        <f t="shared" si="30"/>
        <v>5.75</v>
      </c>
      <c r="AC47" s="107">
        <v>4.0</v>
      </c>
      <c r="AD47" s="107">
        <v>7.5</v>
      </c>
      <c r="AE47" s="19">
        <f>IFERROR(__xludf.DUMMYFUNCTION("AB47*GoogleFinance(""CURRENCY:GBPUSD"")"),7.16332125)</f>
        <v>7.16332125</v>
      </c>
      <c r="AF47" s="16">
        <f t="shared" si="31"/>
        <v>3816.132426</v>
      </c>
      <c r="AG47" s="16">
        <f t="shared" si="32"/>
        <v>9972.140489</v>
      </c>
      <c r="AH47" s="16">
        <f>IFERROR(__xludf.DUMMYFUNCTION("AI47*GoogleFinance(""CURRENCY:GBPUSD"")"),976.70328)</f>
        <v>976.70328</v>
      </c>
      <c r="AI47" s="108">
        <f t="shared" si="5"/>
        <v>784</v>
      </c>
      <c r="AJ47" s="107">
        <v>121.0</v>
      </c>
      <c r="AK47" s="107">
        <v>126.0</v>
      </c>
      <c r="AL47" s="107">
        <v>244.0</v>
      </c>
      <c r="AM47" s="107">
        <v>177.0</v>
      </c>
      <c r="AN47" s="107">
        <v>116.0</v>
      </c>
      <c r="AO47" s="107">
        <v>200.0</v>
      </c>
      <c r="AP47" s="9"/>
      <c r="AQ47" s="25" t="s">
        <v>147</v>
      </c>
      <c r="AR47" s="25" t="s">
        <v>148</v>
      </c>
      <c r="AS47" s="9"/>
      <c r="AT47" s="25" t="s">
        <v>148</v>
      </c>
      <c r="AU47" s="14">
        <f t="shared" si="33"/>
        <v>27.2155422</v>
      </c>
      <c r="AV47" s="112">
        <f>average(50,70)</f>
        <v>60</v>
      </c>
      <c r="AW47" s="14">
        <f>AX47*2.54</f>
        <v>54.61</v>
      </c>
      <c r="AX47" s="112">
        <f>average(21,22)</f>
        <v>21.5</v>
      </c>
      <c r="AY47" s="9"/>
      <c r="AZ47" s="12"/>
      <c r="BA47" s="12"/>
      <c r="BB47" s="12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5" t="s">
        <v>50</v>
      </c>
      <c r="B48" s="9"/>
      <c r="C48" s="8"/>
      <c r="D48" s="9"/>
      <c r="E48" s="25" t="s">
        <v>34</v>
      </c>
      <c r="F48" s="9"/>
      <c r="G48" s="25">
        <v>6.0</v>
      </c>
      <c r="H48" s="9"/>
      <c r="I48" s="25">
        <v>78.0</v>
      </c>
      <c r="J48" s="25" t="s">
        <v>157</v>
      </c>
      <c r="K48" s="25" t="s">
        <v>158</v>
      </c>
      <c r="L48" s="25" t="s">
        <v>159</v>
      </c>
      <c r="M48" s="9"/>
      <c r="N48" s="41">
        <v>6.29</v>
      </c>
      <c r="O48" s="106">
        <v>197.0</v>
      </c>
      <c r="P48" s="9"/>
      <c r="Q48" s="25" t="s">
        <v>463</v>
      </c>
      <c r="R48" s="25">
        <v>5.0</v>
      </c>
      <c r="S48" s="106" t="s">
        <v>464</v>
      </c>
      <c r="T48" s="9"/>
      <c r="U48" s="25">
        <v>1.0</v>
      </c>
      <c r="V48" s="9"/>
      <c r="W48" s="14">
        <f t="shared" si="29"/>
        <v>11374.44041</v>
      </c>
      <c r="X48" s="16">
        <f>average(1800,2500,1900,5500,2000,2500,1800,5500,1800,1500)</f>
        <v>2680</v>
      </c>
      <c r="Y48" s="107" t="s">
        <v>372</v>
      </c>
      <c r="Z48" s="107">
        <v>1500.0</v>
      </c>
      <c r="AA48" s="107">
        <v>5500.0</v>
      </c>
      <c r="AB48" s="108">
        <f t="shared" si="30"/>
        <v>5.75</v>
      </c>
      <c r="AC48" s="107">
        <v>4.0</v>
      </c>
      <c r="AD48" s="107">
        <v>7.5</v>
      </c>
      <c r="AE48" s="19">
        <f>IFERROR(__xludf.DUMMYFUNCTION("AB48*GoogleFinance(""CURRENCY:GBPUSD"")"),7.16332125)</f>
        <v>7.16332125</v>
      </c>
      <c r="AF48" s="16">
        <f t="shared" si="31"/>
        <v>2350.976784</v>
      </c>
      <c r="AG48" s="16">
        <f t="shared" si="32"/>
        <v>6143.463631</v>
      </c>
      <c r="AH48" s="16">
        <f>IFERROR(__xludf.DUMMYFUNCTION("AI48*GoogleFinance(""CURRENCY:GBPUSD"")"),976.70328)</f>
        <v>976.70328</v>
      </c>
      <c r="AI48" s="108">
        <f t="shared" si="5"/>
        <v>784</v>
      </c>
      <c r="AJ48" s="107">
        <v>121.0</v>
      </c>
      <c r="AK48" s="107">
        <v>126.0</v>
      </c>
      <c r="AL48" s="107">
        <v>244.0</v>
      </c>
      <c r="AM48" s="107">
        <v>177.0</v>
      </c>
      <c r="AN48" s="107">
        <v>116.0</v>
      </c>
      <c r="AO48" s="107">
        <v>200.0</v>
      </c>
      <c r="AP48" s="9"/>
      <c r="AQ48" s="25" t="s">
        <v>147</v>
      </c>
      <c r="AR48" s="25" t="s">
        <v>148</v>
      </c>
      <c r="AS48" s="9"/>
      <c r="AT48" s="25" t="s">
        <v>148</v>
      </c>
      <c r="AU48" s="14">
        <f t="shared" si="33"/>
        <v>20.41165665</v>
      </c>
      <c r="AV48" s="112">
        <f>average(40,50)</f>
        <v>45</v>
      </c>
      <c r="AW48" s="106" t="s">
        <v>150</v>
      </c>
      <c r="AX48" s="106" t="s">
        <v>150</v>
      </c>
      <c r="AY48" s="9"/>
      <c r="AZ48" s="106" t="s">
        <v>469</v>
      </c>
      <c r="BA48" s="12"/>
      <c r="BB48" s="12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5" t="s">
        <v>55</v>
      </c>
      <c r="B49" s="9"/>
      <c r="C49" s="8"/>
      <c r="D49" s="9"/>
      <c r="E49" s="25" t="s">
        <v>38</v>
      </c>
      <c r="F49" s="9"/>
      <c r="G49" s="25">
        <v>40.0</v>
      </c>
      <c r="H49" s="9"/>
      <c r="I49" s="25">
        <v>69.0</v>
      </c>
      <c r="J49" s="25" t="s">
        <v>400</v>
      </c>
      <c r="K49" s="25" t="s">
        <v>401</v>
      </c>
      <c r="L49" s="25" t="s">
        <v>402</v>
      </c>
      <c r="M49" s="9"/>
      <c r="N49" s="41">
        <v>7.57</v>
      </c>
      <c r="O49" s="106">
        <v>103.0</v>
      </c>
      <c r="P49" s="9"/>
      <c r="Q49" s="25" t="s">
        <v>470</v>
      </c>
      <c r="R49" s="25">
        <v>2.0</v>
      </c>
      <c r="S49" s="106" t="s">
        <v>471</v>
      </c>
      <c r="T49" s="9"/>
      <c r="U49" s="25">
        <v>4.0</v>
      </c>
      <c r="V49" s="9"/>
      <c r="W49" s="14">
        <f t="shared" si="29"/>
        <v>11403.03878</v>
      </c>
      <c r="X49" s="16">
        <f>average(600,750,850,1200,600,1000,1200,1000,1000,1600)</f>
        <v>980</v>
      </c>
      <c r="Y49" s="107" t="s">
        <v>160</v>
      </c>
      <c r="Z49" s="107">
        <v>600.0</v>
      </c>
      <c r="AA49" s="107">
        <v>1600.0</v>
      </c>
      <c r="AB49" s="108">
        <f t="shared" si="30"/>
        <v>5.75</v>
      </c>
      <c r="AC49" s="107">
        <v>4.0</v>
      </c>
      <c r="AD49" s="107">
        <v>7.5</v>
      </c>
      <c r="AE49" s="19">
        <f>IFERROR(__xludf.DUMMYFUNCTION("AB49*GoogleFinance(""CURRENCY:GBPUSD"")"),7.16332125)</f>
        <v>7.16332125</v>
      </c>
      <c r="AF49" s="16">
        <f t="shared" si="31"/>
        <v>2829.394953</v>
      </c>
      <c r="AG49" s="16">
        <f t="shared" si="32"/>
        <v>7393.64383</v>
      </c>
      <c r="AH49" s="16">
        <f>IFERROR(__xludf.DUMMYFUNCTION("AI49*GoogleFinance(""CURRENCY:GBPUSD"")"),976.70328)</f>
        <v>976.70328</v>
      </c>
      <c r="AI49" s="108">
        <f t="shared" si="5"/>
        <v>784</v>
      </c>
      <c r="AJ49" s="107">
        <v>121.0</v>
      </c>
      <c r="AK49" s="107">
        <v>126.0</v>
      </c>
      <c r="AL49" s="107">
        <v>244.0</v>
      </c>
      <c r="AM49" s="107">
        <v>177.0</v>
      </c>
      <c r="AN49" s="107">
        <v>116.0</v>
      </c>
      <c r="AO49" s="107">
        <v>200.0</v>
      </c>
      <c r="AP49" s="9"/>
      <c r="AQ49" s="25" t="s">
        <v>147</v>
      </c>
      <c r="AR49" s="25" t="s">
        <v>165</v>
      </c>
      <c r="AS49" s="9"/>
      <c r="AT49" s="25" t="s">
        <v>166</v>
      </c>
      <c r="AU49" s="14">
        <f t="shared" si="33"/>
        <v>52.16312255</v>
      </c>
      <c r="AV49" s="112">
        <f>average(100,130)</f>
        <v>115</v>
      </c>
      <c r="AW49" s="14">
        <f t="shared" ref="AW49:AW56" si="34">AX49*2.54</f>
        <v>64.77</v>
      </c>
      <c r="AX49" s="112">
        <f>average(24,27)</f>
        <v>25.5</v>
      </c>
      <c r="AY49" s="9"/>
      <c r="AZ49" s="12"/>
      <c r="BA49" s="12"/>
      <c r="BB49" s="12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5" t="s">
        <v>25</v>
      </c>
      <c r="B50" s="9"/>
      <c r="C50" s="8"/>
      <c r="D50" s="9"/>
      <c r="E50" s="25" t="s">
        <v>23</v>
      </c>
      <c r="F50" s="9"/>
      <c r="G50" s="25">
        <v>59.0</v>
      </c>
      <c r="H50" s="9"/>
      <c r="I50" s="25">
        <v>35.0</v>
      </c>
      <c r="J50" s="25" t="s">
        <v>142</v>
      </c>
      <c r="K50" s="25" t="s">
        <v>143</v>
      </c>
      <c r="L50" s="25" t="s">
        <v>144</v>
      </c>
      <c r="M50" s="9"/>
      <c r="N50" s="41">
        <v>13.84</v>
      </c>
      <c r="O50" s="106">
        <v>156.0</v>
      </c>
      <c r="P50" s="9"/>
      <c r="Q50" s="116" t="s">
        <v>276</v>
      </c>
      <c r="R50" s="25">
        <v>2.0</v>
      </c>
      <c r="S50" s="106" t="s">
        <v>277</v>
      </c>
      <c r="T50" s="9"/>
      <c r="U50" s="25">
        <v>4.0</v>
      </c>
      <c r="V50" s="9"/>
      <c r="W50" s="14">
        <f t="shared" si="29"/>
        <v>17751.11006</v>
      </c>
      <c r="X50" s="16">
        <f>average(450,450,500,400,300,450,600,500,300,400)</f>
        <v>435</v>
      </c>
      <c r="Y50" s="107" t="s">
        <v>146</v>
      </c>
      <c r="Z50" s="107">
        <v>300.0</v>
      </c>
      <c r="AA50" s="107">
        <v>600.0</v>
      </c>
      <c r="AB50" s="108">
        <f t="shared" si="30"/>
        <v>4</v>
      </c>
      <c r="AC50" s="107">
        <v>4.0</v>
      </c>
      <c r="AD50" s="107">
        <v>4.0</v>
      </c>
      <c r="AE50" s="19">
        <f>IFERROR(__xludf.DUMMYFUNCTION("AB50*GoogleFinance(""CURRENCY:GBPUSD"")"),4.98318)</f>
        <v>4.98318</v>
      </c>
      <c r="AF50" s="16">
        <f t="shared" si="31"/>
        <v>3598.536662</v>
      </c>
      <c r="AG50" s="16">
        <f t="shared" si="32"/>
        <v>13517.5734</v>
      </c>
      <c r="AH50" s="16">
        <f>IFERROR(__xludf.DUMMYFUNCTION("AI50*GoogleFinance(""CURRENCY:GBPUSD"")"),976.70328)</f>
        <v>976.70328</v>
      </c>
      <c r="AI50" s="108">
        <f t="shared" si="5"/>
        <v>784</v>
      </c>
      <c r="AJ50" s="107">
        <v>121.0</v>
      </c>
      <c r="AK50" s="107">
        <v>126.0</v>
      </c>
      <c r="AL50" s="107">
        <v>244.0</v>
      </c>
      <c r="AM50" s="107">
        <v>177.0</v>
      </c>
      <c r="AN50" s="107">
        <v>116.0</v>
      </c>
      <c r="AO50" s="107">
        <v>200.0</v>
      </c>
      <c r="AP50" s="9"/>
      <c r="AQ50" s="25" t="s">
        <v>147</v>
      </c>
      <c r="AR50" s="25" t="s">
        <v>165</v>
      </c>
      <c r="AS50" s="9"/>
      <c r="AT50" s="25" t="s">
        <v>149</v>
      </c>
      <c r="AU50" s="14">
        <f t="shared" si="33"/>
        <v>6.35029318</v>
      </c>
      <c r="AV50" s="106">
        <v>14.0</v>
      </c>
      <c r="AW50" s="14">
        <f t="shared" si="34"/>
        <v>25.4</v>
      </c>
      <c r="AX50" s="106">
        <v>10.0</v>
      </c>
      <c r="AY50" s="9"/>
      <c r="AZ50" s="12"/>
      <c r="BA50" s="12"/>
      <c r="BB50" s="12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5" t="s">
        <v>479</v>
      </c>
      <c r="B51" s="9"/>
      <c r="C51" s="8"/>
      <c r="D51" s="9"/>
      <c r="E51" s="25" t="s">
        <v>32</v>
      </c>
      <c r="F51" s="9"/>
      <c r="G51" s="25">
        <v>168.0</v>
      </c>
      <c r="H51" s="9"/>
      <c r="I51" s="106" t="s">
        <v>150</v>
      </c>
      <c r="J51" s="106" t="s">
        <v>150</v>
      </c>
      <c r="K51" s="106" t="s">
        <v>150</v>
      </c>
      <c r="L51" s="106" t="s">
        <v>150</v>
      </c>
      <c r="M51" s="9"/>
      <c r="N51" s="41">
        <v>14.67</v>
      </c>
      <c r="O51" s="106">
        <v>2.0</v>
      </c>
      <c r="P51" s="9"/>
      <c r="Q51" s="25" t="s">
        <v>145</v>
      </c>
      <c r="R51" s="25">
        <v>0.0</v>
      </c>
      <c r="S51" s="106" t="s">
        <v>145</v>
      </c>
      <c r="T51" s="9"/>
      <c r="U51" s="25">
        <v>3.0</v>
      </c>
      <c r="V51" s="9"/>
      <c r="W51" s="115" t="s">
        <v>150</v>
      </c>
      <c r="X51" s="171">
        <v>2012.0</v>
      </c>
      <c r="Y51" s="115" t="s">
        <v>372</v>
      </c>
      <c r="Z51" s="115" t="s">
        <v>150</v>
      </c>
      <c r="AA51" s="115" t="s">
        <v>150</v>
      </c>
      <c r="AB51" s="108">
        <f t="shared" si="30"/>
        <v>5.75</v>
      </c>
      <c r="AC51" s="107">
        <v>4.0</v>
      </c>
      <c r="AD51" s="107">
        <v>7.5</v>
      </c>
      <c r="AE51" s="19">
        <f>IFERROR(__xludf.DUMMYFUNCTION("AB51*GoogleFinance(""CURRENCY:GBPUSD"")"),7.16332125)</f>
        <v>7.16332125</v>
      </c>
      <c r="AF51" s="16">
        <f t="shared" si="31"/>
        <v>5483.120734</v>
      </c>
      <c r="AG51" s="16">
        <f t="shared" si="32"/>
        <v>14328.23712</v>
      </c>
      <c r="AH51" s="16">
        <f>IFERROR(__xludf.DUMMYFUNCTION("AI51*GoogleFinance(""CURRENCY:GBPUSD"")"),976.70328)</f>
        <v>976.70328</v>
      </c>
      <c r="AI51" s="108">
        <f t="shared" si="5"/>
        <v>784</v>
      </c>
      <c r="AJ51" s="107">
        <v>121.0</v>
      </c>
      <c r="AK51" s="107">
        <v>126.0</v>
      </c>
      <c r="AL51" s="107">
        <v>244.0</v>
      </c>
      <c r="AM51" s="107">
        <v>177.0</v>
      </c>
      <c r="AN51" s="107">
        <v>116.0</v>
      </c>
      <c r="AO51" s="107">
        <v>200.0</v>
      </c>
      <c r="AP51" s="9"/>
      <c r="AQ51" s="25" t="s">
        <v>147</v>
      </c>
      <c r="AR51" s="25" t="s">
        <v>165</v>
      </c>
      <c r="AS51" s="9"/>
      <c r="AT51" s="25" t="s">
        <v>148</v>
      </c>
      <c r="AU51" s="14">
        <f t="shared" si="33"/>
        <v>20.41165665</v>
      </c>
      <c r="AV51" s="112">
        <f>average(35,55)</f>
        <v>45</v>
      </c>
      <c r="AW51" s="14">
        <f t="shared" si="34"/>
        <v>54.61</v>
      </c>
      <c r="AX51" s="112">
        <f>average(19,24)</f>
        <v>21.5</v>
      </c>
      <c r="AY51" s="9"/>
      <c r="AZ51" s="12"/>
      <c r="BA51" s="12"/>
      <c r="BB51" s="12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5" t="s">
        <v>484</v>
      </c>
      <c r="B52" s="9"/>
      <c r="C52" s="8"/>
      <c r="D52" s="9"/>
      <c r="E52" s="25" t="s">
        <v>38</v>
      </c>
      <c r="F52" s="9"/>
      <c r="G52" s="25">
        <v>67.0</v>
      </c>
      <c r="H52" s="9"/>
      <c r="I52" s="106" t="s">
        <v>150</v>
      </c>
      <c r="J52" s="106" t="s">
        <v>150</v>
      </c>
      <c r="K52" s="106" t="s">
        <v>150</v>
      </c>
      <c r="L52" s="106" t="s">
        <v>150</v>
      </c>
      <c r="M52" s="134"/>
      <c r="N52" s="106" t="s">
        <v>150</v>
      </c>
      <c r="O52" s="106" t="s">
        <v>182</v>
      </c>
      <c r="P52" s="134"/>
      <c r="Q52" s="106" t="s">
        <v>150</v>
      </c>
      <c r="R52" s="106" t="s">
        <v>150</v>
      </c>
      <c r="S52" s="106" t="s">
        <v>150</v>
      </c>
      <c r="T52" s="9"/>
      <c r="U52" s="25">
        <v>1.0</v>
      </c>
      <c r="V52" s="9"/>
      <c r="W52" s="115" t="s">
        <v>150</v>
      </c>
      <c r="X52" s="16">
        <f>average(1300,1000,500,1500,1000,1000,1500,1000,900,1000)</f>
        <v>1070</v>
      </c>
      <c r="Y52" s="107" t="s">
        <v>160</v>
      </c>
      <c r="Z52" s="107">
        <v>900.0</v>
      </c>
      <c r="AA52" s="107">
        <v>1500.0</v>
      </c>
      <c r="AB52" s="115" t="s">
        <v>150</v>
      </c>
      <c r="AC52" s="115" t="s">
        <v>150</v>
      </c>
      <c r="AD52" s="115" t="s">
        <v>150</v>
      </c>
      <c r="AE52" s="115" t="s">
        <v>150</v>
      </c>
      <c r="AF52" s="115" t="s">
        <v>150</v>
      </c>
      <c r="AG52" s="115" t="s">
        <v>150</v>
      </c>
      <c r="AH52" s="16">
        <f>IFERROR(__xludf.DUMMYFUNCTION("AI52*GoogleFinance(""CURRENCY:GBPUSD"")"),976.70328)</f>
        <v>976.70328</v>
      </c>
      <c r="AI52" s="108">
        <f t="shared" si="5"/>
        <v>784</v>
      </c>
      <c r="AJ52" s="107">
        <v>121.0</v>
      </c>
      <c r="AK52" s="107">
        <v>126.0</v>
      </c>
      <c r="AL52" s="107">
        <v>244.0</v>
      </c>
      <c r="AM52" s="107">
        <v>177.0</v>
      </c>
      <c r="AN52" s="107">
        <v>116.0</v>
      </c>
      <c r="AO52" s="107">
        <v>200.0</v>
      </c>
      <c r="AP52" s="9"/>
      <c r="AQ52" s="25" t="s">
        <v>182</v>
      </c>
      <c r="AR52" s="25" t="s">
        <v>182</v>
      </c>
      <c r="AS52" s="9"/>
      <c r="AT52" s="25" t="s">
        <v>166</v>
      </c>
      <c r="AU52" s="106" t="s">
        <v>150</v>
      </c>
      <c r="AV52" s="106" t="s">
        <v>150</v>
      </c>
      <c r="AW52" s="14">
        <f t="shared" si="34"/>
        <v>63.5</v>
      </c>
      <c r="AX52" s="112">
        <f>average(23,27)</f>
        <v>25</v>
      </c>
      <c r="AY52" s="9"/>
      <c r="AZ52" s="12"/>
      <c r="BA52" s="12"/>
      <c r="BB52" s="12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5" t="s">
        <v>487</v>
      </c>
      <c r="B53" s="9"/>
      <c r="C53" s="8"/>
      <c r="D53" s="9"/>
      <c r="E53" s="25" t="s">
        <v>32</v>
      </c>
      <c r="F53" s="9"/>
      <c r="G53" s="25">
        <v>81.0</v>
      </c>
      <c r="H53" s="9"/>
      <c r="I53" s="25">
        <v>26.0</v>
      </c>
      <c r="J53" s="25" t="s">
        <v>267</v>
      </c>
      <c r="K53" s="116" t="s">
        <v>268</v>
      </c>
      <c r="L53" s="25" t="s">
        <v>269</v>
      </c>
      <c r="M53" s="9"/>
      <c r="N53" s="41">
        <v>12.7</v>
      </c>
      <c r="O53" s="106">
        <v>53.0</v>
      </c>
      <c r="P53" s="9"/>
      <c r="Q53" s="25" t="s">
        <v>145</v>
      </c>
      <c r="R53" s="25">
        <v>0.0</v>
      </c>
      <c r="S53" s="106" t="s">
        <v>145</v>
      </c>
      <c r="T53" s="9"/>
      <c r="U53" s="25">
        <v>4.0</v>
      </c>
      <c r="V53" s="9"/>
      <c r="W53" s="115" t="s">
        <v>150</v>
      </c>
      <c r="X53" s="16">
        <f>average(1085,395,900,700,800,1000,950,850,800,800)</f>
        <v>828</v>
      </c>
      <c r="Y53" s="107" t="s">
        <v>160</v>
      </c>
      <c r="Z53" s="107">
        <v>395.0</v>
      </c>
      <c r="AA53" s="107">
        <v>1085.0</v>
      </c>
      <c r="AB53" s="115" t="s">
        <v>150</v>
      </c>
      <c r="AC53" s="115" t="s">
        <v>150</v>
      </c>
      <c r="AD53" s="115" t="s">
        <v>150</v>
      </c>
      <c r="AE53" s="115" t="s">
        <v>150</v>
      </c>
      <c r="AF53" s="115" t="s">
        <v>150</v>
      </c>
      <c r="AG53" s="16">
        <f t="shared" ref="AG53:AG56" si="35">AH53*N53</f>
        <v>12404.13166</v>
      </c>
      <c r="AH53" s="16">
        <f>IFERROR(__xludf.DUMMYFUNCTION("AI53*GoogleFinance(""CURRENCY:GBPUSD"")"),976.70328)</f>
        <v>976.70328</v>
      </c>
      <c r="AI53" s="108">
        <f t="shared" si="5"/>
        <v>784</v>
      </c>
      <c r="AJ53" s="107">
        <v>121.0</v>
      </c>
      <c r="AK53" s="107">
        <v>126.0</v>
      </c>
      <c r="AL53" s="107">
        <v>244.0</v>
      </c>
      <c r="AM53" s="107">
        <v>177.0</v>
      </c>
      <c r="AN53" s="107">
        <v>116.0</v>
      </c>
      <c r="AO53" s="107">
        <v>200.0</v>
      </c>
      <c r="AP53" s="9"/>
      <c r="AQ53" s="25" t="s">
        <v>182</v>
      </c>
      <c r="AR53" s="25" t="s">
        <v>182</v>
      </c>
      <c r="AS53" s="9"/>
      <c r="AT53" s="25" t="s">
        <v>149</v>
      </c>
      <c r="AU53" s="14">
        <f t="shared" ref="AU53:AU57" si="36">AV53*0.45359237</f>
        <v>14.28815966</v>
      </c>
      <c r="AV53" s="112">
        <f>average(25,38)</f>
        <v>31.5</v>
      </c>
      <c r="AW53" s="14">
        <f t="shared" si="34"/>
        <v>29.21</v>
      </c>
      <c r="AX53" s="112">
        <f>average(10.5,12.5)</f>
        <v>11.5</v>
      </c>
      <c r="AY53" s="9"/>
      <c r="AZ53" s="12"/>
      <c r="BA53" s="12"/>
      <c r="BB53" s="12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5" t="s">
        <v>489</v>
      </c>
      <c r="B54" s="9"/>
      <c r="C54" s="8"/>
      <c r="D54" s="9"/>
      <c r="E54" s="25" t="s">
        <v>43</v>
      </c>
      <c r="F54" s="9"/>
      <c r="G54" s="25">
        <v>21.0</v>
      </c>
      <c r="H54" s="9"/>
      <c r="I54" s="25">
        <v>44.0</v>
      </c>
      <c r="J54" s="25" t="s">
        <v>184</v>
      </c>
      <c r="K54" s="116" t="s">
        <v>185</v>
      </c>
      <c r="L54" s="25" t="s">
        <v>187</v>
      </c>
      <c r="M54" s="9"/>
      <c r="N54" s="41">
        <v>11.29</v>
      </c>
      <c r="O54" s="106">
        <v>829.0</v>
      </c>
      <c r="P54" s="9"/>
      <c r="Q54" s="25" t="s">
        <v>490</v>
      </c>
      <c r="R54" s="25">
        <v>2.0</v>
      </c>
      <c r="S54" s="106" t="s">
        <v>491</v>
      </c>
      <c r="T54" s="9"/>
      <c r="U54" s="25">
        <v>5.0</v>
      </c>
      <c r="V54" s="9"/>
      <c r="W54" s="14">
        <f>X54+AF54+AG54+AO54</f>
        <v>15179.04707</v>
      </c>
      <c r="X54" s="16">
        <f>average(1300,300,100,1500,800,1500,1800,899,950)</f>
        <v>1016.555556</v>
      </c>
      <c r="Y54" s="107" t="s">
        <v>160</v>
      </c>
      <c r="Z54" s="107">
        <v>100.0</v>
      </c>
      <c r="AA54" s="107">
        <v>1800.0</v>
      </c>
      <c r="AB54" s="108">
        <f t="shared" ref="AB54:AB57" si="37">average(AC54,AD54)</f>
        <v>4</v>
      </c>
      <c r="AC54" s="107">
        <v>4.0</v>
      </c>
      <c r="AD54" s="107">
        <v>4.0</v>
      </c>
      <c r="AE54" s="19">
        <f>IFERROR(__xludf.DUMMYFUNCTION("AB54*GoogleFinance(""CURRENCY:GBPUSD"")"),4.98318)</f>
        <v>4.98318</v>
      </c>
      <c r="AF54" s="16">
        <f t="shared" ref="AF54:AF56" si="38">AE54*52.1775*N54</f>
        <v>2935.511483</v>
      </c>
      <c r="AG54" s="16">
        <f t="shared" si="35"/>
        <v>11026.98003</v>
      </c>
      <c r="AH54" s="16">
        <f>IFERROR(__xludf.DUMMYFUNCTION("AI54*GoogleFinance(""CURRENCY:GBPUSD"")"),976.70328)</f>
        <v>976.70328</v>
      </c>
      <c r="AI54" s="108">
        <f t="shared" si="5"/>
        <v>784</v>
      </c>
      <c r="AJ54" s="107">
        <v>121.0</v>
      </c>
      <c r="AK54" s="107">
        <v>126.0</v>
      </c>
      <c r="AL54" s="107">
        <v>244.0</v>
      </c>
      <c r="AM54" s="107">
        <v>177.0</v>
      </c>
      <c r="AN54" s="107">
        <v>116.0</v>
      </c>
      <c r="AO54" s="107">
        <v>200.0</v>
      </c>
      <c r="AP54" s="9"/>
      <c r="AQ54" s="25" t="s">
        <v>147</v>
      </c>
      <c r="AR54" s="25" t="s">
        <v>165</v>
      </c>
      <c r="AS54" s="9"/>
      <c r="AT54" s="25" t="s">
        <v>149</v>
      </c>
      <c r="AU54" s="14">
        <f t="shared" si="36"/>
        <v>7.030681735</v>
      </c>
      <c r="AV54" s="112">
        <f>average(13,18)</f>
        <v>15.5</v>
      </c>
      <c r="AW54" s="14">
        <f t="shared" si="34"/>
        <v>31.75</v>
      </c>
      <c r="AX54" s="112">
        <f>average(12,13)</f>
        <v>12.5</v>
      </c>
      <c r="AY54" s="9"/>
      <c r="AZ54" s="12"/>
      <c r="BA54" s="12"/>
      <c r="BB54" s="12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5" t="s">
        <v>494</v>
      </c>
      <c r="B55" s="9"/>
      <c r="C55" s="8"/>
      <c r="D55" s="9"/>
      <c r="E55" s="25" t="s">
        <v>23</v>
      </c>
      <c r="F55" s="9"/>
      <c r="G55" s="25">
        <v>106.0</v>
      </c>
      <c r="H55" s="9"/>
      <c r="I55" s="106" t="s">
        <v>150</v>
      </c>
      <c r="J55" s="106" t="s">
        <v>150</v>
      </c>
      <c r="K55" s="106" t="s">
        <v>150</v>
      </c>
      <c r="L55" s="106" t="s">
        <v>150</v>
      </c>
      <c r="M55" s="9"/>
      <c r="N55" s="41">
        <v>8.42</v>
      </c>
      <c r="O55" s="106">
        <v>9.0</v>
      </c>
      <c r="P55" s="134"/>
      <c r="Q55" s="106" t="s">
        <v>150</v>
      </c>
      <c r="R55" s="106" t="s">
        <v>150</v>
      </c>
      <c r="S55" s="106" t="s">
        <v>150</v>
      </c>
      <c r="T55" s="9"/>
      <c r="U55" s="25">
        <v>2.0</v>
      </c>
      <c r="V55" s="9"/>
      <c r="W55" s="115" t="s">
        <v>150</v>
      </c>
      <c r="X55" s="207" t="s">
        <v>150</v>
      </c>
      <c r="Y55" s="115" t="s">
        <v>150</v>
      </c>
      <c r="Z55" s="107" t="s">
        <v>150</v>
      </c>
      <c r="AA55" s="107" t="s">
        <v>150</v>
      </c>
      <c r="AB55" s="108">
        <f t="shared" si="37"/>
        <v>5.75</v>
      </c>
      <c r="AC55" s="107">
        <v>4.0</v>
      </c>
      <c r="AD55" s="107">
        <v>7.5</v>
      </c>
      <c r="AE55" s="19">
        <f>IFERROR(__xludf.DUMMYFUNCTION("AB55*GoogleFinance(""CURRENCY:GBPUSD"")"),7.16332125)</f>
        <v>7.16332125</v>
      </c>
      <c r="AF55" s="16">
        <f t="shared" si="38"/>
        <v>3147.094518</v>
      </c>
      <c r="AG55" s="16">
        <f t="shared" si="35"/>
        <v>8223.841618</v>
      </c>
      <c r="AH55" s="16">
        <f>IFERROR(__xludf.DUMMYFUNCTION("AI55*GoogleFinance(""CURRENCY:GBPUSD"")"),976.70328)</f>
        <v>976.70328</v>
      </c>
      <c r="AI55" s="108">
        <f t="shared" si="5"/>
        <v>784</v>
      </c>
      <c r="AJ55" s="107">
        <v>121.0</v>
      </c>
      <c r="AK55" s="107">
        <v>126.0</v>
      </c>
      <c r="AL55" s="107">
        <v>244.0</v>
      </c>
      <c r="AM55" s="107">
        <v>177.0</v>
      </c>
      <c r="AN55" s="107">
        <v>116.0</v>
      </c>
      <c r="AO55" s="107">
        <v>200.0</v>
      </c>
      <c r="AP55" s="9"/>
      <c r="AQ55" s="25" t="s">
        <v>147</v>
      </c>
      <c r="AR55" s="25" t="s">
        <v>165</v>
      </c>
      <c r="AS55" s="9"/>
      <c r="AT55" s="25" t="s">
        <v>149</v>
      </c>
      <c r="AU55" s="14">
        <f t="shared" si="36"/>
        <v>8.61825503</v>
      </c>
      <c r="AV55" s="112">
        <f>average(16,22)</f>
        <v>19</v>
      </c>
      <c r="AW55" s="14">
        <f t="shared" si="34"/>
        <v>29.21</v>
      </c>
      <c r="AX55" s="112">
        <f>average(10,13)</f>
        <v>11.5</v>
      </c>
      <c r="AY55" s="9"/>
      <c r="AZ55" s="12"/>
      <c r="BA55" s="12"/>
      <c r="BB55" s="12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5" t="s">
        <v>496</v>
      </c>
      <c r="B56" s="9"/>
      <c r="C56" s="8"/>
      <c r="D56" s="9"/>
      <c r="E56" s="25" t="s">
        <v>27</v>
      </c>
      <c r="F56" s="9"/>
      <c r="G56" s="25">
        <v>46.0</v>
      </c>
      <c r="H56" s="9"/>
      <c r="I56" s="25">
        <v>27.0</v>
      </c>
      <c r="J56" s="25" t="s">
        <v>142</v>
      </c>
      <c r="K56" s="25" t="s">
        <v>143</v>
      </c>
      <c r="L56" s="25" t="s">
        <v>144</v>
      </c>
      <c r="M56" s="9"/>
      <c r="N56" s="41">
        <v>9.48</v>
      </c>
      <c r="O56" s="106">
        <v>776.0</v>
      </c>
      <c r="P56" s="9"/>
      <c r="Q56" s="25" t="s">
        <v>174</v>
      </c>
      <c r="R56" s="25">
        <v>1.0</v>
      </c>
      <c r="S56" s="106" t="s">
        <v>175</v>
      </c>
      <c r="T56" s="9"/>
      <c r="U56" s="25">
        <v>3.0</v>
      </c>
      <c r="V56" s="9"/>
      <c r="W56" s="14">
        <f>X56+AF56+AG56+AO56</f>
        <v>13524.43166</v>
      </c>
      <c r="X56" s="16">
        <f>average(550,795,175,650,350,600,350,550,500,700)</f>
        <v>522</v>
      </c>
      <c r="Y56" s="107" t="s">
        <v>146</v>
      </c>
      <c r="Z56" s="107">
        <v>175.0</v>
      </c>
      <c r="AA56" s="107">
        <v>795.0</v>
      </c>
      <c r="AB56" s="108">
        <f t="shared" si="37"/>
        <v>5.75</v>
      </c>
      <c r="AC56" s="107">
        <v>4.0</v>
      </c>
      <c r="AD56" s="107">
        <v>7.5</v>
      </c>
      <c r="AE56" s="19">
        <f>IFERROR(__xludf.DUMMYFUNCTION("AB56*GoogleFinance(""CURRENCY:GBPUSD"")"),7.16332125)</f>
        <v>7.16332125</v>
      </c>
      <c r="AF56" s="16">
        <f t="shared" si="38"/>
        <v>3543.284564</v>
      </c>
      <c r="AG56" s="16">
        <f t="shared" si="35"/>
        <v>9259.147094</v>
      </c>
      <c r="AH56" s="16">
        <f>IFERROR(__xludf.DUMMYFUNCTION("AI56*GoogleFinance(""CURRENCY:GBPUSD"")"),976.70328)</f>
        <v>976.70328</v>
      </c>
      <c r="AI56" s="108">
        <f t="shared" si="5"/>
        <v>784</v>
      </c>
      <c r="AJ56" s="107">
        <v>121.0</v>
      </c>
      <c r="AK56" s="107">
        <v>126.0</v>
      </c>
      <c r="AL56" s="107">
        <v>244.0</v>
      </c>
      <c r="AM56" s="107">
        <v>177.0</v>
      </c>
      <c r="AN56" s="107">
        <v>116.0</v>
      </c>
      <c r="AO56" s="107">
        <v>200.0</v>
      </c>
      <c r="AP56" s="9"/>
      <c r="AQ56" s="25" t="s">
        <v>147</v>
      </c>
      <c r="AR56" s="25" t="s">
        <v>165</v>
      </c>
      <c r="AS56" s="9"/>
      <c r="AT56" s="25" t="s">
        <v>166</v>
      </c>
      <c r="AU56" s="14">
        <f t="shared" si="36"/>
        <v>30.61748498</v>
      </c>
      <c r="AV56" s="112">
        <f>average(55,80)</f>
        <v>67.5</v>
      </c>
      <c r="AW56" s="14">
        <f t="shared" si="34"/>
        <v>59.69</v>
      </c>
      <c r="AX56" s="112">
        <f>average(21,26)</f>
        <v>23.5</v>
      </c>
      <c r="AY56" s="9"/>
      <c r="AZ56" s="12"/>
      <c r="BA56" s="12"/>
      <c r="BB56" s="12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5" t="s">
        <v>42</v>
      </c>
      <c r="B57" s="9"/>
      <c r="C57" s="8"/>
      <c r="D57" s="9"/>
      <c r="E57" s="25" t="s">
        <v>43</v>
      </c>
      <c r="F57" s="9"/>
      <c r="G57" s="25">
        <v>14.0</v>
      </c>
      <c r="H57" s="9"/>
      <c r="I57" s="25">
        <v>67.0</v>
      </c>
      <c r="J57" s="25" t="s">
        <v>400</v>
      </c>
      <c r="K57" s="25" t="s">
        <v>401</v>
      </c>
      <c r="L57" s="25" t="s">
        <v>402</v>
      </c>
      <c r="M57" s="9"/>
      <c r="N57" s="137" t="s">
        <v>150</v>
      </c>
      <c r="O57" s="106" t="s">
        <v>182</v>
      </c>
      <c r="P57" s="9"/>
      <c r="Q57" s="25" t="s">
        <v>457</v>
      </c>
      <c r="R57" s="25">
        <v>1.0</v>
      </c>
      <c r="S57" s="106" t="s">
        <v>458</v>
      </c>
      <c r="T57" s="9"/>
      <c r="U57" s="25">
        <v>6.0</v>
      </c>
      <c r="V57" s="9"/>
      <c r="W57" s="115" t="s">
        <v>150</v>
      </c>
      <c r="X57" s="16">
        <f>average(850,200,500,400,650,300,700,450,325,1500)</f>
        <v>587.5</v>
      </c>
      <c r="Y57" s="107" t="s">
        <v>146</v>
      </c>
      <c r="Z57" s="107">
        <v>200.0</v>
      </c>
      <c r="AA57" s="107">
        <v>1500.0</v>
      </c>
      <c r="AB57" s="108">
        <f t="shared" si="37"/>
        <v>4</v>
      </c>
      <c r="AC57" s="107">
        <v>4.0</v>
      </c>
      <c r="AD57" s="107">
        <v>4.0</v>
      </c>
      <c r="AE57" s="19">
        <f>IFERROR(__xludf.DUMMYFUNCTION("AB57*GoogleFinance(""CURRENCY:GBPUSD"")"),4.98318)</f>
        <v>4.98318</v>
      </c>
      <c r="AF57" s="115" t="s">
        <v>150</v>
      </c>
      <c r="AG57" s="115" t="s">
        <v>150</v>
      </c>
      <c r="AH57" s="16">
        <f>IFERROR(__xludf.DUMMYFUNCTION("AI57*GoogleFinance(""CURRENCY:GBPUSD"")"),976.70328)</f>
        <v>976.70328</v>
      </c>
      <c r="AI57" s="108">
        <f t="shared" si="5"/>
        <v>784</v>
      </c>
      <c r="AJ57" s="107">
        <v>121.0</v>
      </c>
      <c r="AK57" s="107">
        <v>126.0</v>
      </c>
      <c r="AL57" s="107">
        <v>244.0</v>
      </c>
      <c r="AM57" s="107">
        <v>177.0</v>
      </c>
      <c r="AN57" s="107">
        <v>116.0</v>
      </c>
      <c r="AO57" s="107">
        <v>200.0</v>
      </c>
      <c r="AP57" s="9"/>
      <c r="AQ57" s="25" t="s">
        <v>147</v>
      </c>
      <c r="AR57" s="25" t="s">
        <v>209</v>
      </c>
      <c r="AS57" s="9"/>
      <c r="AT57" s="25" t="s">
        <v>149</v>
      </c>
      <c r="AU57" s="14">
        <f t="shared" si="36"/>
        <v>2.494758035</v>
      </c>
      <c r="AV57" s="106">
        <v>5.5</v>
      </c>
      <c r="AW57" s="106" t="s">
        <v>150</v>
      </c>
      <c r="AX57" s="106" t="s">
        <v>150</v>
      </c>
      <c r="AY57" s="9"/>
      <c r="AZ57" s="106" t="s">
        <v>456</v>
      </c>
      <c r="BA57" s="12"/>
      <c r="BB57" s="12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5" t="s">
        <v>517</v>
      </c>
      <c r="B58" s="9"/>
      <c r="C58" s="8"/>
      <c r="D58" s="9"/>
      <c r="E58" s="25" t="s">
        <v>43</v>
      </c>
      <c r="F58" s="9"/>
      <c r="G58" s="25">
        <v>61.0</v>
      </c>
      <c r="H58" s="9"/>
      <c r="I58" s="25">
        <v>61.0</v>
      </c>
      <c r="J58" s="25" t="s">
        <v>400</v>
      </c>
      <c r="K58" s="25" t="s">
        <v>401</v>
      </c>
      <c r="L58" s="25" t="s">
        <v>402</v>
      </c>
      <c r="M58" s="9"/>
      <c r="N58" s="41">
        <v>10.08</v>
      </c>
      <c r="O58" s="106">
        <v>829.0</v>
      </c>
      <c r="P58" s="134"/>
      <c r="Q58" s="106" t="s">
        <v>150</v>
      </c>
      <c r="R58" s="106" t="s">
        <v>150</v>
      </c>
      <c r="S58" s="106" t="s">
        <v>150</v>
      </c>
      <c r="T58" s="9"/>
      <c r="U58" s="25">
        <v>2.0</v>
      </c>
      <c r="V58" s="9"/>
      <c r="W58" s="115" t="s">
        <v>150</v>
      </c>
      <c r="X58" s="16">
        <f>average(500,500,500,1300,400,1000,125,500,200,350)</f>
        <v>537.5</v>
      </c>
      <c r="Y58" s="107" t="s">
        <v>146</v>
      </c>
      <c r="Z58" s="107">
        <v>125.0</v>
      </c>
      <c r="AA58" s="107">
        <v>1300.0</v>
      </c>
      <c r="AB58" s="115" t="s">
        <v>150</v>
      </c>
      <c r="AC58" s="115" t="s">
        <v>150</v>
      </c>
      <c r="AD58" s="115" t="s">
        <v>150</v>
      </c>
      <c r="AE58" s="115" t="s">
        <v>150</v>
      </c>
      <c r="AF58" s="115" t="s">
        <v>150</v>
      </c>
      <c r="AG58" s="16">
        <f>AH58*N58</f>
        <v>9845.169062</v>
      </c>
      <c r="AH58" s="16">
        <f>IFERROR(__xludf.DUMMYFUNCTION("AI58*GoogleFinance(""CURRENCY:GBPUSD"")"),976.70328)</f>
        <v>976.70328</v>
      </c>
      <c r="AI58" s="108">
        <f t="shared" si="5"/>
        <v>784</v>
      </c>
      <c r="AJ58" s="107">
        <v>121.0</v>
      </c>
      <c r="AK58" s="107">
        <v>126.0</v>
      </c>
      <c r="AL58" s="107">
        <v>244.0</v>
      </c>
      <c r="AM58" s="107">
        <v>177.0</v>
      </c>
      <c r="AN58" s="107">
        <v>116.0</v>
      </c>
      <c r="AO58" s="107">
        <v>200.0</v>
      </c>
      <c r="AP58" s="9"/>
      <c r="AQ58" s="25" t="s">
        <v>182</v>
      </c>
      <c r="AR58" s="25" t="s">
        <v>182</v>
      </c>
      <c r="AS58" s="9"/>
      <c r="AT58" s="25" t="s">
        <v>149</v>
      </c>
      <c r="AU58" s="109" t="s">
        <v>150</v>
      </c>
      <c r="AV58" s="106" t="s">
        <v>150</v>
      </c>
      <c r="AW58" s="14">
        <f t="shared" ref="AW58:AW64" si="39">AX58*2.54</f>
        <v>30.48</v>
      </c>
      <c r="AX58" s="112">
        <f>average(11,13)</f>
        <v>12</v>
      </c>
      <c r="AY58" s="9"/>
      <c r="AZ58" s="12"/>
      <c r="BA58" s="12"/>
      <c r="BB58" s="12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5" t="s">
        <v>522</v>
      </c>
      <c r="B59" s="9"/>
      <c r="C59" s="8"/>
      <c r="D59" s="9"/>
      <c r="E59" s="25" t="s">
        <v>34</v>
      </c>
      <c r="F59" s="9"/>
      <c r="G59" s="25">
        <v>50.0</v>
      </c>
      <c r="H59" s="9"/>
      <c r="I59" s="25">
        <v>51.0</v>
      </c>
      <c r="J59" s="25" t="s">
        <v>184</v>
      </c>
      <c r="K59" s="116" t="s">
        <v>185</v>
      </c>
      <c r="L59" s="25" t="s">
        <v>187</v>
      </c>
      <c r="M59" s="9"/>
      <c r="N59" s="137" t="s">
        <v>150</v>
      </c>
      <c r="O59" s="106" t="s">
        <v>182</v>
      </c>
      <c r="P59" s="9"/>
      <c r="Q59" s="25" t="s">
        <v>523</v>
      </c>
      <c r="R59" s="25">
        <v>4.0</v>
      </c>
      <c r="S59" s="106" t="s">
        <v>524</v>
      </c>
      <c r="T59" s="9"/>
      <c r="U59" s="25">
        <v>4.0</v>
      </c>
      <c r="V59" s="9"/>
      <c r="W59" s="115" t="s">
        <v>150</v>
      </c>
      <c r="X59" s="16">
        <f>average(350,500,400,2000,950,1000,400,1000,800,1000)</f>
        <v>840</v>
      </c>
      <c r="Y59" s="107" t="s">
        <v>160</v>
      </c>
      <c r="Z59" s="107">
        <v>350.0</v>
      </c>
      <c r="AA59" s="107">
        <v>2000.0</v>
      </c>
      <c r="AB59" s="115" t="s">
        <v>150</v>
      </c>
      <c r="AC59" s="115" t="s">
        <v>150</v>
      </c>
      <c r="AD59" s="115" t="s">
        <v>150</v>
      </c>
      <c r="AE59" s="115" t="s">
        <v>150</v>
      </c>
      <c r="AF59" s="115" t="s">
        <v>150</v>
      </c>
      <c r="AG59" s="115" t="s">
        <v>150</v>
      </c>
      <c r="AH59" s="16">
        <f>IFERROR(__xludf.DUMMYFUNCTION("AI59*GoogleFinance(""CURRENCY:GBPUSD"")"),976.70328)</f>
        <v>976.70328</v>
      </c>
      <c r="AI59" s="108">
        <f t="shared" si="5"/>
        <v>784</v>
      </c>
      <c r="AJ59" s="107">
        <v>121.0</v>
      </c>
      <c r="AK59" s="107">
        <v>126.0</v>
      </c>
      <c r="AL59" s="107">
        <v>244.0</v>
      </c>
      <c r="AM59" s="107">
        <v>177.0</v>
      </c>
      <c r="AN59" s="107">
        <v>116.0</v>
      </c>
      <c r="AO59" s="107">
        <v>200.0</v>
      </c>
      <c r="AP59" s="9"/>
      <c r="AQ59" s="25" t="s">
        <v>182</v>
      </c>
      <c r="AR59" s="25" t="s">
        <v>182</v>
      </c>
      <c r="AS59" s="9"/>
      <c r="AT59" s="25" t="s">
        <v>148</v>
      </c>
      <c r="AU59" s="14">
        <f>AV59*0.45359237</f>
        <v>23.81359943</v>
      </c>
      <c r="AV59" s="112">
        <f>average(45,60)</f>
        <v>52.5</v>
      </c>
      <c r="AW59" s="14">
        <f t="shared" si="39"/>
        <v>48.26</v>
      </c>
      <c r="AX59" s="112">
        <f>average(18,20)</f>
        <v>19</v>
      </c>
      <c r="AY59" s="9"/>
      <c r="AZ59" s="12"/>
      <c r="BA59" s="12"/>
      <c r="BB59" s="12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5" t="s">
        <v>532</v>
      </c>
      <c r="B60" s="9"/>
      <c r="C60" s="8"/>
      <c r="D60" s="9"/>
      <c r="E60" s="25" t="s">
        <v>34</v>
      </c>
      <c r="F60" s="9"/>
      <c r="G60" s="25">
        <v>68.0</v>
      </c>
      <c r="H60" s="9"/>
      <c r="I60" s="25">
        <v>77.0</v>
      </c>
      <c r="J60" s="25" t="s">
        <v>157</v>
      </c>
      <c r="K60" s="25" t="s">
        <v>158</v>
      </c>
      <c r="L60" s="25" t="s">
        <v>159</v>
      </c>
      <c r="M60" s="9"/>
      <c r="N60" s="41">
        <v>9.01</v>
      </c>
      <c r="O60" s="106">
        <v>38.0</v>
      </c>
      <c r="P60" s="9"/>
      <c r="Q60" s="25" t="s">
        <v>470</v>
      </c>
      <c r="R60" s="25">
        <v>2.0</v>
      </c>
      <c r="S60" s="106" t="s">
        <v>471</v>
      </c>
      <c r="T60" s="9"/>
      <c r="U60" s="25">
        <v>5.0</v>
      </c>
      <c r="V60" s="9"/>
      <c r="W60" s="14">
        <f t="shared" ref="W60:W61" si="40">X60+AF60+AG60+AO60</f>
        <v>12882.71195</v>
      </c>
      <c r="X60" s="16">
        <f>average(200,700,750,550,600,500,550,400,400,500)</f>
        <v>515</v>
      </c>
      <c r="Y60" s="107" t="s">
        <v>146</v>
      </c>
      <c r="Z60" s="107">
        <v>200.0</v>
      </c>
      <c r="AA60" s="107">
        <v>750.0</v>
      </c>
      <c r="AB60" s="108">
        <f t="shared" ref="AB60:AB61" si="41">average(AC60,AD60)</f>
        <v>5.75</v>
      </c>
      <c r="AC60" s="107">
        <v>4.0</v>
      </c>
      <c r="AD60" s="107">
        <v>7.5</v>
      </c>
      <c r="AE60" s="19">
        <f>IFERROR(__xludf.DUMMYFUNCTION("AB60*GoogleFinance(""CURRENCY:GBPUSD"")"),7.16332125)</f>
        <v>7.16332125</v>
      </c>
      <c r="AF60" s="16">
        <f t="shared" ref="AF60:AF61" si="42">AE60*52.1775*N60</f>
        <v>3367.615393</v>
      </c>
      <c r="AG60" s="16">
        <f t="shared" ref="AG60:AG61" si="43">AH60*N60</f>
        <v>8800.096553</v>
      </c>
      <c r="AH60" s="16">
        <f>IFERROR(__xludf.DUMMYFUNCTION("AI60*GoogleFinance(""CURRENCY:GBPUSD"")"),976.70328)</f>
        <v>976.70328</v>
      </c>
      <c r="AI60" s="108">
        <f t="shared" si="5"/>
        <v>784</v>
      </c>
      <c r="AJ60" s="107">
        <v>121.0</v>
      </c>
      <c r="AK60" s="107">
        <v>126.0</v>
      </c>
      <c r="AL60" s="107">
        <v>244.0</v>
      </c>
      <c r="AM60" s="107">
        <v>177.0</v>
      </c>
      <c r="AN60" s="107">
        <v>116.0</v>
      </c>
      <c r="AO60" s="107">
        <v>200.0</v>
      </c>
      <c r="AP60" s="9"/>
      <c r="AQ60" s="25" t="s">
        <v>164</v>
      </c>
      <c r="AR60" s="25" t="s">
        <v>148</v>
      </c>
      <c r="AS60" s="9"/>
      <c r="AT60" s="25" t="s">
        <v>148</v>
      </c>
      <c r="AU60" s="106" t="s">
        <v>150</v>
      </c>
      <c r="AV60" s="106" t="s">
        <v>150</v>
      </c>
      <c r="AW60" s="14">
        <f t="shared" si="39"/>
        <v>46.99</v>
      </c>
      <c r="AX60" s="112">
        <f t="shared" ref="AX60:AX61" si="44">average(17,20)</f>
        <v>18.5</v>
      </c>
      <c r="AY60" s="9"/>
      <c r="AZ60" s="12"/>
      <c r="BA60" s="12"/>
      <c r="BB60" s="12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5" t="s">
        <v>533</v>
      </c>
      <c r="B61" s="9"/>
      <c r="C61" s="8"/>
      <c r="D61" s="9"/>
      <c r="E61" s="25" t="s">
        <v>27</v>
      </c>
      <c r="F61" s="9"/>
      <c r="G61" s="25">
        <v>133.0</v>
      </c>
      <c r="H61" s="9"/>
      <c r="I61" s="25">
        <v>37.0</v>
      </c>
      <c r="J61" s="25" t="s">
        <v>142</v>
      </c>
      <c r="K61" s="25" t="s">
        <v>143</v>
      </c>
      <c r="L61" s="25" t="s">
        <v>144</v>
      </c>
      <c r="M61" s="9"/>
      <c r="N61" s="41">
        <v>10.0</v>
      </c>
      <c r="O61" s="106">
        <v>301.0</v>
      </c>
      <c r="P61" s="9"/>
      <c r="Q61" s="25" t="s">
        <v>145</v>
      </c>
      <c r="R61" s="25">
        <v>0.0</v>
      </c>
      <c r="S61" s="106" t="s">
        <v>145</v>
      </c>
      <c r="T61" s="9"/>
      <c r="U61" s="25">
        <v>2.0</v>
      </c>
      <c r="V61" s="9"/>
      <c r="W61" s="14">
        <f t="shared" si="40"/>
        <v>14738.00808</v>
      </c>
      <c r="X61" s="16">
        <f>average(800,800,800,800,800,1500,800,1500,1500)</f>
        <v>1033.333333</v>
      </c>
      <c r="Y61" s="107" t="s">
        <v>160</v>
      </c>
      <c r="Z61" s="107">
        <v>800.0</v>
      </c>
      <c r="AA61" s="107">
        <v>1500.0</v>
      </c>
      <c r="AB61" s="108">
        <f t="shared" si="41"/>
        <v>5.75</v>
      </c>
      <c r="AC61" s="107">
        <v>4.0</v>
      </c>
      <c r="AD61" s="107">
        <v>7.5</v>
      </c>
      <c r="AE61" s="19">
        <f>IFERROR(__xludf.DUMMYFUNCTION("AB61*GoogleFinance(""CURRENCY:GBPUSD"")"),7.16332125)</f>
        <v>7.16332125</v>
      </c>
      <c r="AF61" s="16">
        <f t="shared" si="42"/>
        <v>3737.641945</v>
      </c>
      <c r="AG61" s="16">
        <f t="shared" si="43"/>
        <v>9767.0328</v>
      </c>
      <c r="AH61" s="16">
        <f>IFERROR(__xludf.DUMMYFUNCTION("AI61*GoogleFinance(""CURRENCY:GBPUSD"")"),976.70328)</f>
        <v>976.70328</v>
      </c>
      <c r="AI61" s="108">
        <f t="shared" si="5"/>
        <v>784</v>
      </c>
      <c r="AJ61" s="107">
        <v>121.0</v>
      </c>
      <c r="AK61" s="107">
        <v>126.0</v>
      </c>
      <c r="AL61" s="107">
        <v>244.0</v>
      </c>
      <c r="AM61" s="107">
        <v>177.0</v>
      </c>
      <c r="AN61" s="107">
        <v>116.0</v>
      </c>
      <c r="AO61" s="107">
        <v>200.0</v>
      </c>
      <c r="AP61" s="9"/>
      <c r="AQ61" s="25" t="s">
        <v>147</v>
      </c>
      <c r="AR61" s="25" t="s">
        <v>165</v>
      </c>
      <c r="AS61" s="9"/>
      <c r="AT61" s="25" t="s">
        <v>148</v>
      </c>
      <c r="AU61" s="14">
        <f>AV61*0.45359237</f>
        <v>31.7514659</v>
      </c>
      <c r="AV61" s="112">
        <f>average(55,85)</f>
        <v>70</v>
      </c>
      <c r="AW61" s="14">
        <f t="shared" si="39"/>
        <v>46.99</v>
      </c>
      <c r="AX61" s="112">
        <f t="shared" si="44"/>
        <v>18.5</v>
      </c>
      <c r="AY61" s="9"/>
      <c r="AZ61" s="12"/>
      <c r="BA61" s="12"/>
      <c r="BB61" s="12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5" t="s">
        <v>29</v>
      </c>
      <c r="B62" s="9"/>
      <c r="C62" s="8"/>
      <c r="D62" s="9"/>
      <c r="E62" s="25" t="s">
        <v>27</v>
      </c>
      <c r="F62" s="9"/>
      <c r="G62" s="25">
        <v>27.0</v>
      </c>
      <c r="H62" s="9"/>
      <c r="I62" s="25">
        <v>20.0</v>
      </c>
      <c r="J62" s="25" t="s">
        <v>267</v>
      </c>
      <c r="K62" s="116" t="s">
        <v>268</v>
      </c>
      <c r="L62" s="25" t="s">
        <v>269</v>
      </c>
      <c r="M62" s="9"/>
      <c r="N62" s="137" t="s">
        <v>150</v>
      </c>
      <c r="O62" s="106" t="s">
        <v>182</v>
      </c>
      <c r="P62" s="9"/>
      <c r="Q62" s="25" t="s">
        <v>356</v>
      </c>
      <c r="R62" s="25">
        <v>2.0</v>
      </c>
      <c r="S62" s="106" t="s">
        <v>357</v>
      </c>
      <c r="T62" s="9"/>
      <c r="U62" s="25">
        <v>5.0</v>
      </c>
      <c r="V62" s="9"/>
      <c r="W62" s="115" t="s">
        <v>150</v>
      </c>
      <c r="X62" s="16">
        <f>average(500,250,450,600,500,500,200,800,450,400)</f>
        <v>465</v>
      </c>
      <c r="Y62" s="107" t="s">
        <v>146</v>
      </c>
      <c r="Z62" s="107">
        <v>250.0</v>
      </c>
      <c r="AA62" s="107">
        <v>800.0</v>
      </c>
      <c r="AB62" s="115" t="s">
        <v>150</v>
      </c>
      <c r="AC62" s="115" t="s">
        <v>150</v>
      </c>
      <c r="AD62" s="115" t="s">
        <v>150</v>
      </c>
      <c r="AE62" s="115" t="s">
        <v>150</v>
      </c>
      <c r="AF62" s="115" t="s">
        <v>150</v>
      </c>
      <c r="AG62" s="115" t="s">
        <v>150</v>
      </c>
      <c r="AH62" s="16">
        <f>IFERROR(__xludf.DUMMYFUNCTION("AI62*GoogleFinance(""CURRENCY:GBPUSD"")"),976.70328)</f>
        <v>976.70328</v>
      </c>
      <c r="AI62" s="108">
        <f t="shared" si="5"/>
        <v>784</v>
      </c>
      <c r="AJ62" s="107">
        <v>121.0</v>
      </c>
      <c r="AK62" s="107">
        <v>126.0</v>
      </c>
      <c r="AL62" s="107">
        <v>244.0</v>
      </c>
      <c r="AM62" s="107">
        <v>177.0</v>
      </c>
      <c r="AN62" s="107">
        <v>116.0</v>
      </c>
      <c r="AO62" s="107">
        <v>200.0</v>
      </c>
      <c r="AP62" s="9"/>
      <c r="AQ62" s="25" t="s">
        <v>182</v>
      </c>
      <c r="AR62" s="25" t="s">
        <v>182</v>
      </c>
      <c r="AS62" s="9"/>
      <c r="AT62" s="25" t="s">
        <v>149</v>
      </c>
      <c r="AU62" s="106" t="s">
        <v>150</v>
      </c>
      <c r="AV62" s="106" t="s">
        <v>150</v>
      </c>
      <c r="AW62" s="14">
        <f t="shared" si="39"/>
        <v>36.83</v>
      </c>
      <c r="AX62" s="112">
        <f>average(13.5,15.5)</f>
        <v>14.5</v>
      </c>
      <c r="AY62" s="9"/>
      <c r="AZ62" s="106" t="s">
        <v>355</v>
      </c>
      <c r="BA62" s="12"/>
      <c r="BB62" s="12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5" t="s">
        <v>538</v>
      </c>
      <c r="B63" s="9"/>
      <c r="C63" s="8"/>
      <c r="D63" s="9"/>
      <c r="E63" s="25" t="s">
        <v>32</v>
      </c>
      <c r="F63" s="9"/>
      <c r="G63" s="25">
        <v>36.0</v>
      </c>
      <c r="H63" s="9"/>
      <c r="I63" s="25">
        <v>16.0</v>
      </c>
      <c r="J63" s="25" t="s">
        <v>267</v>
      </c>
      <c r="K63" s="116" t="s">
        <v>268</v>
      </c>
      <c r="L63" s="25" t="s">
        <v>269</v>
      </c>
      <c r="M63" s="9"/>
      <c r="N63" s="137" t="s">
        <v>150</v>
      </c>
      <c r="O63" s="106" t="s">
        <v>182</v>
      </c>
      <c r="P63" s="9"/>
      <c r="Q63" s="25" t="s">
        <v>539</v>
      </c>
      <c r="R63" s="25">
        <v>2.0</v>
      </c>
      <c r="S63" s="106" t="s">
        <v>540</v>
      </c>
      <c r="T63" s="9"/>
      <c r="U63" s="25">
        <v>3.0</v>
      </c>
      <c r="V63" s="9"/>
      <c r="W63" s="115" t="s">
        <v>150</v>
      </c>
      <c r="X63" s="16">
        <f>average(600,500,400,850,600,650,950,350,750,850)</f>
        <v>650</v>
      </c>
      <c r="Y63" s="107" t="s">
        <v>146</v>
      </c>
      <c r="Z63" s="107">
        <v>350.0</v>
      </c>
      <c r="AA63" s="107">
        <v>950.0</v>
      </c>
      <c r="AB63" s="115" t="s">
        <v>150</v>
      </c>
      <c r="AC63" s="115" t="s">
        <v>150</v>
      </c>
      <c r="AD63" s="115" t="s">
        <v>150</v>
      </c>
      <c r="AE63" s="115" t="s">
        <v>150</v>
      </c>
      <c r="AF63" s="115" t="s">
        <v>150</v>
      </c>
      <c r="AG63" s="115" t="s">
        <v>150</v>
      </c>
      <c r="AH63" s="16">
        <f>IFERROR(__xludf.DUMMYFUNCTION("AI63*GoogleFinance(""CURRENCY:GBPUSD"")"),976.70328)</f>
        <v>976.70328</v>
      </c>
      <c r="AI63" s="108">
        <f t="shared" si="5"/>
        <v>784</v>
      </c>
      <c r="AJ63" s="107">
        <v>121.0</v>
      </c>
      <c r="AK63" s="107">
        <v>126.0</v>
      </c>
      <c r="AL63" s="107">
        <v>244.0</v>
      </c>
      <c r="AM63" s="107">
        <v>177.0</v>
      </c>
      <c r="AN63" s="107">
        <v>116.0</v>
      </c>
      <c r="AO63" s="107">
        <v>200.0</v>
      </c>
      <c r="AP63" s="9"/>
      <c r="AQ63" s="25" t="s">
        <v>182</v>
      </c>
      <c r="AR63" s="25" t="s">
        <v>182</v>
      </c>
      <c r="AS63" s="9"/>
      <c r="AT63" s="25" t="s">
        <v>166</v>
      </c>
      <c r="AU63" s="14">
        <f>AV63*0.45359237</f>
        <v>28.34952313</v>
      </c>
      <c r="AV63" s="112">
        <f>average(50,75)</f>
        <v>62.5</v>
      </c>
      <c r="AW63" s="14">
        <f t="shared" si="39"/>
        <v>60.96</v>
      </c>
      <c r="AX63" s="112">
        <f>average(22,26)</f>
        <v>24</v>
      </c>
      <c r="AY63" s="9"/>
      <c r="AZ63" s="12"/>
      <c r="BA63" s="12"/>
      <c r="BB63" s="12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5" t="s">
        <v>541</v>
      </c>
      <c r="B64" s="9"/>
      <c r="C64" s="8"/>
      <c r="D64" s="9"/>
      <c r="E64" s="25" t="s">
        <v>27</v>
      </c>
      <c r="F64" s="9"/>
      <c r="G64" s="25">
        <v>154.0</v>
      </c>
      <c r="H64" s="9"/>
      <c r="I64" s="25">
        <v>41.0</v>
      </c>
      <c r="J64" s="25" t="s">
        <v>184</v>
      </c>
      <c r="K64" s="116" t="s">
        <v>185</v>
      </c>
      <c r="L64" s="25" t="s">
        <v>187</v>
      </c>
      <c r="M64" s="9"/>
      <c r="N64" s="41">
        <v>10.75</v>
      </c>
      <c r="O64" s="106">
        <v>40.0</v>
      </c>
      <c r="P64" s="9"/>
      <c r="Q64" s="25" t="s">
        <v>145</v>
      </c>
      <c r="R64" s="25">
        <v>0.0</v>
      </c>
      <c r="S64" s="106" t="s">
        <v>145</v>
      </c>
      <c r="T64" s="9"/>
      <c r="U64" s="25">
        <v>3.0</v>
      </c>
      <c r="V64" s="9"/>
      <c r="W64" s="115" t="s">
        <v>150</v>
      </c>
      <c r="X64" s="207" t="s">
        <v>150</v>
      </c>
      <c r="Y64" s="115" t="s">
        <v>150</v>
      </c>
      <c r="Z64" s="115" t="s">
        <v>150</v>
      </c>
      <c r="AA64" s="115" t="s">
        <v>150</v>
      </c>
      <c r="AB64" s="108">
        <f t="shared" ref="AB64:AB69" si="45">average(AC64,AD64)</f>
        <v>8.75</v>
      </c>
      <c r="AC64" s="107">
        <v>7.5</v>
      </c>
      <c r="AD64" s="107">
        <v>10.0</v>
      </c>
      <c r="AE64" s="19">
        <f>IFERROR(__xludf.DUMMYFUNCTION("AB64*GoogleFinance(""CURRENCY:GBPUSD"")"),10.90070625)</f>
        <v>10.90070625</v>
      </c>
      <c r="AF64" s="16">
        <f t="shared" ref="AF64:AF69" si="46">AE64*52.1775*N64</f>
        <v>6114.294704</v>
      </c>
      <c r="AG64" s="16">
        <f t="shared" ref="AG64:AG69" si="47">AH64*N64</f>
        <v>10499.56026</v>
      </c>
      <c r="AH64" s="16">
        <f>IFERROR(__xludf.DUMMYFUNCTION("AI64*GoogleFinance(""CURRENCY:GBPUSD"")"),976.70328)</f>
        <v>976.70328</v>
      </c>
      <c r="AI64" s="108">
        <f t="shared" si="5"/>
        <v>784</v>
      </c>
      <c r="AJ64" s="107">
        <v>121.0</v>
      </c>
      <c r="AK64" s="107">
        <v>126.0</v>
      </c>
      <c r="AL64" s="107">
        <v>244.0</v>
      </c>
      <c r="AM64" s="107">
        <v>177.0</v>
      </c>
      <c r="AN64" s="107">
        <v>116.0</v>
      </c>
      <c r="AO64" s="107">
        <v>200.0</v>
      </c>
      <c r="AP64" s="9"/>
      <c r="AQ64" s="25" t="s">
        <v>147</v>
      </c>
      <c r="AR64" s="25" t="s">
        <v>148</v>
      </c>
      <c r="AS64" s="9"/>
      <c r="AT64" s="25" t="s">
        <v>166</v>
      </c>
      <c r="AU64" s="106" t="s">
        <v>150</v>
      </c>
      <c r="AV64" s="106" t="s">
        <v>150</v>
      </c>
      <c r="AW64" s="14">
        <f t="shared" si="39"/>
        <v>63.5</v>
      </c>
      <c r="AX64" s="112">
        <f>average(23,27)</f>
        <v>25</v>
      </c>
      <c r="AY64" s="9"/>
      <c r="AZ64" s="12"/>
      <c r="BA64" s="12"/>
      <c r="BB64" s="12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5" t="s">
        <v>421</v>
      </c>
      <c r="B65" s="9"/>
      <c r="C65" s="8"/>
      <c r="D65" s="9"/>
      <c r="E65" s="25" t="s">
        <v>53</v>
      </c>
      <c r="F65" s="9"/>
      <c r="G65" s="25">
        <v>9.0</v>
      </c>
      <c r="H65" s="9"/>
      <c r="I65" s="25">
        <v>49.0</v>
      </c>
      <c r="J65" s="25" t="s">
        <v>184</v>
      </c>
      <c r="K65" s="116" t="s">
        <v>185</v>
      </c>
      <c r="L65" s="25" t="s">
        <v>187</v>
      </c>
      <c r="M65" s="9"/>
      <c r="N65" s="41">
        <v>12.63</v>
      </c>
      <c r="O65" s="106">
        <v>265.0</v>
      </c>
      <c r="P65" s="9"/>
      <c r="Q65" s="25" t="s">
        <v>429</v>
      </c>
      <c r="R65" s="25">
        <v>2.0</v>
      </c>
      <c r="S65" s="106" t="s">
        <v>430</v>
      </c>
      <c r="T65" s="9"/>
      <c r="U65" s="25">
        <v>4.0</v>
      </c>
      <c r="V65" s="9"/>
      <c r="W65" s="14">
        <f t="shared" ref="W65:W69" si="48">X65+AF65+AG65+AO65</f>
        <v>16242.18714</v>
      </c>
      <c r="X65" s="16">
        <f>average(400,200,450,250,500,750,700,500,350,125)</f>
        <v>422.5</v>
      </c>
      <c r="Y65" s="107" t="s">
        <v>146</v>
      </c>
      <c r="Z65" s="107">
        <v>125.0</v>
      </c>
      <c r="AA65" s="107">
        <v>750.0</v>
      </c>
      <c r="AB65" s="108">
        <f t="shared" si="45"/>
        <v>4</v>
      </c>
      <c r="AC65" s="107">
        <v>4.0</v>
      </c>
      <c r="AD65" s="107">
        <v>4.0</v>
      </c>
      <c r="AE65" s="19">
        <f>IFERROR(__xludf.DUMMYFUNCTION("AB65*GoogleFinance(""CURRENCY:GBPUSD"")"),4.98318)</f>
        <v>4.98318</v>
      </c>
      <c r="AF65" s="16">
        <f t="shared" si="46"/>
        <v>3283.924714</v>
      </c>
      <c r="AG65" s="16">
        <f t="shared" si="47"/>
        <v>12335.76243</v>
      </c>
      <c r="AH65" s="16">
        <f>IFERROR(__xludf.DUMMYFUNCTION("AI65*GoogleFinance(""CURRENCY:GBPUSD"")"),976.70328)</f>
        <v>976.70328</v>
      </c>
      <c r="AI65" s="108">
        <f t="shared" si="5"/>
        <v>784</v>
      </c>
      <c r="AJ65" s="107">
        <v>121.0</v>
      </c>
      <c r="AK65" s="107">
        <v>126.0</v>
      </c>
      <c r="AL65" s="107">
        <v>244.0</v>
      </c>
      <c r="AM65" s="107">
        <v>177.0</v>
      </c>
      <c r="AN65" s="107">
        <v>116.0</v>
      </c>
      <c r="AO65" s="107">
        <v>200.0</v>
      </c>
      <c r="AP65" s="9"/>
      <c r="AQ65" s="25" t="s">
        <v>147</v>
      </c>
      <c r="AR65" s="25" t="s">
        <v>209</v>
      </c>
      <c r="AS65" s="9"/>
      <c r="AT65" s="25" t="s">
        <v>149</v>
      </c>
      <c r="AU65" s="14">
        <f>AV65*0.45359237</f>
        <v>10.88621688</v>
      </c>
      <c r="AV65" s="112">
        <f>average(16,32)</f>
        <v>24</v>
      </c>
      <c r="AW65" s="106" t="s">
        <v>150</v>
      </c>
      <c r="AX65" s="106" t="s">
        <v>150</v>
      </c>
      <c r="AY65" s="9"/>
      <c r="AZ65" s="12"/>
      <c r="BA65" s="12"/>
      <c r="BB65" s="12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5" t="s">
        <v>545</v>
      </c>
      <c r="B66" s="9"/>
      <c r="C66" s="8"/>
      <c r="D66" s="9"/>
      <c r="E66" s="25" t="s">
        <v>34</v>
      </c>
      <c r="F66" s="9"/>
      <c r="G66" s="25">
        <v>73.0</v>
      </c>
      <c r="H66" s="9"/>
      <c r="I66" s="25">
        <v>39.0</v>
      </c>
      <c r="J66" s="25" t="s">
        <v>142</v>
      </c>
      <c r="K66" s="25" t="s">
        <v>143</v>
      </c>
      <c r="L66" s="25" t="s">
        <v>144</v>
      </c>
      <c r="M66" s="9"/>
      <c r="N66" s="41">
        <v>11.27</v>
      </c>
      <c r="O66" s="106">
        <v>404.0</v>
      </c>
      <c r="P66" s="9"/>
      <c r="Q66" s="25" t="s">
        <v>546</v>
      </c>
      <c r="R66" s="25">
        <v>2.0</v>
      </c>
      <c r="S66" s="106" t="s">
        <v>547</v>
      </c>
      <c r="T66" s="9"/>
      <c r="U66" s="25">
        <v>4.0</v>
      </c>
      <c r="V66" s="9"/>
      <c r="W66" s="14">
        <f t="shared" si="48"/>
        <v>16114.76844</v>
      </c>
      <c r="X66" s="16">
        <f>average(500,900,800,350,700,800,600,700,1000,600)</f>
        <v>695</v>
      </c>
      <c r="Y66" s="107" t="s">
        <v>146</v>
      </c>
      <c r="Z66" s="107">
        <v>350.0</v>
      </c>
      <c r="AA66" s="107">
        <v>1000.0</v>
      </c>
      <c r="AB66" s="108">
        <f t="shared" si="45"/>
        <v>5.75</v>
      </c>
      <c r="AC66" s="107">
        <v>4.0</v>
      </c>
      <c r="AD66" s="107">
        <v>7.5</v>
      </c>
      <c r="AE66" s="19">
        <f>IFERROR(__xludf.DUMMYFUNCTION("AB66*GoogleFinance(""CURRENCY:GBPUSD"")"),7.16332125)</f>
        <v>7.16332125</v>
      </c>
      <c r="AF66" s="16">
        <f t="shared" si="46"/>
        <v>4212.322472</v>
      </c>
      <c r="AG66" s="16">
        <f t="shared" si="47"/>
        <v>11007.44597</v>
      </c>
      <c r="AH66" s="16">
        <f>IFERROR(__xludf.DUMMYFUNCTION("AI66*GoogleFinance(""CURRENCY:GBPUSD"")"),976.70328)</f>
        <v>976.70328</v>
      </c>
      <c r="AI66" s="108">
        <f t="shared" si="5"/>
        <v>784</v>
      </c>
      <c r="AJ66" s="107">
        <v>121.0</v>
      </c>
      <c r="AK66" s="107">
        <v>126.0</v>
      </c>
      <c r="AL66" s="107">
        <v>244.0</v>
      </c>
      <c r="AM66" s="107">
        <v>177.0</v>
      </c>
      <c r="AN66" s="107">
        <v>116.0</v>
      </c>
      <c r="AO66" s="107">
        <v>200.0</v>
      </c>
      <c r="AP66" s="9"/>
      <c r="AQ66" s="25" t="s">
        <v>147</v>
      </c>
      <c r="AR66" s="25" t="s">
        <v>165</v>
      </c>
      <c r="AS66" s="9"/>
      <c r="AT66" s="25" t="s">
        <v>148</v>
      </c>
      <c r="AU66" s="106" t="s">
        <v>150</v>
      </c>
      <c r="AV66" s="106" t="s">
        <v>150</v>
      </c>
      <c r="AW66" s="14">
        <f t="shared" ref="AW66:AW72" si="49">AX66*2.54</f>
        <v>53.34</v>
      </c>
      <c r="AX66" s="112">
        <f>average(19,23)</f>
        <v>21</v>
      </c>
      <c r="AY66" s="9"/>
      <c r="AZ66" s="12"/>
      <c r="BA66" s="12"/>
      <c r="BB66" s="12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5" t="s">
        <v>550</v>
      </c>
      <c r="B67" s="9"/>
      <c r="C67" s="8"/>
      <c r="D67" s="9"/>
      <c r="E67" s="25" t="s">
        <v>23</v>
      </c>
      <c r="F67" s="9"/>
      <c r="G67" s="25">
        <v>160.0</v>
      </c>
      <c r="H67" s="9"/>
      <c r="I67" s="25">
        <v>62.0</v>
      </c>
      <c r="J67" s="25" t="s">
        <v>400</v>
      </c>
      <c r="K67" s="25" t="s">
        <v>401</v>
      </c>
      <c r="L67" s="25" t="s">
        <v>402</v>
      </c>
      <c r="M67" s="9"/>
      <c r="N67" s="41">
        <v>12.17</v>
      </c>
      <c r="O67" s="106">
        <v>62.0</v>
      </c>
      <c r="P67" s="9"/>
      <c r="Q67" s="25" t="s">
        <v>145</v>
      </c>
      <c r="R67" s="25">
        <v>0.0</v>
      </c>
      <c r="S67" s="106" t="s">
        <v>145</v>
      </c>
      <c r="T67" s="9"/>
      <c r="U67" s="25">
        <v>5.0</v>
      </c>
      <c r="V67" s="9"/>
      <c r="W67" s="14">
        <f t="shared" si="48"/>
        <v>17560.18916</v>
      </c>
      <c r="X67" s="16">
        <f>average(1000,850)</f>
        <v>925</v>
      </c>
      <c r="Y67" s="107" t="s">
        <v>160</v>
      </c>
      <c r="Z67" s="107">
        <v>850.0</v>
      </c>
      <c r="AA67" s="107">
        <v>1000.0</v>
      </c>
      <c r="AB67" s="108">
        <f t="shared" si="45"/>
        <v>5.75</v>
      </c>
      <c r="AC67" s="107">
        <v>4.0</v>
      </c>
      <c r="AD67" s="107">
        <v>7.5</v>
      </c>
      <c r="AE67" s="19">
        <f>IFERROR(__xludf.DUMMYFUNCTION("AB67*GoogleFinance(""CURRENCY:GBPUSD"")"),7.16332125)</f>
        <v>7.16332125</v>
      </c>
      <c r="AF67" s="16">
        <f t="shared" si="46"/>
        <v>4548.710247</v>
      </c>
      <c r="AG67" s="16">
        <f t="shared" si="47"/>
        <v>11886.47892</v>
      </c>
      <c r="AH67" s="16">
        <f>IFERROR(__xludf.DUMMYFUNCTION("AI67*GoogleFinance(""CURRENCY:GBPUSD"")"),976.70328)</f>
        <v>976.70328</v>
      </c>
      <c r="AI67" s="108">
        <f t="shared" si="5"/>
        <v>784</v>
      </c>
      <c r="AJ67" s="107">
        <v>121.0</v>
      </c>
      <c r="AK67" s="107">
        <v>126.0</v>
      </c>
      <c r="AL67" s="107">
        <v>244.0</v>
      </c>
      <c r="AM67" s="107">
        <v>177.0</v>
      </c>
      <c r="AN67" s="107">
        <v>116.0</v>
      </c>
      <c r="AO67" s="107">
        <v>200.0</v>
      </c>
      <c r="AP67" s="9"/>
      <c r="AQ67" s="25" t="s">
        <v>164</v>
      </c>
      <c r="AR67" s="25" t="s">
        <v>165</v>
      </c>
      <c r="AS67" s="9"/>
      <c r="AT67" s="25" t="s">
        <v>149</v>
      </c>
      <c r="AU67" s="14">
        <f>AV67*0.45359237</f>
        <v>9.52543977</v>
      </c>
      <c r="AV67" s="112">
        <f>average(18,24)</f>
        <v>21</v>
      </c>
      <c r="AW67" s="14">
        <f t="shared" si="49"/>
        <v>22.86</v>
      </c>
      <c r="AX67" s="112">
        <f>average(8,10)</f>
        <v>9</v>
      </c>
      <c r="AY67" s="9"/>
      <c r="AZ67" s="106" t="s">
        <v>553</v>
      </c>
      <c r="BA67" s="12"/>
      <c r="BB67" s="12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5" t="s">
        <v>37</v>
      </c>
      <c r="B68" s="9"/>
      <c r="C68" s="8"/>
      <c r="D68" s="9"/>
      <c r="E68" s="25" t="s">
        <v>38</v>
      </c>
      <c r="F68" s="9"/>
      <c r="G68" s="25">
        <v>13.0</v>
      </c>
      <c r="H68" s="9"/>
      <c r="I68" s="25">
        <v>5.0</v>
      </c>
      <c r="J68" s="25" t="s">
        <v>250</v>
      </c>
      <c r="K68" s="25" t="s">
        <v>251</v>
      </c>
      <c r="L68" s="25" t="s">
        <v>252</v>
      </c>
      <c r="M68" s="9"/>
      <c r="N68" s="41">
        <v>10.33</v>
      </c>
      <c r="O68" s="106">
        <v>201.0</v>
      </c>
      <c r="P68" s="9"/>
      <c r="Q68" s="25" t="s">
        <v>555</v>
      </c>
      <c r="R68" s="25">
        <v>4.0</v>
      </c>
      <c r="S68" s="106" t="s">
        <v>556</v>
      </c>
      <c r="T68" s="9"/>
      <c r="U68" s="25">
        <v>2.0</v>
      </c>
      <c r="V68" s="9"/>
      <c r="W68" s="14">
        <f t="shared" si="48"/>
        <v>14939.82901</v>
      </c>
      <c r="X68" s="16">
        <f>average(1000,495,800,1000,900,600,1200,800,300,800)</f>
        <v>789.5</v>
      </c>
      <c r="Y68" s="107" t="s">
        <v>160</v>
      </c>
      <c r="Z68" s="107">
        <v>300.0</v>
      </c>
      <c r="AA68" s="107">
        <v>1200.0</v>
      </c>
      <c r="AB68" s="108">
        <f t="shared" si="45"/>
        <v>5.75</v>
      </c>
      <c r="AC68" s="107">
        <v>4.0</v>
      </c>
      <c r="AD68" s="107">
        <v>7.5</v>
      </c>
      <c r="AE68" s="19">
        <f>IFERROR(__xludf.DUMMYFUNCTION("AB68*GoogleFinance(""CURRENCY:GBPUSD"")"),7.16332125)</f>
        <v>7.16332125</v>
      </c>
      <c r="AF68" s="16">
        <f t="shared" si="46"/>
        <v>3860.984129</v>
      </c>
      <c r="AG68" s="16">
        <f t="shared" si="47"/>
        <v>10089.34488</v>
      </c>
      <c r="AH68" s="16">
        <f>IFERROR(__xludf.DUMMYFUNCTION("AI68*GoogleFinance(""CURRENCY:GBPUSD"")"),976.70328)</f>
        <v>976.70328</v>
      </c>
      <c r="AI68" s="108">
        <f t="shared" si="5"/>
        <v>784</v>
      </c>
      <c r="AJ68" s="107">
        <v>121.0</v>
      </c>
      <c r="AK68" s="107">
        <v>126.0</v>
      </c>
      <c r="AL68" s="107">
        <v>244.0</v>
      </c>
      <c r="AM68" s="107">
        <v>177.0</v>
      </c>
      <c r="AN68" s="107">
        <v>116.0</v>
      </c>
      <c r="AO68" s="107">
        <v>200.0</v>
      </c>
      <c r="AP68" s="9"/>
      <c r="AQ68" s="25" t="s">
        <v>147</v>
      </c>
      <c r="AR68" s="25" t="s">
        <v>148</v>
      </c>
      <c r="AS68" s="9"/>
      <c r="AT68" s="25" t="s">
        <v>166</v>
      </c>
      <c r="AU68" s="109" t="s">
        <v>150</v>
      </c>
      <c r="AV68" s="106" t="s">
        <v>150</v>
      </c>
      <c r="AW68" s="14">
        <f t="shared" si="49"/>
        <v>66.04</v>
      </c>
      <c r="AX68" s="112">
        <f>average(24,28)</f>
        <v>26</v>
      </c>
      <c r="AY68" s="9"/>
      <c r="AZ68" s="12"/>
      <c r="BA68" s="12"/>
      <c r="BB68" s="12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5" t="s">
        <v>28</v>
      </c>
      <c r="B69" s="9"/>
      <c r="C69" s="8"/>
      <c r="D69" s="9"/>
      <c r="E69" s="25" t="s">
        <v>27</v>
      </c>
      <c r="F69" s="9"/>
      <c r="G69" s="25">
        <v>63.0</v>
      </c>
      <c r="H69" s="9"/>
      <c r="I69" s="25">
        <v>18.0</v>
      </c>
      <c r="J69" s="25" t="s">
        <v>267</v>
      </c>
      <c r="K69" s="116" t="s">
        <v>268</v>
      </c>
      <c r="L69" s="25" t="s">
        <v>269</v>
      </c>
      <c r="M69" s="9"/>
      <c r="N69" s="41">
        <v>11.66</v>
      </c>
      <c r="O69" s="106">
        <v>1199.0</v>
      </c>
      <c r="P69" s="9"/>
      <c r="Q69" s="25" t="s">
        <v>145</v>
      </c>
      <c r="R69" s="25">
        <v>0.0</v>
      </c>
      <c r="S69" s="106" t="s">
        <v>145</v>
      </c>
      <c r="T69" s="9"/>
      <c r="U69" s="25">
        <v>5.0</v>
      </c>
      <c r="V69" s="9"/>
      <c r="W69" s="14">
        <f t="shared" si="48"/>
        <v>15420.07538</v>
      </c>
      <c r="X69" s="16">
        <f>average(600,1000,800,600,1000,1000,600,600,800,1000)</f>
        <v>800</v>
      </c>
      <c r="Y69" s="107" t="s">
        <v>160</v>
      </c>
      <c r="Z69" s="107">
        <v>600.0</v>
      </c>
      <c r="AA69" s="107">
        <v>1000.0</v>
      </c>
      <c r="AB69" s="108">
        <f t="shared" si="45"/>
        <v>4</v>
      </c>
      <c r="AC69" s="107">
        <v>4.0</v>
      </c>
      <c r="AD69" s="107">
        <v>4.0</v>
      </c>
      <c r="AE69" s="19">
        <f>IFERROR(__xludf.DUMMYFUNCTION("AB69*GoogleFinance(""CURRENCY:GBPUSD"")"),4.98318)</f>
        <v>4.98318</v>
      </c>
      <c r="AF69" s="16">
        <f t="shared" si="46"/>
        <v>3031.715136</v>
      </c>
      <c r="AG69" s="16">
        <f t="shared" si="47"/>
        <v>11388.36024</v>
      </c>
      <c r="AH69" s="16">
        <f>IFERROR(__xludf.DUMMYFUNCTION("AI69*GoogleFinance(""CURRENCY:GBPUSD"")"),976.70328)</f>
        <v>976.70328</v>
      </c>
      <c r="AI69" s="108">
        <f t="shared" si="5"/>
        <v>784</v>
      </c>
      <c r="AJ69" s="107">
        <v>121.0</v>
      </c>
      <c r="AK69" s="107">
        <v>126.0</v>
      </c>
      <c r="AL69" s="107">
        <v>244.0</v>
      </c>
      <c r="AM69" s="107">
        <v>177.0</v>
      </c>
      <c r="AN69" s="107">
        <v>116.0</v>
      </c>
      <c r="AO69" s="107">
        <v>200.0</v>
      </c>
      <c r="AP69" s="9"/>
      <c r="AQ69" s="25" t="s">
        <v>147</v>
      </c>
      <c r="AR69" s="25" t="s">
        <v>165</v>
      </c>
      <c r="AS69" s="9"/>
      <c r="AT69" s="25" t="s">
        <v>148</v>
      </c>
      <c r="AU69" s="14">
        <f>AV69*0.45359237</f>
        <v>13.6077711</v>
      </c>
      <c r="AV69" s="112">
        <f>average(26,34)</f>
        <v>30</v>
      </c>
      <c r="AW69" s="14">
        <f t="shared" si="49"/>
        <v>40.64</v>
      </c>
      <c r="AX69" s="112">
        <f>average(15,17)</f>
        <v>16</v>
      </c>
      <c r="AY69" s="9"/>
      <c r="AZ69" s="12"/>
      <c r="BA69" s="12"/>
      <c r="BB69" s="12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5" t="s">
        <v>579</v>
      </c>
      <c r="B70" s="9"/>
      <c r="C70" s="8"/>
      <c r="D70" s="9"/>
      <c r="E70" s="25" t="s">
        <v>53</v>
      </c>
      <c r="F70" s="9"/>
      <c r="G70" s="25">
        <v>171.0</v>
      </c>
      <c r="H70" s="9"/>
      <c r="I70" s="25">
        <v>46.0</v>
      </c>
      <c r="J70" s="25" t="s">
        <v>184</v>
      </c>
      <c r="K70" s="116" t="s">
        <v>185</v>
      </c>
      <c r="L70" s="25" t="s">
        <v>187</v>
      </c>
      <c r="M70" s="9"/>
      <c r="N70" s="137" t="s">
        <v>150</v>
      </c>
      <c r="O70" s="106" t="s">
        <v>182</v>
      </c>
      <c r="P70" s="9"/>
      <c r="Q70" s="25" t="s">
        <v>145</v>
      </c>
      <c r="R70" s="25">
        <v>0.0</v>
      </c>
      <c r="S70" s="106" t="s">
        <v>145</v>
      </c>
      <c r="T70" s="9"/>
      <c r="U70" s="25">
        <v>3.0</v>
      </c>
      <c r="V70" s="9"/>
      <c r="W70" s="115" t="s">
        <v>150</v>
      </c>
      <c r="X70" s="115" t="s">
        <v>150</v>
      </c>
      <c r="Y70" s="115" t="s">
        <v>150</v>
      </c>
      <c r="Z70" s="107" t="s">
        <v>150</v>
      </c>
      <c r="AA70" s="107" t="s">
        <v>150</v>
      </c>
      <c r="AB70" s="115" t="s">
        <v>150</v>
      </c>
      <c r="AC70" s="115" t="s">
        <v>150</v>
      </c>
      <c r="AD70" s="115" t="s">
        <v>150</v>
      </c>
      <c r="AE70" s="115" t="s">
        <v>150</v>
      </c>
      <c r="AF70" s="115" t="s">
        <v>150</v>
      </c>
      <c r="AG70" s="115" t="s">
        <v>150</v>
      </c>
      <c r="AH70" s="16">
        <f>IFERROR(__xludf.DUMMYFUNCTION("AI70*GoogleFinance(""CURRENCY:GBPUSD"")"),976.70328)</f>
        <v>976.70328</v>
      </c>
      <c r="AI70" s="108">
        <f t="shared" si="5"/>
        <v>784</v>
      </c>
      <c r="AJ70" s="107">
        <v>121.0</v>
      </c>
      <c r="AK70" s="107">
        <v>126.0</v>
      </c>
      <c r="AL70" s="107">
        <v>244.0</v>
      </c>
      <c r="AM70" s="107">
        <v>177.0</v>
      </c>
      <c r="AN70" s="107">
        <v>116.0</v>
      </c>
      <c r="AO70" s="107">
        <v>200.0</v>
      </c>
      <c r="AP70" s="9"/>
      <c r="AQ70" s="25" t="s">
        <v>182</v>
      </c>
      <c r="AR70" s="25" t="s">
        <v>182</v>
      </c>
      <c r="AS70" s="8"/>
      <c r="AT70" s="25" t="s">
        <v>166</v>
      </c>
      <c r="AU70" s="106" t="s">
        <v>150</v>
      </c>
      <c r="AV70" s="106" t="s">
        <v>150</v>
      </c>
      <c r="AW70" s="14">
        <f t="shared" si="49"/>
        <v>60.96</v>
      </c>
      <c r="AX70" s="106">
        <v>24.0</v>
      </c>
      <c r="AY70" s="9"/>
      <c r="AZ70" s="12"/>
      <c r="BA70" s="12"/>
      <c r="BB70" s="12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5" t="s">
        <v>582</v>
      </c>
      <c r="B71" s="9"/>
      <c r="C71" s="8"/>
      <c r="D71" s="9"/>
      <c r="E71" s="25" t="s">
        <v>27</v>
      </c>
      <c r="F71" s="9"/>
      <c r="G71" s="25">
        <v>87.0</v>
      </c>
      <c r="H71" s="9"/>
      <c r="I71" s="25">
        <v>37.0</v>
      </c>
      <c r="J71" s="25" t="s">
        <v>142</v>
      </c>
      <c r="K71" s="25" t="s">
        <v>143</v>
      </c>
      <c r="L71" s="25" t="s">
        <v>144</v>
      </c>
      <c r="M71" s="9"/>
      <c r="N71" s="41">
        <v>11.57</v>
      </c>
      <c r="O71" s="106">
        <v>402.0</v>
      </c>
      <c r="P71" s="9"/>
      <c r="Q71" s="25" t="s">
        <v>257</v>
      </c>
      <c r="R71" s="25">
        <v>2.0</v>
      </c>
      <c r="S71" s="106" t="s">
        <v>258</v>
      </c>
      <c r="T71" s="9"/>
      <c r="U71" s="25">
        <v>3.0</v>
      </c>
      <c r="V71" s="9"/>
      <c r="W71" s="14">
        <f t="shared" ref="W71:W72" si="50">X71+AF71+AG71+AO71</f>
        <v>16439.90868</v>
      </c>
      <c r="X71" s="16">
        <f>average(400,750,750,250,750,400,1000,750,600,500)</f>
        <v>615</v>
      </c>
      <c r="Y71" s="107" t="s">
        <v>146</v>
      </c>
      <c r="Z71" s="107">
        <v>250.0</v>
      </c>
      <c r="AA71" s="107">
        <v>1000.0</v>
      </c>
      <c r="AB71" s="108">
        <f t="shared" ref="AB71:AB72" si="51">average(AC71,AD71)</f>
        <v>5.75</v>
      </c>
      <c r="AC71" s="107">
        <v>4.0</v>
      </c>
      <c r="AD71" s="107">
        <v>7.5</v>
      </c>
      <c r="AE71" s="19">
        <f>IFERROR(__xludf.DUMMYFUNCTION("AB71*GoogleFinance(""CURRENCY:GBPUSD"")"),7.16332125)</f>
        <v>7.16332125</v>
      </c>
      <c r="AF71" s="16">
        <f t="shared" ref="AF71:AF72" si="52">AE71*52.1775*N71</f>
        <v>4324.451731</v>
      </c>
      <c r="AG71" s="16">
        <f t="shared" ref="AG71:AG73" si="53">AH71*N71</f>
        <v>11300.45695</v>
      </c>
      <c r="AH71" s="16">
        <f>IFERROR(__xludf.DUMMYFUNCTION("AI71*GoogleFinance(""CURRENCY:GBPUSD"")"),976.70328)</f>
        <v>976.70328</v>
      </c>
      <c r="AI71" s="108">
        <f t="shared" si="5"/>
        <v>784</v>
      </c>
      <c r="AJ71" s="107">
        <v>121.0</v>
      </c>
      <c r="AK71" s="107">
        <v>126.0</v>
      </c>
      <c r="AL71" s="107">
        <v>244.0</v>
      </c>
      <c r="AM71" s="107">
        <v>177.0</v>
      </c>
      <c r="AN71" s="107">
        <v>116.0</v>
      </c>
      <c r="AO71" s="107">
        <v>200.0</v>
      </c>
      <c r="AP71" s="9"/>
      <c r="AQ71" s="25" t="s">
        <v>147</v>
      </c>
      <c r="AR71" s="25" t="s">
        <v>165</v>
      </c>
      <c r="AS71" s="9"/>
      <c r="AT71" s="25" t="s">
        <v>166</v>
      </c>
      <c r="AU71" s="106" t="s">
        <v>150</v>
      </c>
      <c r="AV71" s="106" t="s">
        <v>150</v>
      </c>
      <c r="AW71" s="14">
        <f t="shared" si="49"/>
        <v>62.23</v>
      </c>
      <c r="AX71" s="112">
        <f>average(24,25)</f>
        <v>24.5</v>
      </c>
      <c r="AY71" s="9"/>
      <c r="AZ71" s="12"/>
      <c r="BA71" s="12"/>
      <c r="BB71" s="12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5" t="s">
        <v>483</v>
      </c>
      <c r="B72" s="9"/>
      <c r="C72" s="8"/>
      <c r="D72" s="9"/>
      <c r="E72" s="25" t="s">
        <v>27</v>
      </c>
      <c r="F72" s="9"/>
      <c r="G72" s="25">
        <v>29.0</v>
      </c>
      <c r="H72" s="9"/>
      <c r="I72" s="25">
        <v>13.0</v>
      </c>
      <c r="J72" s="25" t="s">
        <v>267</v>
      </c>
      <c r="K72" s="116" t="s">
        <v>268</v>
      </c>
      <c r="L72" s="25" t="s">
        <v>269</v>
      </c>
      <c r="M72" s="9"/>
      <c r="N72" s="41">
        <v>12.54</v>
      </c>
      <c r="O72" s="106">
        <v>194.0</v>
      </c>
      <c r="P72" s="9"/>
      <c r="Q72" s="25" t="s">
        <v>485</v>
      </c>
      <c r="R72" s="25">
        <v>4.0</v>
      </c>
      <c r="S72" s="106" t="s">
        <v>486</v>
      </c>
      <c r="T72" s="9"/>
      <c r="U72" s="25">
        <v>4.0</v>
      </c>
      <c r="V72" s="9"/>
      <c r="W72" s="14">
        <f t="shared" si="50"/>
        <v>17749.86213</v>
      </c>
      <c r="X72" s="16">
        <f>average(950,350,1500,500,450,650,400,450,400,500)</f>
        <v>615</v>
      </c>
      <c r="Y72" s="107" t="s">
        <v>146</v>
      </c>
      <c r="Z72" s="107">
        <v>450.0</v>
      </c>
      <c r="AA72" s="107">
        <v>1500.0</v>
      </c>
      <c r="AB72" s="108">
        <f t="shared" si="51"/>
        <v>5.75</v>
      </c>
      <c r="AC72" s="107">
        <v>4.0</v>
      </c>
      <c r="AD72" s="107">
        <v>7.5</v>
      </c>
      <c r="AE72" s="19">
        <f>IFERROR(__xludf.DUMMYFUNCTION("AB72*GoogleFinance(""CURRENCY:GBPUSD"")"),7.16332125)</f>
        <v>7.16332125</v>
      </c>
      <c r="AF72" s="16">
        <f t="shared" si="52"/>
        <v>4687.002999</v>
      </c>
      <c r="AG72" s="16">
        <f t="shared" si="53"/>
        <v>12247.85913</v>
      </c>
      <c r="AH72" s="16">
        <f>IFERROR(__xludf.DUMMYFUNCTION("AI72*GoogleFinance(""CURRENCY:GBPUSD"")"),976.70328)</f>
        <v>976.70328</v>
      </c>
      <c r="AI72" s="108">
        <f t="shared" si="5"/>
        <v>784</v>
      </c>
      <c r="AJ72" s="107">
        <v>121.0</v>
      </c>
      <c r="AK72" s="107">
        <v>126.0</v>
      </c>
      <c r="AL72" s="107">
        <v>244.0</v>
      </c>
      <c r="AM72" s="107">
        <v>177.0</v>
      </c>
      <c r="AN72" s="107">
        <v>116.0</v>
      </c>
      <c r="AO72" s="107">
        <v>200.0</v>
      </c>
      <c r="AP72" s="9"/>
      <c r="AQ72" s="25" t="s">
        <v>147</v>
      </c>
      <c r="AR72" s="25" t="s">
        <v>165</v>
      </c>
      <c r="AS72" s="9"/>
      <c r="AT72" s="25" t="s">
        <v>148</v>
      </c>
      <c r="AU72" s="14">
        <f t="shared" ref="AU72:AU73" si="54">AV72*0.45359237</f>
        <v>20.41165665</v>
      </c>
      <c r="AV72" s="112">
        <f>average(40,50)</f>
        <v>45</v>
      </c>
      <c r="AW72" s="14">
        <f t="shared" si="49"/>
        <v>49.53</v>
      </c>
      <c r="AX72" s="112">
        <f>average(19,20)</f>
        <v>19.5</v>
      </c>
      <c r="AY72" s="9"/>
      <c r="AZ72" s="12"/>
      <c r="BA72" s="12"/>
      <c r="BB72" s="12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5" t="s">
        <v>586</v>
      </c>
      <c r="B73" s="9"/>
      <c r="C73" s="8"/>
      <c r="D73" s="9"/>
      <c r="E73" s="25" t="s">
        <v>43</v>
      </c>
      <c r="F73" s="9"/>
      <c r="G73" s="25">
        <v>129.0</v>
      </c>
      <c r="H73" s="9"/>
      <c r="I73" s="25">
        <v>45.0</v>
      </c>
      <c r="J73" s="25" t="s">
        <v>184</v>
      </c>
      <c r="K73" s="116" t="s">
        <v>185</v>
      </c>
      <c r="L73" s="25" t="s">
        <v>187</v>
      </c>
      <c r="M73" s="9"/>
      <c r="N73" s="41">
        <v>10.1</v>
      </c>
      <c r="O73" s="106">
        <v>22.0</v>
      </c>
      <c r="P73" s="9"/>
      <c r="Q73" s="25" t="s">
        <v>145</v>
      </c>
      <c r="R73" s="25">
        <v>0.0</v>
      </c>
      <c r="S73" s="106" t="s">
        <v>145</v>
      </c>
      <c r="T73" s="9"/>
      <c r="U73" s="25">
        <v>5.0</v>
      </c>
      <c r="V73" s="9"/>
      <c r="W73" s="115" t="s">
        <v>150</v>
      </c>
      <c r="X73" s="16">
        <f>average(600,1000,550,1000,1000,1250,150,1200,1000,1500)</f>
        <v>925</v>
      </c>
      <c r="Y73" s="107" t="s">
        <v>160</v>
      </c>
      <c r="Z73" s="107">
        <v>150.0</v>
      </c>
      <c r="AA73" s="107">
        <v>1500.0</v>
      </c>
      <c r="AB73" s="115" t="s">
        <v>150</v>
      </c>
      <c r="AC73" s="115" t="s">
        <v>150</v>
      </c>
      <c r="AD73" s="115" t="s">
        <v>150</v>
      </c>
      <c r="AE73" s="115" t="s">
        <v>150</v>
      </c>
      <c r="AF73" s="115" t="s">
        <v>150</v>
      </c>
      <c r="AG73" s="16">
        <f t="shared" si="53"/>
        <v>9864.703128</v>
      </c>
      <c r="AH73" s="16">
        <f>IFERROR(__xludf.DUMMYFUNCTION("AI73*GoogleFinance(""CURRENCY:GBPUSD"")"),976.70328)</f>
        <v>976.70328</v>
      </c>
      <c r="AI73" s="108">
        <f t="shared" si="5"/>
        <v>784</v>
      </c>
      <c r="AJ73" s="107">
        <v>121.0</v>
      </c>
      <c r="AK73" s="107">
        <v>126.0</v>
      </c>
      <c r="AL73" s="107">
        <v>244.0</v>
      </c>
      <c r="AM73" s="107">
        <v>177.0</v>
      </c>
      <c r="AN73" s="107">
        <v>116.0</v>
      </c>
      <c r="AO73" s="107">
        <v>200.0</v>
      </c>
      <c r="AP73" s="9"/>
      <c r="AQ73" s="25" t="s">
        <v>182</v>
      </c>
      <c r="AR73" s="25" t="s">
        <v>182</v>
      </c>
      <c r="AS73" s="9"/>
      <c r="AT73" s="25" t="s">
        <v>149</v>
      </c>
      <c r="AU73" s="14">
        <f t="shared" si="54"/>
        <v>4.98951607</v>
      </c>
      <c r="AV73" s="112">
        <f>average(8,14)</f>
        <v>11</v>
      </c>
      <c r="AW73" s="106" t="s">
        <v>150</v>
      </c>
      <c r="AX73" s="106" t="s">
        <v>150</v>
      </c>
      <c r="AY73" s="9"/>
      <c r="AZ73" s="12"/>
      <c r="BA73" s="12"/>
      <c r="BB73" s="12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5" t="s">
        <v>589</v>
      </c>
      <c r="B74" s="61"/>
      <c r="D74" s="61"/>
      <c r="E74" s="25" t="s">
        <v>32</v>
      </c>
      <c r="F74" s="9"/>
      <c r="G74" s="25">
        <v>146.0</v>
      </c>
      <c r="H74" s="9"/>
      <c r="I74" s="106" t="s">
        <v>150</v>
      </c>
      <c r="J74" s="106" t="s">
        <v>150</v>
      </c>
      <c r="K74" s="106" t="s">
        <v>150</v>
      </c>
      <c r="L74" s="106" t="s">
        <v>150</v>
      </c>
      <c r="M74" s="134"/>
      <c r="N74" s="137" t="s">
        <v>150</v>
      </c>
      <c r="O74" s="106" t="s">
        <v>182</v>
      </c>
      <c r="P74" s="134"/>
      <c r="Q74" s="106" t="s">
        <v>150</v>
      </c>
      <c r="R74" s="106" t="s">
        <v>150</v>
      </c>
      <c r="S74" s="106" t="s">
        <v>150</v>
      </c>
      <c r="T74" s="9"/>
      <c r="U74" s="25">
        <v>3.0</v>
      </c>
      <c r="V74" s="9"/>
      <c r="W74" s="115" t="s">
        <v>150</v>
      </c>
      <c r="X74" s="16">
        <f>average(1200,1000,1300)</f>
        <v>1166.666667</v>
      </c>
      <c r="Y74" s="107" t="s">
        <v>160</v>
      </c>
      <c r="Z74" s="115">
        <v>1000.0</v>
      </c>
      <c r="AA74" s="115">
        <v>1300.0</v>
      </c>
      <c r="AB74" s="115" t="s">
        <v>150</v>
      </c>
      <c r="AC74" s="115" t="s">
        <v>150</v>
      </c>
      <c r="AD74" s="115" t="s">
        <v>150</v>
      </c>
      <c r="AE74" s="115" t="s">
        <v>150</v>
      </c>
      <c r="AF74" s="115" t="s">
        <v>150</v>
      </c>
      <c r="AG74" s="115" t="s">
        <v>150</v>
      </c>
      <c r="AH74" s="16">
        <f>IFERROR(__xludf.DUMMYFUNCTION("AI74*GoogleFinance(""CURRENCY:GBPUSD"")"),976.70328)</f>
        <v>976.70328</v>
      </c>
      <c r="AI74" s="108">
        <f t="shared" si="5"/>
        <v>784</v>
      </c>
      <c r="AJ74" s="107">
        <v>121.0</v>
      </c>
      <c r="AK74" s="107">
        <v>126.0</v>
      </c>
      <c r="AL74" s="107">
        <v>244.0</v>
      </c>
      <c r="AM74" s="107">
        <v>177.0</v>
      </c>
      <c r="AN74" s="107">
        <v>116.0</v>
      </c>
      <c r="AO74" s="107">
        <v>200.0</v>
      </c>
      <c r="AP74" s="9"/>
      <c r="AQ74" s="25" t="s">
        <v>182</v>
      </c>
      <c r="AR74" s="25" t="s">
        <v>182</v>
      </c>
      <c r="AS74" s="9"/>
      <c r="AT74" s="25" t="s">
        <v>148</v>
      </c>
      <c r="AU74" s="109" t="s">
        <v>150</v>
      </c>
      <c r="AV74" s="106" t="s">
        <v>150</v>
      </c>
      <c r="AW74" s="14">
        <f t="shared" ref="AW74:AW78" si="55">AX74*2.54</f>
        <v>46.99</v>
      </c>
      <c r="AX74" s="112">
        <f>average(16,21)</f>
        <v>18.5</v>
      </c>
      <c r="AY74" s="9"/>
      <c r="AZ74" s="106" t="s">
        <v>310</v>
      </c>
      <c r="BA74" s="12"/>
      <c r="BB74" s="12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5" t="s">
        <v>591</v>
      </c>
      <c r="B75" s="9"/>
      <c r="C75" s="8"/>
      <c r="D75" s="9"/>
      <c r="E75" s="25" t="s">
        <v>27</v>
      </c>
      <c r="F75" s="9"/>
      <c r="G75" s="25">
        <v>141.0</v>
      </c>
      <c r="H75" s="9"/>
      <c r="I75" s="25">
        <v>34.0</v>
      </c>
      <c r="J75" s="25" t="s">
        <v>142</v>
      </c>
      <c r="K75" s="25" t="s">
        <v>143</v>
      </c>
      <c r="L75" s="25" t="s">
        <v>144</v>
      </c>
      <c r="M75" s="9"/>
      <c r="N75" s="41">
        <v>9.9</v>
      </c>
      <c r="O75" s="106">
        <v>139.0</v>
      </c>
      <c r="P75" s="9"/>
      <c r="Q75" s="25" t="s">
        <v>145</v>
      </c>
      <c r="R75" s="25">
        <v>0.0</v>
      </c>
      <c r="S75" s="106" t="s">
        <v>145</v>
      </c>
      <c r="T75" s="9"/>
      <c r="U75" s="25">
        <v>5.0</v>
      </c>
      <c r="V75" s="9"/>
      <c r="W75" s="115" t="s">
        <v>150</v>
      </c>
      <c r="X75" s="115" t="s">
        <v>150</v>
      </c>
      <c r="Y75" s="115" t="s">
        <v>150</v>
      </c>
      <c r="Z75" s="107" t="s">
        <v>150</v>
      </c>
      <c r="AA75" s="107" t="s">
        <v>150</v>
      </c>
      <c r="AB75" s="108">
        <f t="shared" ref="AB75:AB79" si="56">average(AC75,AD75)</f>
        <v>5.75</v>
      </c>
      <c r="AC75" s="107">
        <v>4.0</v>
      </c>
      <c r="AD75" s="107">
        <v>7.5</v>
      </c>
      <c r="AE75" s="19">
        <f>IFERROR(__xludf.DUMMYFUNCTION("AB75*GoogleFinance(""CURRENCY:GBPUSD"")"),7.16332125)</f>
        <v>7.16332125</v>
      </c>
      <c r="AF75" s="16">
        <f t="shared" ref="AF75:AF79" si="57">AE75*52.1775*N75</f>
        <v>3700.265526</v>
      </c>
      <c r="AG75" s="16">
        <f t="shared" ref="AG75:AG91" si="58">AH75*N75</f>
        <v>9669.362472</v>
      </c>
      <c r="AH75" s="16">
        <f>IFERROR(__xludf.DUMMYFUNCTION("AI75*GoogleFinance(""CURRENCY:GBPUSD"")"),976.70328)</f>
        <v>976.70328</v>
      </c>
      <c r="AI75" s="108">
        <f t="shared" si="5"/>
        <v>784</v>
      </c>
      <c r="AJ75" s="107">
        <v>121.0</v>
      </c>
      <c r="AK75" s="107">
        <v>126.0</v>
      </c>
      <c r="AL75" s="107">
        <v>244.0</v>
      </c>
      <c r="AM75" s="107">
        <v>177.0</v>
      </c>
      <c r="AN75" s="107">
        <v>116.0</v>
      </c>
      <c r="AO75" s="107">
        <v>200.0</v>
      </c>
      <c r="AP75" s="9"/>
      <c r="AQ75" s="25" t="s">
        <v>164</v>
      </c>
      <c r="AR75" s="25" t="s">
        <v>148</v>
      </c>
      <c r="AS75" s="9"/>
      <c r="AT75" s="25" t="s">
        <v>148</v>
      </c>
      <c r="AU75" s="106" t="s">
        <v>150</v>
      </c>
      <c r="AV75" s="106" t="s">
        <v>150</v>
      </c>
      <c r="AW75" s="14">
        <f t="shared" si="55"/>
        <v>44.45</v>
      </c>
      <c r="AX75" s="112">
        <f>average(17,18)</f>
        <v>17.5</v>
      </c>
      <c r="AY75" s="9"/>
      <c r="AZ75" s="12"/>
      <c r="BA75" s="12"/>
      <c r="BB75" s="12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5" t="s">
        <v>594</v>
      </c>
      <c r="B76" s="9"/>
      <c r="C76" s="8"/>
      <c r="D76" s="9"/>
      <c r="E76" s="25" t="s">
        <v>32</v>
      </c>
      <c r="F76" s="9"/>
      <c r="G76" s="25">
        <v>104.0</v>
      </c>
      <c r="H76" s="9"/>
      <c r="I76" s="106" t="s">
        <v>150</v>
      </c>
      <c r="J76" s="106" t="s">
        <v>150</v>
      </c>
      <c r="K76" s="106" t="s">
        <v>150</v>
      </c>
      <c r="L76" s="106" t="s">
        <v>150</v>
      </c>
      <c r="M76" s="9"/>
      <c r="N76" s="41">
        <v>7.33</v>
      </c>
      <c r="O76" s="106">
        <v>5.0</v>
      </c>
      <c r="P76" s="134"/>
      <c r="Q76" s="106" t="s">
        <v>150</v>
      </c>
      <c r="R76" s="106" t="s">
        <v>150</v>
      </c>
      <c r="S76" s="106" t="s">
        <v>150</v>
      </c>
      <c r="T76" s="9"/>
      <c r="U76" s="25">
        <v>3.0</v>
      </c>
      <c r="V76" s="9"/>
      <c r="W76" s="115" t="s">
        <v>150</v>
      </c>
      <c r="X76" s="115" t="s">
        <v>150</v>
      </c>
      <c r="Y76" s="115" t="s">
        <v>150</v>
      </c>
      <c r="Z76" s="107" t="s">
        <v>150</v>
      </c>
      <c r="AA76" s="107" t="s">
        <v>150</v>
      </c>
      <c r="AB76" s="108">
        <f t="shared" si="56"/>
        <v>5.75</v>
      </c>
      <c r="AC76" s="107">
        <v>4.0</v>
      </c>
      <c r="AD76" s="107">
        <v>7.5</v>
      </c>
      <c r="AE76" s="19">
        <f>IFERROR(__xludf.DUMMYFUNCTION("AB76*GoogleFinance(""CURRENCY:GBPUSD"")"),7.16332125)</f>
        <v>7.16332125</v>
      </c>
      <c r="AF76" s="16">
        <f t="shared" si="57"/>
        <v>2739.691546</v>
      </c>
      <c r="AG76" s="16">
        <f t="shared" si="58"/>
        <v>7159.235042</v>
      </c>
      <c r="AH76" s="16">
        <f>IFERROR(__xludf.DUMMYFUNCTION("AI76*GoogleFinance(""CURRENCY:GBPUSD"")"),976.70328)</f>
        <v>976.70328</v>
      </c>
      <c r="AI76" s="108">
        <f t="shared" si="5"/>
        <v>784</v>
      </c>
      <c r="AJ76" s="107">
        <v>121.0</v>
      </c>
      <c r="AK76" s="107">
        <v>126.0</v>
      </c>
      <c r="AL76" s="107">
        <v>244.0</v>
      </c>
      <c r="AM76" s="107">
        <v>177.0</v>
      </c>
      <c r="AN76" s="107">
        <v>116.0</v>
      </c>
      <c r="AO76" s="107">
        <v>200.0</v>
      </c>
      <c r="AP76" s="9"/>
      <c r="AQ76" s="25" t="s">
        <v>164</v>
      </c>
      <c r="AR76" s="25" t="s">
        <v>165</v>
      </c>
      <c r="AS76" s="9"/>
      <c r="AT76" s="25" t="s">
        <v>148</v>
      </c>
      <c r="AU76" s="106" t="s">
        <v>150</v>
      </c>
      <c r="AV76" s="106" t="s">
        <v>150</v>
      </c>
      <c r="AW76" s="14">
        <f t="shared" si="55"/>
        <v>46.99</v>
      </c>
      <c r="AX76" s="112">
        <f>average(16,21)</f>
        <v>18.5</v>
      </c>
      <c r="AY76" s="9"/>
      <c r="AZ76" s="12"/>
      <c r="BA76" s="12"/>
      <c r="BB76" s="12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5" t="s">
        <v>596</v>
      </c>
      <c r="B77" s="9"/>
      <c r="C77" s="8"/>
      <c r="D77" s="9"/>
      <c r="E77" s="25" t="s">
        <v>34</v>
      </c>
      <c r="F77" s="9"/>
      <c r="G77" s="25">
        <v>167.0</v>
      </c>
      <c r="H77" s="9"/>
      <c r="I77" s="25">
        <v>43.0</v>
      </c>
      <c r="J77" s="25" t="s">
        <v>184</v>
      </c>
      <c r="K77" s="116" t="s">
        <v>185</v>
      </c>
      <c r="L77" s="25" t="s">
        <v>187</v>
      </c>
      <c r="M77" s="9"/>
      <c r="N77" s="41">
        <v>11.17</v>
      </c>
      <c r="O77" s="106">
        <v>42.0</v>
      </c>
      <c r="P77" s="9"/>
      <c r="Q77" s="25" t="s">
        <v>145</v>
      </c>
      <c r="R77" s="25">
        <v>0.0</v>
      </c>
      <c r="S77" s="106" t="s">
        <v>145</v>
      </c>
      <c r="T77" s="9"/>
      <c r="U77" s="25">
        <v>3.0</v>
      </c>
      <c r="V77" s="9"/>
      <c r="W77" s="115" t="s">
        <v>150</v>
      </c>
      <c r="X77" s="115" t="s">
        <v>150</v>
      </c>
      <c r="Y77" s="115" t="s">
        <v>150</v>
      </c>
      <c r="Z77" s="107" t="s">
        <v>150</v>
      </c>
      <c r="AA77" s="107" t="s">
        <v>150</v>
      </c>
      <c r="AB77" s="108">
        <f t="shared" si="56"/>
        <v>5.75</v>
      </c>
      <c r="AC77" s="107">
        <v>4.0</v>
      </c>
      <c r="AD77" s="107">
        <v>7.5</v>
      </c>
      <c r="AE77" s="19">
        <f>IFERROR(__xludf.DUMMYFUNCTION("AB77*GoogleFinance(""CURRENCY:GBPUSD"")"),7.16332125)</f>
        <v>7.16332125</v>
      </c>
      <c r="AF77" s="16">
        <f t="shared" si="57"/>
        <v>4174.946053</v>
      </c>
      <c r="AG77" s="16">
        <f t="shared" si="58"/>
        <v>10909.77564</v>
      </c>
      <c r="AH77" s="16">
        <f>IFERROR(__xludf.DUMMYFUNCTION("AI77*GoogleFinance(""CURRENCY:GBPUSD"")"),976.70328)</f>
        <v>976.70328</v>
      </c>
      <c r="AI77" s="108">
        <f t="shared" si="5"/>
        <v>784</v>
      </c>
      <c r="AJ77" s="107">
        <v>121.0</v>
      </c>
      <c r="AK77" s="107">
        <v>126.0</v>
      </c>
      <c r="AL77" s="107">
        <v>244.0</v>
      </c>
      <c r="AM77" s="107">
        <v>177.0</v>
      </c>
      <c r="AN77" s="107">
        <v>116.0</v>
      </c>
      <c r="AO77" s="107">
        <v>200.0</v>
      </c>
      <c r="AP77" s="9"/>
      <c r="AQ77" s="25" t="s">
        <v>147</v>
      </c>
      <c r="AR77" s="25" t="s">
        <v>165</v>
      </c>
      <c r="AS77" s="9"/>
      <c r="AT77" s="25" t="s">
        <v>148</v>
      </c>
      <c r="AU77" s="106" t="s">
        <v>150</v>
      </c>
      <c r="AV77" s="106" t="s">
        <v>150</v>
      </c>
      <c r="AW77" s="14">
        <f t="shared" si="55"/>
        <v>45.085</v>
      </c>
      <c r="AX77" s="112">
        <f>average(15.5,20)</f>
        <v>17.75</v>
      </c>
      <c r="AY77" s="9"/>
      <c r="AZ77" s="12"/>
      <c r="BA77" s="12"/>
      <c r="BB77" s="12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5" t="s">
        <v>598</v>
      </c>
      <c r="B78" s="9"/>
      <c r="C78" s="8"/>
      <c r="D78" s="9"/>
      <c r="E78" s="25" t="s">
        <v>27</v>
      </c>
      <c r="F78" s="9"/>
      <c r="G78" s="25">
        <v>90.0</v>
      </c>
      <c r="H78" s="9"/>
      <c r="I78" s="25">
        <v>18.0</v>
      </c>
      <c r="J78" s="25" t="s">
        <v>267</v>
      </c>
      <c r="K78" s="116" t="s">
        <v>268</v>
      </c>
      <c r="L78" s="25" t="s">
        <v>269</v>
      </c>
      <c r="M78" s="9"/>
      <c r="N78" s="41">
        <v>9.02</v>
      </c>
      <c r="O78" s="106">
        <v>1198.0</v>
      </c>
      <c r="P78" s="9"/>
      <c r="Q78" s="25" t="s">
        <v>145</v>
      </c>
      <c r="R78" s="25">
        <v>0.0</v>
      </c>
      <c r="S78" s="106" t="s">
        <v>145</v>
      </c>
      <c r="T78" s="9"/>
      <c r="U78" s="25">
        <v>4.0</v>
      </c>
      <c r="V78" s="9"/>
      <c r="W78" s="14">
        <f t="shared" ref="W78:W79" si="59">X78+AF78+AG78+AO78</f>
        <v>12981.21662</v>
      </c>
      <c r="X78" s="16">
        <f>average(1200,300,300)</f>
        <v>600</v>
      </c>
      <c r="Y78" s="107" t="s">
        <v>146</v>
      </c>
      <c r="Z78" s="107">
        <v>300.0</v>
      </c>
      <c r="AA78" s="107">
        <v>1200.0</v>
      </c>
      <c r="AB78" s="108">
        <f t="shared" si="56"/>
        <v>5.75</v>
      </c>
      <c r="AC78" s="107">
        <v>4.0</v>
      </c>
      <c r="AD78" s="107">
        <v>7.5</v>
      </c>
      <c r="AE78" s="19">
        <f>IFERROR(__xludf.DUMMYFUNCTION("AB78*GoogleFinance(""CURRENCY:GBPUSD"")"),7.16332125)</f>
        <v>7.16332125</v>
      </c>
      <c r="AF78" s="16">
        <f t="shared" si="57"/>
        <v>3371.353035</v>
      </c>
      <c r="AG78" s="16">
        <f t="shared" si="58"/>
        <v>8809.863586</v>
      </c>
      <c r="AH78" s="16">
        <f>IFERROR(__xludf.DUMMYFUNCTION("AI78*GoogleFinance(""CURRENCY:GBPUSD"")"),976.70328)</f>
        <v>976.70328</v>
      </c>
      <c r="AI78" s="108">
        <f t="shared" si="5"/>
        <v>784</v>
      </c>
      <c r="AJ78" s="107">
        <v>121.0</v>
      </c>
      <c r="AK78" s="107">
        <v>126.0</v>
      </c>
      <c r="AL78" s="107">
        <v>244.0</v>
      </c>
      <c r="AM78" s="107">
        <v>177.0</v>
      </c>
      <c r="AN78" s="107">
        <v>116.0</v>
      </c>
      <c r="AO78" s="107">
        <v>200.0</v>
      </c>
      <c r="AP78" s="9"/>
      <c r="AQ78" s="25" t="s">
        <v>164</v>
      </c>
      <c r="AR78" s="25" t="s">
        <v>165</v>
      </c>
      <c r="AS78" s="9"/>
      <c r="AT78" s="25" t="s">
        <v>148</v>
      </c>
      <c r="AU78" s="106" t="s">
        <v>150</v>
      </c>
      <c r="AV78" s="106" t="s">
        <v>150</v>
      </c>
      <c r="AW78" s="14">
        <f t="shared" si="55"/>
        <v>59.055</v>
      </c>
      <c r="AX78" s="112">
        <f>average(22,24.5)</f>
        <v>23.25</v>
      </c>
      <c r="AY78" s="9"/>
      <c r="AZ78" s="106" t="s">
        <v>600</v>
      </c>
      <c r="BA78" s="12"/>
      <c r="BB78" s="12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5" t="s">
        <v>601</v>
      </c>
      <c r="B79" s="9"/>
      <c r="C79" s="8"/>
      <c r="D79" s="9"/>
      <c r="E79" s="25" t="s">
        <v>34</v>
      </c>
      <c r="F79" s="9"/>
      <c r="G79" s="25">
        <v>18.0</v>
      </c>
      <c r="H79" s="9"/>
      <c r="I79" s="25">
        <v>58.0</v>
      </c>
      <c r="J79" s="25" t="s">
        <v>400</v>
      </c>
      <c r="K79" s="25" t="s">
        <v>401</v>
      </c>
      <c r="L79" s="25" t="s">
        <v>402</v>
      </c>
      <c r="M79" s="9"/>
      <c r="N79" s="41">
        <v>9.0</v>
      </c>
      <c r="O79" s="106">
        <v>71.0</v>
      </c>
      <c r="P79" s="9"/>
      <c r="Q79" s="25" t="s">
        <v>145</v>
      </c>
      <c r="R79" s="25">
        <v>0.0</v>
      </c>
      <c r="S79" s="106" t="s">
        <v>145</v>
      </c>
      <c r="T79" s="9"/>
      <c r="U79" s="25">
        <v>1.0</v>
      </c>
      <c r="V79" s="9"/>
      <c r="W79" s="14">
        <f t="shared" si="59"/>
        <v>14254.20727</v>
      </c>
      <c r="X79" s="16">
        <f>average(1350,1800,1800,1600,2500,1800,3500,1350,1300,2000)</f>
        <v>1900</v>
      </c>
      <c r="Y79" s="107" t="s">
        <v>372</v>
      </c>
      <c r="Z79" s="107">
        <v>1300.0</v>
      </c>
      <c r="AA79" s="107">
        <v>3500.0</v>
      </c>
      <c r="AB79" s="108">
        <f t="shared" si="56"/>
        <v>5.75</v>
      </c>
      <c r="AC79" s="107">
        <v>4.0</v>
      </c>
      <c r="AD79" s="107">
        <v>7.5</v>
      </c>
      <c r="AE79" s="19">
        <f>IFERROR(__xludf.DUMMYFUNCTION("AB79*GoogleFinance(""CURRENCY:GBPUSD"")"),7.16332125)</f>
        <v>7.16332125</v>
      </c>
      <c r="AF79" s="16">
        <f t="shared" si="57"/>
        <v>3363.877751</v>
      </c>
      <c r="AG79" s="16">
        <f t="shared" si="58"/>
        <v>8790.32952</v>
      </c>
      <c r="AH79" s="16">
        <f>IFERROR(__xludf.DUMMYFUNCTION("AI79*GoogleFinance(""CURRENCY:GBPUSD"")"),976.70328)</f>
        <v>976.70328</v>
      </c>
      <c r="AI79" s="108">
        <f t="shared" si="5"/>
        <v>784</v>
      </c>
      <c r="AJ79" s="107">
        <v>121.0</v>
      </c>
      <c r="AK79" s="107">
        <v>126.0</v>
      </c>
      <c r="AL79" s="107">
        <v>244.0</v>
      </c>
      <c r="AM79" s="107">
        <v>177.0</v>
      </c>
      <c r="AN79" s="107">
        <v>116.0</v>
      </c>
      <c r="AO79" s="107">
        <v>200.0</v>
      </c>
      <c r="AP79" s="9"/>
      <c r="AQ79" s="25" t="s">
        <v>147</v>
      </c>
      <c r="AR79" s="25" t="s">
        <v>165</v>
      </c>
      <c r="AS79" s="9"/>
      <c r="AT79" s="25" t="s">
        <v>148</v>
      </c>
      <c r="AU79" s="14">
        <f>AV79*0.45359237</f>
        <v>12.24699399</v>
      </c>
      <c r="AV79" s="106">
        <v>27.0</v>
      </c>
      <c r="AW79" s="106" t="s">
        <v>150</v>
      </c>
      <c r="AX79" s="106" t="s">
        <v>150</v>
      </c>
      <c r="AY79" s="9"/>
      <c r="AZ79" s="106" t="s">
        <v>603</v>
      </c>
      <c r="BA79" s="12"/>
      <c r="BB79" s="12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5" t="s">
        <v>604</v>
      </c>
      <c r="B80" s="9"/>
      <c r="C80" s="8"/>
      <c r="D80" s="9"/>
      <c r="E80" s="25" t="s">
        <v>38</v>
      </c>
      <c r="F80" s="9"/>
      <c r="G80" s="25">
        <v>137.0</v>
      </c>
      <c r="H80" s="9"/>
      <c r="I80" s="106" t="s">
        <v>150</v>
      </c>
      <c r="J80" s="106" t="s">
        <v>150</v>
      </c>
      <c r="K80" s="106" t="s">
        <v>150</v>
      </c>
      <c r="L80" s="106" t="s">
        <v>150</v>
      </c>
      <c r="M80" s="9"/>
      <c r="N80" s="41">
        <v>11.42</v>
      </c>
      <c r="O80" s="106">
        <v>24.0</v>
      </c>
      <c r="P80" s="134"/>
      <c r="Q80" s="106" t="s">
        <v>150</v>
      </c>
      <c r="R80" s="106" t="s">
        <v>150</v>
      </c>
      <c r="S80" s="106" t="s">
        <v>150</v>
      </c>
      <c r="T80" s="9"/>
      <c r="U80" s="25">
        <v>2.0</v>
      </c>
      <c r="V80" s="9"/>
      <c r="W80" s="115" t="s">
        <v>150</v>
      </c>
      <c r="X80" s="115">
        <v>1500.0</v>
      </c>
      <c r="Y80" s="107" t="s">
        <v>372</v>
      </c>
      <c r="Z80" s="107">
        <v>1500.0</v>
      </c>
      <c r="AA80" s="107">
        <v>1500.0</v>
      </c>
      <c r="AB80" s="115" t="s">
        <v>150</v>
      </c>
      <c r="AC80" s="115" t="s">
        <v>150</v>
      </c>
      <c r="AD80" s="115" t="s">
        <v>150</v>
      </c>
      <c r="AE80" s="115" t="s">
        <v>150</v>
      </c>
      <c r="AF80" s="115" t="s">
        <v>150</v>
      </c>
      <c r="AG80" s="16">
        <f t="shared" si="58"/>
        <v>11153.95146</v>
      </c>
      <c r="AH80" s="16">
        <f>IFERROR(__xludf.DUMMYFUNCTION("AI80*GoogleFinance(""CURRENCY:GBPUSD"")"),976.70328)</f>
        <v>976.70328</v>
      </c>
      <c r="AI80" s="108">
        <f t="shared" si="5"/>
        <v>784</v>
      </c>
      <c r="AJ80" s="107">
        <v>121.0</v>
      </c>
      <c r="AK80" s="107">
        <v>126.0</v>
      </c>
      <c r="AL80" s="107">
        <v>244.0</v>
      </c>
      <c r="AM80" s="107">
        <v>177.0</v>
      </c>
      <c r="AN80" s="107">
        <v>116.0</v>
      </c>
      <c r="AO80" s="107">
        <v>200.0</v>
      </c>
      <c r="AP80" s="9"/>
      <c r="AQ80" s="107" t="s">
        <v>182</v>
      </c>
      <c r="AR80" s="107" t="s">
        <v>182</v>
      </c>
      <c r="AS80" s="9"/>
      <c r="AT80" s="25" t="s">
        <v>148</v>
      </c>
      <c r="AU80" s="109" t="s">
        <v>150</v>
      </c>
      <c r="AV80" s="106" t="s">
        <v>150</v>
      </c>
      <c r="AW80" s="14">
        <f t="shared" ref="AW80:AW90" si="60">AX80*2.54</f>
        <v>46.99</v>
      </c>
      <c r="AX80" s="112">
        <f>average(17,20)</f>
        <v>18.5</v>
      </c>
      <c r="AY80" s="9"/>
      <c r="AZ80" s="106" t="s">
        <v>305</v>
      </c>
      <c r="BA80" s="12"/>
      <c r="BB80" s="12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5" t="s">
        <v>35</v>
      </c>
      <c r="B81" s="9"/>
      <c r="C81" s="8"/>
      <c r="D81" s="9"/>
      <c r="E81" s="25" t="s">
        <v>32</v>
      </c>
      <c r="F81" s="9"/>
      <c r="G81" s="25">
        <v>2.0</v>
      </c>
      <c r="H81" s="9"/>
      <c r="I81" s="25">
        <v>3.0</v>
      </c>
      <c r="J81" s="25" t="s">
        <v>250</v>
      </c>
      <c r="K81" s="25" t="s">
        <v>251</v>
      </c>
      <c r="L81" s="25" t="s">
        <v>252</v>
      </c>
      <c r="M81" s="9"/>
      <c r="N81" s="41">
        <v>9.73</v>
      </c>
      <c r="O81" s="106">
        <v>795.0</v>
      </c>
      <c r="P81" s="9"/>
      <c r="Q81" s="25" t="s">
        <v>607</v>
      </c>
      <c r="R81" s="25">
        <v>8.0</v>
      </c>
      <c r="S81" s="106" t="s">
        <v>608</v>
      </c>
      <c r="T81" s="9"/>
      <c r="U81" s="25">
        <v>3.0</v>
      </c>
      <c r="V81" s="9"/>
      <c r="W81" s="14">
        <f>X81+AF81+AG81+AO81</f>
        <v>14159.54853</v>
      </c>
      <c r="X81" s="16">
        <f>average(400,1495,600,800,600,600,1000,700,800,1200)</f>
        <v>819.5</v>
      </c>
      <c r="Y81" s="107" t="s">
        <v>160</v>
      </c>
      <c r="Z81" s="107">
        <v>400.0</v>
      </c>
      <c r="AA81" s="107">
        <v>1495.0</v>
      </c>
      <c r="AB81" s="108">
        <f>average(AC81,AD81)</f>
        <v>5.75</v>
      </c>
      <c r="AC81" s="107">
        <v>4.0</v>
      </c>
      <c r="AD81" s="107">
        <v>7.5</v>
      </c>
      <c r="AE81" s="19">
        <f>IFERROR(__xludf.DUMMYFUNCTION("AB81*GoogleFinance(""CURRENCY:GBPUSD"")"),7.16332125)</f>
        <v>7.16332125</v>
      </c>
      <c r="AF81" s="16">
        <f>AE81*52.1775*N81</f>
        <v>3636.725613</v>
      </c>
      <c r="AG81" s="16">
        <f t="shared" si="58"/>
        <v>9503.322914</v>
      </c>
      <c r="AH81" s="16">
        <f>IFERROR(__xludf.DUMMYFUNCTION("AI81*GoogleFinance(""CURRENCY:GBPUSD"")"),976.70328)</f>
        <v>976.70328</v>
      </c>
      <c r="AI81" s="108">
        <f t="shared" si="5"/>
        <v>784</v>
      </c>
      <c r="AJ81" s="107">
        <v>121.0</v>
      </c>
      <c r="AK81" s="107">
        <v>126.0</v>
      </c>
      <c r="AL81" s="107">
        <v>244.0</v>
      </c>
      <c r="AM81" s="107">
        <v>177.0</v>
      </c>
      <c r="AN81" s="107">
        <v>116.0</v>
      </c>
      <c r="AO81" s="107">
        <v>200.0</v>
      </c>
      <c r="AP81" s="9"/>
      <c r="AQ81" s="25" t="s">
        <v>147</v>
      </c>
      <c r="AR81" s="25" t="s">
        <v>148</v>
      </c>
      <c r="AS81" s="9"/>
      <c r="AT81" s="25" t="s">
        <v>166</v>
      </c>
      <c r="AU81" s="109" t="s">
        <v>150</v>
      </c>
      <c r="AV81" s="106" t="s">
        <v>150</v>
      </c>
      <c r="AW81" s="14">
        <f t="shared" si="60"/>
        <v>60.96</v>
      </c>
      <c r="AX81" s="112">
        <f>average(22,26)</f>
        <v>24</v>
      </c>
      <c r="AY81" s="9"/>
      <c r="AZ81" s="12"/>
      <c r="BA81" s="12"/>
      <c r="BB81" s="12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5" t="s">
        <v>531</v>
      </c>
      <c r="B82" s="9"/>
      <c r="C82" s="8"/>
      <c r="D82" s="9"/>
      <c r="E82" s="25" t="s">
        <v>27</v>
      </c>
      <c r="F82" s="9"/>
      <c r="G82" s="25">
        <v>15.0</v>
      </c>
      <c r="H82" s="9"/>
      <c r="I82" s="25">
        <v>17.0</v>
      </c>
      <c r="J82" s="25" t="s">
        <v>267</v>
      </c>
      <c r="K82" s="116" t="s">
        <v>268</v>
      </c>
      <c r="L82" s="25" t="s">
        <v>269</v>
      </c>
      <c r="M82" s="9"/>
      <c r="N82" s="41">
        <v>11.46</v>
      </c>
      <c r="O82" s="106">
        <v>203.0</v>
      </c>
      <c r="P82" s="9"/>
      <c r="Q82" s="25" t="s">
        <v>174</v>
      </c>
      <c r="R82" s="25">
        <v>1.0</v>
      </c>
      <c r="S82" s="106" t="s">
        <v>175</v>
      </c>
      <c r="T82" s="9"/>
      <c r="U82" s="25">
        <v>4.0</v>
      </c>
      <c r="V82" s="9"/>
      <c r="W82" s="115" t="s">
        <v>150</v>
      </c>
      <c r="X82" s="16">
        <f>average(400,850,850,200,500,700,250,600,400,700)</f>
        <v>545</v>
      </c>
      <c r="Y82" s="107" t="s">
        <v>146</v>
      </c>
      <c r="Z82" s="107">
        <v>200.0</v>
      </c>
      <c r="AA82" s="107">
        <v>850.0</v>
      </c>
      <c r="AB82" s="115" t="s">
        <v>150</v>
      </c>
      <c r="AC82" s="115" t="s">
        <v>150</v>
      </c>
      <c r="AD82" s="115" t="s">
        <v>150</v>
      </c>
      <c r="AE82" s="115" t="s">
        <v>150</v>
      </c>
      <c r="AF82" s="115" t="s">
        <v>150</v>
      </c>
      <c r="AG82" s="16">
        <f t="shared" si="58"/>
        <v>11193.01959</v>
      </c>
      <c r="AH82" s="16">
        <f>IFERROR(__xludf.DUMMYFUNCTION("AI82*GoogleFinance(""CURRENCY:GBPUSD"")"),976.70328)</f>
        <v>976.70328</v>
      </c>
      <c r="AI82" s="108">
        <f t="shared" si="5"/>
        <v>784</v>
      </c>
      <c r="AJ82" s="107">
        <v>121.0</v>
      </c>
      <c r="AK82" s="107">
        <v>126.0</v>
      </c>
      <c r="AL82" s="107">
        <v>244.0</v>
      </c>
      <c r="AM82" s="107">
        <v>177.0</v>
      </c>
      <c r="AN82" s="107">
        <v>116.0</v>
      </c>
      <c r="AO82" s="107">
        <v>200.0</v>
      </c>
      <c r="AP82" s="9"/>
      <c r="AQ82" s="107" t="s">
        <v>182</v>
      </c>
      <c r="AR82" s="107" t="s">
        <v>182</v>
      </c>
      <c r="AS82" s="9"/>
      <c r="AT82" s="25" t="s">
        <v>166</v>
      </c>
      <c r="AU82" s="14">
        <f>AV82*0.45359237</f>
        <v>28.34952313</v>
      </c>
      <c r="AV82" s="112">
        <f>average(55,70)</f>
        <v>62.5</v>
      </c>
      <c r="AW82" s="14">
        <f t="shared" si="60"/>
        <v>60.96</v>
      </c>
      <c r="AX82" s="112">
        <f>average(23,25)</f>
        <v>24</v>
      </c>
      <c r="AY82" s="9"/>
      <c r="AZ82" s="12"/>
      <c r="BA82" s="12"/>
      <c r="BB82" s="12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5" t="s">
        <v>611</v>
      </c>
      <c r="B83" s="9"/>
      <c r="C83" s="8"/>
      <c r="D83" s="9"/>
      <c r="E83" s="25" t="s">
        <v>27</v>
      </c>
      <c r="F83" s="9"/>
      <c r="G83" s="25">
        <v>75.0</v>
      </c>
      <c r="H83" s="9"/>
      <c r="I83" s="25">
        <v>44.0</v>
      </c>
      <c r="J83" s="25" t="s">
        <v>184</v>
      </c>
      <c r="K83" s="116" t="s">
        <v>185</v>
      </c>
      <c r="L83" s="25" t="s">
        <v>187</v>
      </c>
      <c r="M83" s="9"/>
      <c r="N83" s="41">
        <v>10.0</v>
      </c>
      <c r="O83" s="106">
        <v>41.0</v>
      </c>
      <c r="P83" s="9"/>
      <c r="Q83" s="25" t="s">
        <v>174</v>
      </c>
      <c r="R83" s="25">
        <v>1.0</v>
      </c>
      <c r="S83" s="106" t="s">
        <v>175</v>
      </c>
      <c r="T83" s="9"/>
      <c r="U83" s="25">
        <v>3.0</v>
      </c>
      <c r="V83" s="9"/>
      <c r="W83" s="115" t="s">
        <v>150</v>
      </c>
      <c r="X83" s="16">
        <f>average(600,600,800,600,600,600,650,700,700,700)</f>
        <v>655</v>
      </c>
      <c r="Y83" s="107" t="s">
        <v>146</v>
      </c>
      <c r="Z83" s="107">
        <v>600.0</v>
      </c>
      <c r="AA83" s="107">
        <v>800.0</v>
      </c>
      <c r="AB83" s="115" t="s">
        <v>150</v>
      </c>
      <c r="AC83" s="115" t="s">
        <v>150</v>
      </c>
      <c r="AD83" s="115" t="s">
        <v>150</v>
      </c>
      <c r="AE83" s="115" t="s">
        <v>150</v>
      </c>
      <c r="AF83" s="115" t="s">
        <v>150</v>
      </c>
      <c r="AG83" s="16">
        <f t="shared" si="58"/>
        <v>9767.0328</v>
      </c>
      <c r="AH83" s="16">
        <f>IFERROR(__xludf.DUMMYFUNCTION("AI83*GoogleFinance(""CURRENCY:GBPUSD"")"),976.70328)</f>
        <v>976.70328</v>
      </c>
      <c r="AI83" s="108">
        <f t="shared" si="5"/>
        <v>784</v>
      </c>
      <c r="AJ83" s="107">
        <v>121.0</v>
      </c>
      <c r="AK83" s="107">
        <v>126.0</v>
      </c>
      <c r="AL83" s="107">
        <v>244.0</v>
      </c>
      <c r="AM83" s="107">
        <v>177.0</v>
      </c>
      <c r="AN83" s="107">
        <v>116.0</v>
      </c>
      <c r="AO83" s="107">
        <v>200.0</v>
      </c>
      <c r="AP83" s="9"/>
      <c r="AQ83" s="107" t="s">
        <v>182</v>
      </c>
      <c r="AR83" s="107" t="s">
        <v>182</v>
      </c>
      <c r="AS83" s="9"/>
      <c r="AT83" s="25" t="s">
        <v>166</v>
      </c>
      <c r="AU83" s="106" t="s">
        <v>150</v>
      </c>
      <c r="AV83" s="106" t="s">
        <v>150</v>
      </c>
      <c r="AW83" s="14">
        <f t="shared" si="60"/>
        <v>60.96</v>
      </c>
      <c r="AX83" s="112">
        <f>average(22,26)</f>
        <v>24</v>
      </c>
      <c r="AY83" s="9"/>
      <c r="AZ83" s="12"/>
      <c r="BA83" s="12"/>
      <c r="BB83" s="12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5" t="s">
        <v>612</v>
      </c>
      <c r="B84" s="61"/>
      <c r="D84" s="61"/>
      <c r="E84" s="25" t="s">
        <v>38</v>
      </c>
      <c r="F84" s="9"/>
      <c r="G84" s="25">
        <v>95.0</v>
      </c>
      <c r="H84" s="9"/>
      <c r="I84" s="25">
        <v>28.0</v>
      </c>
      <c r="J84" s="25" t="s">
        <v>142</v>
      </c>
      <c r="K84" s="25" t="s">
        <v>143</v>
      </c>
      <c r="L84" s="25" t="s">
        <v>144</v>
      </c>
      <c r="M84" s="9"/>
      <c r="N84" s="41">
        <v>10.0</v>
      </c>
      <c r="O84" s="106">
        <v>39.0</v>
      </c>
      <c r="P84" s="9"/>
      <c r="Q84" s="25" t="s">
        <v>174</v>
      </c>
      <c r="R84" s="25">
        <v>1.0</v>
      </c>
      <c r="S84" s="106" t="s">
        <v>175</v>
      </c>
      <c r="T84" s="9"/>
      <c r="U84" s="25">
        <v>4.0</v>
      </c>
      <c r="V84" s="9"/>
      <c r="W84" s="115" t="s">
        <v>150</v>
      </c>
      <c r="X84" s="16">
        <f>average(1200,400,500,800,850,1500,450,1000,600,800)</f>
        <v>810</v>
      </c>
      <c r="Y84" s="107" t="s">
        <v>160</v>
      </c>
      <c r="Z84" s="107">
        <v>400.0</v>
      </c>
      <c r="AA84" s="107">
        <v>1500.0</v>
      </c>
      <c r="AB84" s="115" t="s">
        <v>150</v>
      </c>
      <c r="AC84" s="115" t="s">
        <v>150</v>
      </c>
      <c r="AD84" s="115" t="s">
        <v>150</v>
      </c>
      <c r="AE84" s="115" t="s">
        <v>150</v>
      </c>
      <c r="AF84" s="115" t="s">
        <v>150</v>
      </c>
      <c r="AG84" s="16">
        <f t="shared" si="58"/>
        <v>9767.0328</v>
      </c>
      <c r="AH84" s="16">
        <f>IFERROR(__xludf.DUMMYFUNCTION("AI84*GoogleFinance(""CURRENCY:GBPUSD"")"),976.70328)</f>
        <v>976.70328</v>
      </c>
      <c r="AI84" s="108">
        <f t="shared" si="5"/>
        <v>784</v>
      </c>
      <c r="AJ84" s="107">
        <v>121.0</v>
      </c>
      <c r="AK84" s="107">
        <v>126.0</v>
      </c>
      <c r="AL84" s="107">
        <v>244.0</v>
      </c>
      <c r="AM84" s="107">
        <v>177.0</v>
      </c>
      <c r="AN84" s="107">
        <v>116.0</v>
      </c>
      <c r="AO84" s="107">
        <v>200.0</v>
      </c>
      <c r="AP84" s="9"/>
      <c r="AQ84" s="107" t="s">
        <v>182</v>
      </c>
      <c r="AR84" s="107" t="s">
        <v>182</v>
      </c>
      <c r="AS84" s="9"/>
      <c r="AT84" s="25" t="s">
        <v>166</v>
      </c>
      <c r="AU84" s="109" t="s">
        <v>150</v>
      </c>
      <c r="AV84" s="106" t="s">
        <v>150</v>
      </c>
      <c r="AW84" s="14">
        <f t="shared" si="60"/>
        <v>64.77</v>
      </c>
      <c r="AX84" s="112">
        <f>average(23.5,27.5)</f>
        <v>25.5</v>
      </c>
      <c r="AY84" s="9"/>
      <c r="AZ84" s="12"/>
      <c r="BA84" s="12"/>
      <c r="BB84" s="12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5" t="s">
        <v>613</v>
      </c>
      <c r="B85" s="9"/>
      <c r="C85" s="8"/>
      <c r="D85" s="9"/>
      <c r="E85" s="25" t="s">
        <v>23</v>
      </c>
      <c r="F85" s="9"/>
      <c r="G85" s="25">
        <v>158.0</v>
      </c>
      <c r="H85" s="9"/>
      <c r="I85" s="106" t="s">
        <v>150</v>
      </c>
      <c r="J85" s="106" t="s">
        <v>150</v>
      </c>
      <c r="K85" s="106" t="s">
        <v>150</v>
      </c>
      <c r="L85" s="106" t="s">
        <v>150</v>
      </c>
      <c r="M85" s="9"/>
      <c r="N85" s="41">
        <v>10.42</v>
      </c>
      <c r="O85" s="106">
        <v>6.0</v>
      </c>
      <c r="P85" s="134"/>
      <c r="Q85" s="106" t="s">
        <v>150</v>
      </c>
      <c r="R85" s="106" t="s">
        <v>150</v>
      </c>
      <c r="S85" s="106" t="s">
        <v>150</v>
      </c>
      <c r="T85" s="9"/>
      <c r="U85" s="25">
        <v>5.0</v>
      </c>
      <c r="V85" s="9"/>
      <c r="W85" s="115" t="s">
        <v>150</v>
      </c>
      <c r="X85" s="115" t="s">
        <v>150</v>
      </c>
      <c r="Y85" s="115" t="s">
        <v>150</v>
      </c>
      <c r="Z85" s="107" t="s">
        <v>150</v>
      </c>
      <c r="AA85" s="107" t="s">
        <v>150</v>
      </c>
      <c r="AB85" s="115" t="s">
        <v>150</v>
      </c>
      <c r="AC85" s="115" t="s">
        <v>150</v>
      </c>
      <c r="AD85" s="115" t="s">
        <v>150</v>
      </c>
      <c r="AE85" s="115" t="s">
        <v>150</v>
      </c>
      <c r="AF85" s="115" t="s">
        <v>150</v>
      </c>
      <c r="AG85" s="16">
        <f t="shared" si="58"/>
        <v>10177.24818</v>
      </c>
      <c r="AH85" s="16">
        <f>IFERROR(__xludf.DUMMYFUNCTION("AI85*GoogleFinance(""CURRENCY:GBPUSD"")"),976.70328)</f>
        <v>976.70328</v>
      </c>
      <c r="AI85" s="108">
        <f t="shared" si="5"/>
        <v>784</v>
      </c>
      <c r="AJ85" s="107">
        <v>121.0</v>
      </c>
      <c r="AK85" s="107">
        <v>126.0</v>
      </c>
      <c r="AL85" s="107">
        <v>244.0</v>
      </c>
      <c r="AM85" s="107">
        <v>177.0</v>
      </c>
      <c r="AN85" s="107">
        <v>116.0</v>
      </c>
      <c r="AO85" s="107">
        <v>200.0</v>
      </c>
      <c r="AP85" s="9"/>
      <c r="AQ85" s="107" t="s">
        <v>182</v>
      </c>
      <c r="AR85" s="107" t="s">
        <v>182</v>
      </c>
      <c r="AS85" s="9"/>
      <c r="AT85" s="25" t="s">
        <v>149</v>
      </c>
      <c r="AU85" s="14">
        <f t="shared" ref="AU85:AU87" si="61">AV85*0.45359237</f>
        <v>15.87573295</v>
      </c>
      <c r="AV85" s="106">
        <v>35.0</v>
      </c>
      <c r="AW85" s="14">
        <f t="shared" si="60"/>
        <v>33.655</v>
      </c>
      <c r="AX85" s="112">
        <f>average(12.5,14)</f>
        <v>13.25</v>
      </c>
      <c r="AY85" s="9"/>
      <c r="AZ85" s="12"/>
      <c r="BA85" s="12"/>
      <c r="BB85" s="12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5" t="s">
        <v>36</v>
      </c>
      <c r="B86" s="9"/>
      <c r="C86" s="8"/>
      <c r="D86" s="9"/>
      <c r="E86" s="25" t="s">
        <v>27</v>
      </c>
      <c r="F86" s="9"/>
      <c r="G86" s="25">
        <v>4.0</v>
      </c>
      <c r="H86" s="9"/>
      <c r="I86" s="25">
        <v>4.0</v>
      </c>
      <c r="J86" s="25" t="s">
        <v>250</v>
      </c>
      <c r="K86" s="25" t="s">
        <v>251</v>
      </c>
      <c r="L86" s="25" t="s">
        <v>252</v>
      </c>
      <c r="M86" s="9"/>
      <c r="N86" s="41">
        <v>12.04</v>
      </c>
      <c r="O86" s="106">
        <v>1314.0</v>
      </c>
      <c r="P86" s="9"/>
      <c r="Q86" s="25" t="s">
        <v>605</v>
      </c>
      <c r="R86" s="25">
        <v>4.0</v>
      </c>
      <c r="S86" s="106" t="s">
        <v>606</v>
      </c>
      <c r="T86" s="9"/>
      <c r="U86" s="25">
        <v>4.0</v>
      </c>
      <c r="V86" s="9"/>
      <c r="W86" s="14">
        <f t="shared" ref="W86:W88" si="62">X86+AF86+AG86+AO86</f>
        <v>17417.96173</v>
      </c>
      <c r="X86" s="16">
        <f>average(1500,800,325,800,2500,700,800,700,500)</f>
        <v>958.3333333</v>
      </c>
      <c r="Y86" s="107" t="s">
        <v>160</v>
      </c>
      <c r="Z86" s="107">
        <v>325.0</v>
      </c>
      <c r="AA86" s="107">
        <v>2500.0</v>
      </c>
      <c r="AB86" s="108">
        <f t="shared" ref="AB86:AB88" si="63">average(AC86,AD86)</f>
        <v>5.75</v>
      </c>
      <c r="AC86" s="107">
        <v>4.0</v>
      </c>
      <c r="AD86" s="107">
        <v>7.5</v>
      </c>
      <c r="AE86" s="19">
        <f>IFERROR(__xludf.DUMMYFUNCTION("AB86*GoogleFinance(""CURRENCY:GBPUSD"")"),7.16332125)</f>
        <v>7.16332125</v>
      </c>
      <c r="AF86" s="16">
        <f t="shared" ref="AF86:AF88" si="64">AE86*52.1775*N86</f>
        <v>4500.120902</v>
      </c>
      <c r="AG86" s="16">
        <f t="shared" si="58"/>
        <v>11759.50749</v>
      </c>
      <c r="AH86" s="16">
        <f>IFERROR(__xludf.DUMMYFUNCTION("AI86*GoogleFinance(""CURRENCY:GBPUSD"")"),976.70328)</f>
        <v>976.70328</v>
      </c>
      <c r="AI86" s="108">
        <f t="shared" si="5"/>
        <v>784</v>
      </c>
      <c r="AJ86" s="107">
        <v>121.0</v>
      </c>
      <c r="AK86" s="107">
        <v>126.0</v>
      </c>
      <c r="AL86" s="107">
        <v>244.0</v>
      </c>
      <c r="AM86" s="107">
        <v>177.0</v>
      </c>
      <c r="AN86" s="107">
        <v>116.0</v>
      </c>
      <c r="AO86" s="107">
        <v>200.0</v>
      </c>
      <c r="AP86" s="9"/>
      <c r="AQ86" s="25" t="s">
        <v>147</v>
      </c>
      <c r="AR86" s="25" t="s">
        <v>165</v>
      </c>
      <c r="AS86" s="9"/>
      <c r="AT86" s="25" t="s">
        <v>148</v>
      </c>
      <c r="AU86" s="14">
        <f t="shared" si="61"/>
        <v>27.2155422</v>
      </c>
      <c r="AV86" s="112">
        <f>average(55,65)</f>
        <v>60</v>
      </c>
      <c r="AW86" s="14">
        <f t="shared" si="60"/>
        <v>57.785</v>
      </c>
      <c r="AX86" s="112">
        <f>average(21.5,24)</f>
        <v>22.75</v>
      </c>
      <c r="AY86" s="9"/>
      <c r="AZ86" s="12"/>
      <c r="BA86" s="12"/>
      <c r="BB86" s="12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5" t="s">
        <v>616</v>
      </c>
      <c r="B87" s="9"/>
      <c r="C87" s="8"/>
      <c r="D87" s="9"/>
      <c r="E87" s="25" t="s">
        <v>27</v>
      </c>
      <c r="F87" s="9"/>
      <c r="G87" s="25">
        <v>94.0</v>
      </c>
      <c r="H87" s="9"/>
      <c r="I87" s="25">
        <v>34.0</v>
      </c>
      <c r="J87" s="25" t="s">
        <v>142</v>
      </c>
      <c r="K87" s="25" t="s">
        <v>143</v>
      </c>
      <c r="L87" s="25" t="s">
        <v>144</v>
      </c>
      <c r="M87" s="9"/>
      <c r="N87" s="41">
        <v>11.1</v>
      </c>
      <c r="O87" s="106">
        <v>169.0</v>
      </c>
      <c r="P87" s="9"/>
      <c r="Q87" s="25" t="s">
        <v>174</v>
      </c>
      <c r="R87" s="25">
        <v>1.0</v>
      </c>
      <c r="S87" s="106" t="s">
        <v>175</v>
      </c>
      <c r="T87" s="9"/>
      <c r="U87" s="25">
        <v>5.0</v>
      </c>
      <c r="V87" s="9"/>
      <c r="W87" s="14">
        <f t="shared" si="62"/>
        <v>15890.18897</v>
      </c>
      <c r="X87" s="16">
        <f>average(500,1000,600)</f>
        <v>700</v>
      </c>
      <c r="Y87" s="107" t="s">
        <v>160</v>
      </c>
      <c r="Z87" s="107">
        <v>500.0</v>
      </c>
      <c r="AA87" s="107">
        <v>100.0</v>
      </c>
      <c r="AB87" s="108">
        <f t="shared" si="63"/>
        <v>5.75</v>
      </c>
      <c r="AC87" s="107">
        <v>4.0</v>
      </c>
      <c r="AD87" s="107">
        <v>7.5</v>
      </c>
      <c r="AE87" s="19">
        <f>IFERROR(__xludf.DUMMYFUNCTION("AB87*GoogleFinance(""CURRENCY:GBPUSD"")"),7.16332125)</f>
        <v>7.16332125</v>
      </c>
      <c r="AF87" s="16">
        <f t="shared" si="64"/>
        <v>4148.782559</v>
      </c>
      <c r="AG87" s="16">
        <f t="shared" si="58"/>
        <v>10841.40641</v>
      </c>
      <c r="AH87" s="16">
        <f>IFERROR(__xludf.DUMMYFUNCTION("AI87*GoogleFinance(""CURRENCY:GBPUSD"")"),976.70328)</f>
        <v>976.70328</v>
      </c>
      <c r="AI87" s="108">
        <f t="shared" si="5"/>
        <v>784</v>
      </c>
      <c r="AJ87" s="107">
        <v>121.0</v>
      </c>
      <c r="AK87" s="107">
        <v>126.0</v>
      </c>
      <c r="AL87" s="107">
        <v>244.0</v>
      </c>
      <c r="AM87" s="107">
        <v>177.0</v>
      </c>
      <c r="AN87" s="107">
        <v>116.0</v>
      </c>
      <c r="AO87" s="107">
        <v>200.0</v>
      </c>
      <c r="AP87" s="9"/>
      <c r="AQ87" s="25" t="s">
        <v>147</v>
      </c>
      <c r="AR87" s="25" t="s">
        <v>165</v>
      </c>
      <c r="AS87" s="9"/>
      <c r="AT87" s="25" t="s">
        <v>166</v>
      </c>
      <c r="AU87" s="14">
        <f t="shared" si="61"/>
        <v>28.34952313</v>
      </c>
      <c r="AV87" s="112">
        <f>average(45,80)</f>
        <v>62.5</v>
      </c>
      <c r="AW87" s="14">
        <f t="shared" si="60"/>
        <v>63.5</v>
      </c>
      <c r="AX87" s="112">
        <f>average(23,27)</f>
        <v>25</v>
      </c>
      <c r="AY87" s="9"/>
      <c r="AZ87" s="106" t="s">
        <v>617</v>
      </c>
      <c r="BA87" s="12"/>
      <c r="BB87" s="12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5" t="s">
        <v>56</v>
      </c>
      <c r="B88" s="61"/>
      <c r="D88" s="61"/>
      <c r="E88" s="25" t="s">
        <v>38</v>
      </c>
      <c r="F88" s="9"/>
      <c r="G88" s="25">
        <v>19.0</v>
      </c>
      <c r="H88" s="9"/>
      <c r="I88" s="25">
        <v>48.0</v>
      </c>
      <c r="J88" s="25" t="s">
        <v>184</v>
      </c>
      <c r="K88" s="116" t="s">
        <v>185</v>
      </c>
      <c r="L88" s="25" t="s">
        <v>187</v>
      </c>
      <c r="M88" s="9"/>
      <c r="N88" s="41">
        <v>6.96</v>
      </c>
      <c r="O88" s="106">
        <v>667.0</v>
      </c>
      <c r="P88" s="9"/>
      <c r="Q88" s="25" t="s">
        <v>619</v>
      </c>
      <c r="R88" s="25">
        <v>4.0</v>
      </c>
      <c r="S88" s="106" t="s">
        <v>620</v>
      </c>
      <c r="T88" s="9"/>
      <c r="U88" s="25">
        <v>3.0</v>
      </c>
      <c r="V88" s="9"/>
      <c r="W88" s="14">
        <f t="shared" si="62"/>
        <v>11996.50517</v>
      </c>
      <c r="X88" s="16">
        <f>average(500,2500,1000,1250,800,1250,650,950,700,800)</f>
        <v>1040</v>
      </c>
      <c r="Y88" s="107" t="s">
        <v>160</v>
      </c>
      <c r="Z88" s="107">
        <v>500.0</v>
      </c>
      <c r="AA88" s="107">
        <v>2500.0</v>
      </c>
      <c r="AB88" s="108">
        <f t="shared" si="63"/>
        <v>8.75</v>
      </c>
      <c r="AC88" s="107">
        <v>7.5</v>
      </c>
      <c r="AD88" s="107">
        <v>10.0</v>
      </c>
      <c r="AE88" s="19">
        <f>IFERROR(__xludf.DUMMYFUNCTION("AB88*GoogleFinance(""CURRENCY:GBPUSD"")"),10.90070625)</f>
        <v>10.90070625</v>
      </c>
      <c r="AF88" s="16">
        <f t="shared" si="64"/>
        <v>3958.650339</v>
      </c>
      <c r="AG88" s="16">
        <f t="shared" si="58"/>
        <v>6797.854829</v>
      </c>
      <c r="AH88" s="16">
        <f>IFERROR(__xludf.DUMMYFUNCTION("AI88*GoogleFinance(""CURRENCY:GBPUSD"")"),976.70328)</f>
        <v>976.70328</v>
      </c>
      <c r="AI88" s="108">
        <f t="shared" si="5"/>
        <v>784</v>
      </c>
      <c r="AJ88" s="107">
        <v>121.0</v>
      </c>
      <c r="AK88" s="107">
        <v>126.0</v>
      </c>
      <c r="AL88" s="107">
        <v>244.0</v>
      </c>
      <c r="AM88" s="107">
        <v>177.0</v>
      </c>
      <c r="AN88" s="107">
        <v>116.0</v>
      </c>
      <c r="AO88" s="107">
        <v>200.0</v>
      </c>
      <c r="AP88" s="9"/>
      <c r="AQ88" s="25" t="s">
        <v>147</v>
      </c>
      <c r="AR88" s="25" t="s">
        <v>165</v>
      </c>
      <c r="AS88" s="9"/>
      <c r="AT88" s="25" t="s">
        <v>166</v>
      </c>
      <c r="AU88" s="106" t="s">
        <v>150</v>
      </c>
      <c r="AV88" s="106" t="s">
        <v>150</v>
      </c>
      <c r="AW88" s="14">
        <f t="shared" si="60"/>
        <v>76.2</v>
      </c>
      <c r="AX88" s="112">
        <f>average(30)</f>
        <v>30</v>
      </c>
      <c r="AY88" s="9"/>
      <c r="AZ88" s="106" t="s">
        <v>622</v>
      </c>
      <c r="BA88" s="12"/>
      <c r="BB88" s="12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5" t="s">
        <v>623</v>
      </c>
      <c r="B89" s="61"/>
      <c r="D89" s="61"/>
      <c r="E89" s="25" t="s">
        <v>38</v>
      </c>
      <c r="F89" s="9"/>
      <c r="G89" s="25">
        <v>71.0</v>
      </c>
      <c r="H89" s="9"/>
      <c r="I89" s="25">
        <v>64.0</v>
      </c>
      <c r="J89" s="25" t="s">
        <v>400</v>
      </c>
      <c r="K89" s="25" t="s">
        <v>401</v>
      </c>
      <c r="L89" s="25" t="s">
        <v>402</v>
      </c>
      <c r="M89" s="9"/>
      <c r="N89" s="41">
        <v>10.0</v>
      </c>
      <c r="O89" s="106">
        <v>454.0</v>
      </c>
      <c r="P89" s="9"/>
      <c r="Q89" s="25" t="s">
        <v>174</v>
      </c>
      <c r="R89" s="25">
        <v>1.0</v>
      </c>
      <c r="S89" s="106" t="s">
        <v>175</v>
      </c>
      <c r="T89" s="9"/>
      <c r="U89" s="25">
        <v>3.0</v>
      </c>
      <c r="V89" s="9"/>
      <c r="W89" s="115" t="s">
        <v>150</v>
      </c>
      <c r="X89" s="16">
        <f>average(800,350,700,200,600,700,350,600,225,500)</f>
        <v>502.5</v>
      </c>
      <c r="Y89" s="107" t="s">
        <v>146</v>
      </c>
      <c r="Z89" s="107">
        <v>225.0</v>
      </c>
      <c r="AA89" s="107">
        <v>800.0</v>
      </c>
      <c r="AB89" s="115" t="s">
        <v>150</v>
      </c>
      <c r="AC89" s="115" t="s">
        <v>150</v>
      </c>
      <c r="AD89" s="115" t="s">
        <v>150</v>
      </c>
      <c r="AE89" s="115" t="s">
        <v>150</v>
      </c>
      <c r="AF89" s="115" t="s">
        <v>150</v>
      </c>
      <c r="AG89" s="16">
        <f t="shared" si="58"/>
        <v>9767.0328</v>
      </c>
      <c r="AH89" s="16">
        <f>IFERROR(__xludf.DUMMYFUNCTION("AI89*GoogleFinance(""CURRENCY:GBPUSD"")"),976.70328)</f>
        <v>976.70328</v>
      </c>
      <c r="AI89" s="108">
        <f t="shared" si="5"/>
        <v>784</v>
      </c>
      <c r="AJ89" s="107">
        <v>121.0</v>
      </c>
      <c r="AK89" s="107">
        <v>126.0</v>
      </c>
      <c r="AL89" s="107">
        <v>244.0</v>
      </c>
      <c r="AM89" s="107">
        <v>177.0</v>
      </c>
      <c r="AN89" s="107">
        <v>116.0</v>
      </c>
      <c r="AO89" s="107">
        <v>200.0</v>
      </c>
      <c r="AP89" s="9"/>
      <c r="AQ89" s="107" t="s">
        <v>182</v>
      </c>
      <c r="AR89" s="107" t="s">
        <v>182</v>
      </c>
      <c r="AS89" s="9"/>
      <c r="AT89" s="25" t="s">
        <v>166</v>
      </c>
      <c r="AU89" s="106" t="s">
        <v>150</v>
      </c>
      <c r="AV89" s="106" t="s">
        <v>150</v>
      </c>
      <c r="AW89" s="14">
        <f t="shared" si="60"/>
        <v>72.39</v>
      </c>
      <c r="AX89" s="112">
        <f>average(25,32)</f>
        <v>28.5</v>
      </c>
      <c r="AY89" s="9"/>
      <c r="AZ89" s="106" t="s">
        <v>624</v>
      </c>
      <c r="BA89" s="12"/>
      <c r="BB89" s="12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5" t="s">
        <v>625</v>
      </c>
      <c r="B90" s="9"/>
      <c r="C90" s="8"/>
      <c r="D90" s="9"/>
      <c r="E90" s="25" t="s">
        <v>38</v>
      </c>
      <c r="F90" s="9"/>
      <c r="G90" s="25">
        <v>82.0</v>
      </c>
      <c r="H90" s="9"/>
      <c r="I90" s="106" t="s">
        <v>150</v>
      </c>
      <c r="J90" s="106" t="s">
        <v>150</v>
      </c>
      <c r="K90" s="106" t="s">
        <v>150</v>
      </c>
      <c r="L90" s="106" t="s">
        <v>150</v>
      </c>
      <c r="M90" s="9"/>
      <c r="N90" s="41">
        <v>6.8</v>
      </c>
      <c r="O90" s="106">
        <v>71.0</v>
      </c>
      <c r="P90" s="9"/>
      <c r="Q90" s="25" t="s">
        <v>174</v>
      </c>
      <c r="R90" s="25">
        <v>1.0</v>
      </c>
      <c r="S90" s="106" t="s">
        <v>175</v>
      </c>
      <c r="T90" s="9"/>
      <c r="U90" s="25">
        <v>3.0</v>
      </c>
      <c r="V90" s="9"/>
      <c r="W90" s="115" t="s">
        <v>150</v>
      </c>
      <c r="X90" s="16">
        <f>average(1500,900,1500,2500,2000,1500,1500,1850,1300,1500)</f>
        <v>1605</v>
      </c>
      <c r="Y90" s="107" t="s">
        <v>372</v>
      </c>
      <c r="Z90" s="107">
        <v>900.0</v>
      </c>
      <c r="AA90" s="107">
        <v>2500.0</v>
      </c>
      <c r="AB90" s="115" t="s">
        <v>150</v>
      </c>
      <c r="AC90" s="115" t="s">
        <v>150</v>
      </c>
      <c r="AD90" s="115" t="s">
        <v>150</v>
      </c>
      <c r="AE90" s="115" t="s">
        <v>150</v>
      </c>
      <c r="AF90" s="115" t="s">
        <v>150</v>
      </c>
      <c r="AG90" s="16">
        <f t="shared" si="58"/>
        <v>6641.582304</v>
      </c>
      <c r="AH90" s="16">
        <f>IFERROR(__xludf.DUMMYFUNCTION("AI90*GoogleFinance(""CURRENCY:GBPUSD"")"),976.70328)</f>
        <v>976.70328</v>
      </c>
      <c r="AI90" s="108">
        <f t="shared" si="5"/>
        <v>784</v>
      </c>
      <c r="AJ90" s="107">
        <v>121.0</v>
      </c>
      <c r="AK90" s="107">
        <v>126.0</v>
      </c>
      <c r="AL90" s="107">
        <v>244.0</v>
      </c>
      <c r="AM90" s="107">
        <v>177.0</v>
      </c>
      <c r="AN90" s="107">
        <v>116.0</v>
      </c>
      <c r="AO90" s="107">
        <v>200.0</v>
      </c>
      <c r="AP90" s="9"/>
      <c r="AQ90" s="107" t="s">
        <v>182</v>
      </c>
      <c r="AR90" s="107" t="s">
        <v>182</v>
      </c>
      <c r="AS90" s="9"/>
      <c r="AT90" s="25" t="s">
        <v>166</v>
      </c>
      <c r="AU90" s="106" t="s">
        <v>150</v>
      </c>
      <c r="AV90" s="106" t="s">
        <v>150</v>
      </c>
      <c r="AW90" s="14">
        <f t="shared" si="60"/>
        <v>66.04</v>
      </c>
      <c r="AX90" s="112">
        <f>average(23.5,28.5)</f>
        <v>26</v>
      </c>
      <c r="AY90" s="9"/>
      <c r="AZ90" s="12"/>
      <c r="BA90" s="12"/>
      <c r="BB90" s="12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5" t="s">
        <v>627</v>
      </c>
      <c r="B91" s="9"/>
      <c r="C91" s="8"/>
      <c r="D91" s="9"/>
      <c r="E91" s="25" t="s">
        <v>53</v>
      </c>
      <c r="F91" s="9"/>
      <c r="G91" s="25">
        <v>140.0</v>
      </c>
      <c r="H91" s="9"/>
      <c r="I91" s="25">
        <v>46.0</v>
      </c>
      <c r="J91" s="25" t="s">
        <v>184</v>
      </c>
      <c r="K91" s="116" t="s">
        <v>185</v>
      </c>
      <c r="L91" s="25" t="s">
        <v>187</v>
      </c>
      <c r="M91" s="9"/>
      <c r="N91" s="41">
        <v>9.36</v>
      </c>
      <c r="O91" s="106">
        <v>74.0</v>
      </c>
      <c r="P91" s="9"/>
      <c r="Q91" s="25" t="s">
        <v>628</v>
      </c>
      <c r="R91" s="25">
        <v>1.0</v>
      </c>
      <c r="S91" s="106" t="s">
        <v>629</v>
      </c>
      <c r="T91" s="9"/>
      <c r="U91" s="25">
        <v>2.0</v>
      </c>
      <c r="V91" s="9"/>
      <c r="W91" s="14">
        <f>X91+AF91+AG91+AO91</f>
        <v>12950.63513</v>
      </c>
      <c r="X91" s="16">
        <f>average(350,750,2000,200,750,2500,1200,750,2500,750)</f>
        <v>1175</v>
      </c>
      <c r="Y91" s="107" t="s">
        <v>160</v>
      </c>
      <c r="Z91" s="107">
        <v>200.0</v>
      </c>
      <c r="AA91" s="107">
        <v>2500.0</v>
      </c>
      <c r="AB91" s="108">
        <f>average(AC91,AD91)</f>
        <v>4</v>
      </c>
      <c r="AC91" s="107">
        <v>4.0</v>
      </c>
      <c r="AD91" s="107">
        <v>4.0</v>
      </c>
      <c r="AE91" s="19">
        <f>IFERROR(__xludf.DUMMYFUNCTION("AB91*GoogleFinance(""CURRENCY:GBPUSD"")"),4.98318)</f>
        <v>4.98318</v>
      </c>
      <c r="AF91" s="16">
        <f>AE91*52.1775*N91</f>
        <v>2433.692425</v>
      </c>
      <c r="AG91" s="16">
        <f t="shared" si="58"/>
        <v>9141.942701</v>
      </c>
      <c r="AH91" s="16">
        <f>IFERROR(__xludf.DUMMYFUNCTION("AI91*GoogleFinance(""CURRENCY:GBPUSD"")"),976.70328)</f>
        <v>976.70328</v>
      </c>
      <c r="AI91" s="108">
        <f t="shared" si="5"/>
        <v>784</v>
      </c>
      <c r="AJ91" s="107">
        <v>121.0</v>
      </c>
      <c r="AK91" s="107">
        <v>126.0</v>
      </c>
      <c r="AL91" s="107">
        <v>244.0</v>
      </c>
      <c r="AM91" s="107">
        <v>177.0</v>
      </c>
      <c r="AN91" s="107">
        <v>116.0</v>
      </c>
      <c r="AO91" s="107">
        <v>200.0</v>
      </c>
      <c r="AP91" s="9"/>
      <c r="AQ91" s="25" t="s">
        <v>147</v>
      </c>
      <c r="AR91" s="25" t="s">
        <v>165</v>
      </c>
      <c r="AS91" s="9"/>
      <c r="AT91" s="25" t="s">
        <v>166</v>
      </c>
      <c r="AU91" s="14">
        <f>AV91*0.45359237</f>
        <v>29.48350405</v>
      </c>
      <c r="AV91" s="112">
        <f>average(60,70)</f>
        <v>65</v>
      </c>
      <c r="AW91" s="106" t="s">
        <v>150</v>
      </c>
      <c r="AX91" s="106" t="s">
        <v>150</v>
      </c>
      <c r="AY91" s="9"/>
      <c r="AZ91" s="12"/>
      <c r="BA91" s="12"/>
      <c r="BB91" s="12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5" t="s">
        <v>631</v>
      </c>
      <c r="B92" s="9"/>
      <c r="C92" s="8"/>
      <c r="D92" s="9"/>
      <c r="E92" s="25" t="s">
        <v>53</v>
      </c>
      <c r="F92" s="9"/>
      <c r="G92" s="25">
        <v>172.0</v>
      </c>
      <c r="H92" s="9"/>
      <c r="I92" s="106" t="s">
        <v>150</v>
      </c>
      <c r="J92" s="106" t="s">
        <v>150</v>
      </c>
      <c r="K92" s="106" t="s">
        <v>150</v>
      </c>
      <c r="L92" s="106" t="s">
        <v>150</v>
      </c>
      <c r="M92" s="134"/>
      <c r="N92" s="137" t="s">
        <v>150</v>
      </c>
      <c r="O92" s="106" t="s">
        <v>182</v>
      </c>
      <c r="P92" s="9"/>
      <c r="Q92" s="25" t="s">
        <v>145</v>
      </c>
      <c r="R92" s="25">
        <v>0.0</v>
      </c>
      <c r="S92" s="106" t="s">
        <v>145</v>
      </c>
      <c r="T92" s="9"/>
      <c r="U92" s="25">
        <v>3.0</v>
      </c>
      <c r="V92" s="9"/>
      <c r="W92" s="115" t="s">
        <v>150</v>
      </c>
      <c r="X92" s="115" t="s">
        <v>150</v>
      </c>
      <c r="Y92" s="115" t="s">
        <v>150</v>
      </c>
      <c r="Z92" s="115" t="s">
        <v>150</v>
      </c>
      <c r="AA92" s="115" t="s">
        <v>150</v>
      </c>
      <c r="AB92" s="115" t="s">
        <v>150</v>
      </c>
      <c r="AC92" s="115" t="s">
        <v>150</v>
      </c>
      <c r="AD92" s="115" t="s">
        <v>150</v>
      </c>
      <c r="AE92" s="115" t="s">
        <v>150</v>
      </c>
      <c r="AF92" s="115" t="s">
        <v>150</v>
      </c>
      <c r="AG92" s="115" t="s">
        <v>150</v>
      </c>
      <c r="AH92" s="16">
        <f>IFERROR(__xludf.DUMMYFUNCTION("AI92*GoogleFinance(""CURRENCY:GBPUSD"")"),976.70328)</f>
        <v>976.70328</v>
      </c>
      <c r="AI92" s="108">
        <f t="shared" si="5"/>
        <v>784</v>
      </c>
      <c r="AJ92" s="107">
        <v>121.0</v>
      </c>
      <c r="AK92" s="107">
        <v>126.0</v>
      </c>
      <c r="AL92" s="107">
        <v>244.0</v>
      </c>
      <c r="AM92" s="107">
        <v>177.0</v>
      </c>
      <c r="AN92" s="107">
        <v>116.0</v>
      </c>
      <c r="AO92" s="107">
        <v>200.0</v>
      </c>
      <c r="AP92" s="9"/>
      <c r="AQ92" s="107" t="s">
        <v>182</v>
      </c>
      <c r="AR92" s="107" t="s">
        <v>182</v>
      </c>
      <c r="AS92" s="9"/>
      <c r="AT92" s="25" t="s">
        <v>148</v>
      </c>
      <c r="AU92" s="106" t="s">
        <v>150</v>
      </c>
      <c r="AV92" s="106" t="s">
        <v>150</v>
      </c>
      <c r="AW92" s="14">
        <f t="shared" ref="AW92:AW111" si="65">AX92*2.54</f>
        <v>50.8</v>
      </c>
      <c r="AX92" s="112">
        <f>average(18,22)</f>
        <v>20</v>
      </c>
      <c r="AY92" s="9"/>
      <c r="AZ92" s="12"/>
      <c r="BA92" s="12"/>
      <c r="BB92" s="12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5" t="s">
        <v>634</v>
      </c>
      <c r="B93" s="9"/>
      <c r="C93" s="8"/>
      <c r="D93" s="9"/>
      <c r="E93" s="25" t="s">
        <v>43</v>
      </c>
      <c r="F93" s="9"/>
      <c r="G93" s="25">
        <v>31.0</v>
      </c>
      <c r="H93" s="9"/>
      <c r="I93" s="106" t="s">
        <v>150</v>
      </c>
      <c r="J93" s="106" t="s">
        <v>150</v>
      </c>
      <c r="K93" s="106" t="s">
        <v>150</v>
      </c>
      <c r="L93" s="106" t="s">
        <v>150</v>
      </c>
      <c r="M93" s="9"/>
      <c r="N93" s="41">
        <v>10.25</v>
      </c>
      <c r="O93" s="106">
        <v>3.0</v>
      </c>
      <c r="P93" s="9"/>
      <c r="Q93" s="25" t="s">
        <v>145</v>
      </c>
      <c r="R93" s="25">
        <v>0.0</v>
      </c>
      <c r="S93" s="106" t="s">
        <v>145</v>
      </c>
      <c r="T93" s="9"/>
      <c r="U93" s="25">
        <v>6.0</v>
      </c>
      <c r="V93" s="9"/>
      <c r="W93" s="115" t="s">
        <v>150</v>
      </c>
      <c r="X93" s="16">
        <f>average(400,1000,850,300,1500,595,600,600,1500,950)</f>
        <v>829.5</v>
      </c>
      <c r="Y93" s="107" t="s">
        <v>160</v>
      </c>
      <c r="Z93" s="107">
        <v>300.0</v>
      </c>
      <c r="AA93" s="107">
        <v>1500.0</v>
      </c>
      <c r="AB93" s="115" t="s">
        <v>150</v>
      </c>
      <c r="AC93" s="115" t="s">
        <v>150</v>
      </c>
      <c r="AD93" s="115" t="s">
        <v>150</v>
      </c>
      <c r="AE93" s="115" t="s">
        <v>150</v>
      </c>
      <c r="AF93" s="115" t="s">
        <v>150</v>
      </c>
      <c r="AG93" s="16">
        <f>AH93*N93</f>
        <v>10011.20862</v>
      </c>
      <c r="AH93" s="16">
        <f>IFERROR(__xludf.DUMMYFUNCTION("AI93*GoogleFinance(""CURRENCY:GBPUSD"")"),976.70328)</f>
        <v>976.70328</v>
      </c>
      <c r="AI93" s="108">
        <f t="shared" si="5"/>
        <v>784</v>
      </c>
      <c r="AJ93" s="107">
        <v>121.0</v>
      </c>
      <c r="AK93" s="107">
        <v>126.0</v>
      </c>
      <c r="AL93" s="107">
        <v>244.0</v>
      </c>
      <c r="AM93" s="107">
        <v>177.0</v>
      </c>
      <c r="AN93" s="107">
        <v>116.0</v>
      </c>
      <c r="AO93" s="107">
        <v>200.0</v>
      </c>
      <c r="AP93" s="9"/>
      <c r="AQ93" s="107" t="s">
        <v>182</v>
      </c>
      <c r="AR93" s="107" t="s">
        <v>182</v>
      </c>
      <c r="AS93" s="9"/>
      <c r="AT93" s="25" t="s">
        <v>149</v>
      </c>
      <c r="AU93" s="106" t="s">
        <v>150</v>
      </c>
      <c r="AV93" s="106" t="s">
        <v>150</v>
      </c>
      <c r="AW93" s="14">
        <f t="shared" si="65"/>
        <v>24.765</v>
      </c>
      <c r="AX93" s="112">
        <f>average(9,10.5)</f>
        <v>9.75</v>
      </c>
      <c r="AY93" s="9"/>
      <c r="AZ93" s="12"/>
      <c r="BA93" s="12"/>
      <c r="BB93" s="12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5" t="s">
        <v>636</v>
      </c>
      <c r="B94" s="9"/>
      <c r="C94" s="8"/>
      <c r="D94" s="9"/>
      <c r="E94" s="25" t="s">
        <v>53</v>
      </c>
      <c r="F94" s="9"/>
      <c r="G94" s="25">
        <v>149.0</v>
      </c>
      <c r="H94" s="9"/>
      <c r="I94" s="25">
        <v>53.0</v>
      </c>
      <c r="J94" s="25" t="s">
        <v>184</v>
      </c>
      <c r="K94" s="116" t="s">
        <v>185</v>
      </c>
      <c r="L94" s="25" t="s">
        <v>187</v>
      </c>
      <c r="M94" s="9"/>
      <c r="N94" s="137" t="s">
        <v>150</v>
      </c>
      <c r="O94" s="106" t="s">
        <v>182</v>
      </c>
      <c r="P94" s="9"/>
      <c r="Q94" s="25" t="s">
        <v>145</v>
      </c>
      <c r="R94" s="25">
        <v>0.0</v>
      </c>
      <c r="S94" s="106" t="s">
        <v>145</v>
      </c>
      <c r="T94" s="9"/>
      <c r="U94" s="25">
        <v>2.0</v>
      </c>
      <c r="V94" s="9"/>
      <c r="W94" s="115" t="s">
        <v>150</v>
      </c>
      <c r="X94" s="115">
        <v>1500.0</v>
      </c>
      <c r="Y94" s="107" t="s">
        <v>372</v>
      </c>
      <c r="Z94" s="107">
        <v>1500.0</v>
      </c>
      <c r="AA94" s="107">
        <v>1500.0</v>
      </c>
      <c r="AB94" s="108">
        <f>average(AC94,AD94)</f>
        <v>5.75</v>
      </c>
      <c r="AC94" s="107">
        <v>4.0</v>
      </c>
      <c r="AD94" s="107">
        <v>7.5</v>
      </c>
      <c r="AE94" s="19">
        <f>IFERROR(__xludf.DUMMYFUNCTION("AB94*GoogleFinance(""CURRENCY:GBPUSD"")"),7.16332125)</f>
        <v>7.16332125</v>
      </c>
      <c r="AF94" s="115" t="s">
        <v>150</v>
      </c>
      <c r="AG94" s="115" t="s">
        <v>150</v>
      </c>
      <c r="AH94" s="16">
        <f>IFERROR(__xludf.DUMMYFUNCTION("AI94*GoogleFinance(""CURRENCY:GBPUSD"")"),976.70328)</f>
        <v>976.70328</v>
      </c>
      <c r="AI94" s="108">
        <f t="shared" si="5"/>
        <v>784</v>
      </c>
      <c r="AJ94" s="107">
        <v>121.0</v>
      </c>
      <c r="AK94" s="107">
        <v>126.0</v>
      </c>
      <c r="AL94" s="107">
        <v>244.0</v>
      </c>
      <c r="AM94" s="107">
        <v>177.0</v>
      </c>
      <c r="AN94" s="107">
        <v>116.0</v>
      </c>
      <c r="AO94" s="107">
        <v>200.0</v>
      </c>
      <c r="AP94" s="9"/>
      <c r="AQ94" s="25" t="s">
        <v>147</v>
      </c>
      <c r="AR94" s="25" t="s">
        <v>165</v>
      </c>
      <c r="AS94" s="9"/>
      <c r="AT94" s="25" t="s">
        <v>166</v>
      </c>
      <c r="AU94" s="106" t="s">
        <v>150</v>
      </c>
      <c r="AV94" s="106" t="s">
        <v>150</v>
      </c>
      <c r="AW94" s="14">
        <f t="shared" si="65"/>
        <v>63.5</v>
      </c>
      <c r="AX94" s="112">
        <f>average(22.5,27.5)</f>
        <v>25</v>
      </c>
      <c r="AY94" s="9"/>
      <c r="AZ94" s="106" t="s">
        <v>439</v>
      </c>
      <c r="BA94" s="12"/>
      <c r="BB94" s="12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5" t="s">
        <v>638</v>
      </c>
      <c r="B95" s="61"/>
      <c r="D95" s="61"/>
      <c r="E95" s="25" t="s">
        <v>32</v>
      </c>
      <c r="F95" s="9"/>
      <c r="G95" s="25">
        <v>143.0</v>
      </c>
      <c r="H95" s="9"/>
      <c r="I95" s="106" t="s">
        <v>150</v>
      </c>
      <c r="J95" s="106" t="s">
        <v>150</v>
      </c>
      <c r="K95" s="106" t="s">
        <v>150</v>
      </c>
      <c r="L95" s="106" t="s">
        <v>150</v>
      </c>
      <c r="M95" s="134"/>
      <c r="N95" s="137" t="s">
        <v>150</v>
      </c>
      <c r="O95" s="106" t="s">
        <v>182</v>
      </c>
      <c r="P95" s="134"/>
      <c r="Q95" s="106" t="s">
        <v>150</v>
      </c>
      <c r="R95" s="106" t="s">
        <v>150</v>
      </c>
      <c r="S95" s="106" t="s">
        <v>150</v>
      </c>
      <c r="T95" s="9"/>
      <c r="U95" s="25">
        <v>3.0</v>
      </c>
      <c r="V95" s="9"/>
      <c r="W95" s="115" t="s">
        <v>150</v>
      </c>
      <c r="X95" s="115" t="s">
        <v>150</v>
      </c>
      <c r="Y95" s="115" t="s">
        <v>150</v>
      </c>
      <c r="Z95" s="115" t="s">
        <v>150</v>
      </c>
      <c r="AA95" s="115" t="s">
        <v>150</v>
      </c>
      <c r="AB95" s="115" t="s">
        <v>150</v>
      </c>
      <c r="AC95" s="115" t="s">
        <v>150</v>
      </c>
      <c r="AD95" s="115" t="s">
        <v>150</v>
      </c>
      <c r="AE95" s="115" t="s">
        <v>150</v>
      </c>
      <c r="AF95" s="115" t="s">
        <v>150</v>
      </c>
      <c r="AG95" s="115" t="s">
        <v>150</v>
      </c>
      <c r="AH95" s="16">
        <f>IFERROR(__xludf.DUMMYFUNCTION("AI95*GoogleFinance(""CURRENCY:GBPUSD"")"),976.70328)</f>
        <v>976.70328</v>
      </c>
      <c r="AI95" s="108">
        <f t="shared" si="5"/>
        <v>784</v>
      </c>
      <c r="AJ95" s="107">
        <v>121.0</v>
      </c>
      <c r="AK95" s="107">
        <v>126.0</v>
      </c>
      <c r="AL95" s="107">
        <v>244.0</v>
      </c>
      <c r="AM95" s="107">
        <v>177.0</v>
      </c>
      <c r="AN95" s="107">
        <v>116.0</v>
      </c>
      <c r="AO95" s="107">
        <v>200.0</v>
      </c>
      <c r="AP95" s="9"/>
      <c r="AQ95" s="107" t="s">
        <v>182</v>
      </c>
      <c r="AR95" s="107" t="s">
        <v>182</v>
      </c>
      <c r="AS95" s="9"/>
      <c r="AT95" s="25" t="s">
        <v>148</v>
      </c>
      <c r="AU95" s="109" t="s">
        <v>150</v>
      </c>
      <c r="AV95" s="106" t="s">
        <v>150</v>
      </c>
      <c r="AW95" s="14">
        <f t="shared" si="65"/>
        <v>43.815</v>
      </c>
      <c r="AX95" s="112">
        <f>average(16.5,18)</f>
        <v>17.25</v>
      </c>
      <c r="AY95" s="9"/>
      <c r="AZ95" s="12"/>
      <c r="BA95" s="12"/>
      <c r="BB95" s="12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5" t="s">
        <v>640</v>
      </c>
      <c r="B96" s="61"/>
      <c r="D96" s="61"/>
      <c r="E96" s="25" t="s">
        <v>27</v>
      </c>
      <c r="F96" s="9"/>
      <c r="G96" s="25">
        <v>147.0</v>
      </c>
      <c r="H96" s="9"/>
      <c r="I96" s="106" t="s">
        <v>150</v>
      </c>
      <c r="J96" s="106" t="s">
        <v>150</v>
      </c>
      <c r="K96" s="106" t="s">
        <v>150</v>
      </c>
      <c r="L96" s="106" t="s">
        <v>150</v>
      </c>
      <c r="M96" s="9"/>
      <c r="N96" s="41">
        <v>11.57</v>
      </c>
      <c r="O96" s="106">
        <v>199.0</v>
      </c>
      <c r="P96" s="134"/>
      <c r="Q96" s="106" t="s">
        <v>150</v>
      </c>
      <c r="R96" s="106" t="s">
        <v>150</v>
      </c>
      <c r="S96" s="106" t="s">
        <v>150</v>
      </c>
      <c r="T96" s="9"/>
      <c r="U96" s="25">
        <v>3.0</v>
      </c>
      <c r="V96" s="9"/>
      <c r="W96" s="115" t="s">
        <v>150</v>
      </c>
      <c r="X96" s="115">
        <v>1000.0</v>
      </c>
      <c r="Y96" s="107" t="s">
        <v>160</v>
      </c>
      <c r="Z96" s="115">
        <v>1000.0</v>
      </c>
      <c r="AA96" s="115">
        <v>1000.0</v>
      </c>
      <c r="AB96" s="115" t="s">
        <v>150</v>
      </c>
      <c r="AC96" s="115" t="s">
        <v>150</v>
      </c>
      <c r="AD96" s="115" t="s">
        <v>150</v>
      </c>
      <c r="AE96" s="115" t="s">
        <v>150</v>
      </c>
      <c r="AF96" s="115" t="s">
        <v>150</v>
      </c>
      <c r="AG96" s="16">
        <f t="shared" ref="AG96:AG97" si="66">AH96*N96</f>
        <v>11300.45695</v>
      </c>
      <c r="AH96" s="16">
        <f>IFERROR(__xludf.DUMMYFUNCTION("AI96*GoogleFinance(""CURRENCY:GBPUSD"")"),976.70328)</f>
        <v>976.70328</v>
      </c>
      <c r="AI96" s="108">
        <f t="shared" si="5"/>
        <v>784</v>
      </c>
      <c r="AJ96" s="107">
        <v>121.0</v>
      </c>
      <c r="AK96" s="107">
        <v>126.0</v>
      </c>
      <c r="AL96" s="107">
        <v>244.0</v>
      </c>
      <c r="AM96" s="107">
        <v>177.0</v>
      </c>
      <c r="AN96" s="107">
        <v>116.0</v>
      </c>
      <c r="AO96" s="107">
        <v>200.0</v>
      </c>
      <c r="AP96" s="9"/>
      <c r="AQ96" s="107" t="s">
        <v>182</v>
      </c>
      <c r="AR96" s="107" t="s">
        <v>182</v>
      </c>
      <c r="AS96" s="9"/>
      <c r="AT96" s="25" t="s">
        <v>166</v>
      </c>
      <c r="AU96" s="106" t="s">
        <v>150</v>
      </c>
      <c r="AV96" s="106" t="s">
        <v>150</v>
      </c>
      <c r="AW96" s="14">
        <f t="shared" si="65"/>
        <v>61.595</v>
      </c>
      <c r="AX96" s="112">
        <f>average(22.5,26)</f>
        <v>24.25</v>
      </c>
      <c r="AY96" s="9"/>
      <c r="AZ96" s="106" t="s">
        <v>641</v>
      </c>
      <c r="BA96" s="12"/>
      <c r="BB96" s="12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5" t="s">
        <v>590</v>
      </c>
      <c r="B97" s="9"/>
      <c r="C97" s="8"/>
      <c r="D97" s="9"/>
      <c r="E97" s="25" t="s">
        <v>27</v>
      </c>
      <c r="F97" s="9"/>
      <c r="G97" s="25">
        <v>70.0</v>
      </c>
      <c r="H97" s="9"/>
      <c r="I97" s="25">
        <v>35.0</v>
      </c>
      <c r="J97" s="25" t="s">
        <v>142</v>
      </c>
      <c r="K97" s="25" t="s">
        <v>143</v>
      </c>
      <c r="L97" s="25" t="s">
        <v>144</v>
      </c>
      <c r="M97" s="9"/>
      <c r="N97" s="41">
        <v>11.63</v>
      </c>
      <c r="O97" s="106">
        <v>922.0</v>
      </c>
      <c r="P97" s="9"/>
      <c r="Q97" s="25" t="s">
        <v>592</v>
      </c>
      <c r="R97" s="25">
        <v>2.0</v>
      </c>
      <c r="S97" s="106" t="s">
        <v>593</v>
      </c>
      <c r="T97" s="9"/>
      <c r="U97" s="25">
        <v>3.0</v>
      </c>
      <c r="V97" s="9"/>
      <c r="W97" s="14">
        <f>X97+AF97+AG97+AO97</f>
        <v>16430.93673</v>
      </c>
      <c r="X97" s="16">
        <f>average(600,500,600,400,600,400,300,1000,300,550)</f>
        <v>525</v>
      </c>
      <c r="Y97" s="107" t="s">
        <v>146</v>
      </c>
      <c r="Z97" s="107">
        <v>300.0</v>
      </c>
      <c r="AA97" s="107">
        <v>1000.0</v>
      </c>
      <c r="AB97" s="108">
        <f t="shared" ref="AB97:AB101" si="67">average(AC97,AD97)</f>
        <v>5.75</v>
      </c>
      <c r="AC97" s="107">
        <v>4.0</v>
      </c>
      <c r="AD97" s="107">
        <v>7.5</v>
      </c>
      <c r="AE97" s="19">
        <f>IFERROR(__xludf.DUMMYFUNCTION("AB97*GoogleFinance(""CURRENCY:GBPUSD"")"),7.16332125)</f>
        <v>7.16332125</v>
      </c>
      <c r="AF97" s="16">
        <f>AE97*52.1775*N97</f>
        <v>4346.877582</v>
      </c>
      <c r="AG97" s="16">
        <f t="shared" si="66"/>
        <v>11359.05915</v>
      </c>
      <c r="AH97" s="16">
        <f>IFERROR(__xludf.DUMMYFUNCTION("AI97*GoogleFinance(""CURRENCY:GBPUSD"")"),976.70328)</f>
        <v>976.70328</v>
      </c>
      <c r="AI97" s="108">
        <f t="shared" si="5"/>
        <v>784</v>
      </c>
      <c r="AJ97" s="107">
        <v>121.0</v>
      </c>
      <c r="AK97" s="107">
        <v>126.0</v>
      </c>
      <c r="AL97" s="107">
        <v>244.0</v>
      </c>
      <c r="AM97" s="107">
        <v>177.0</v>
      </c>
      <c r="AN97" s="107">
        <v>116.0</v>
      </c>
      <c r="AO97" s="107">
        <v>200.0</v>
      </c>
      <c r="AP97" s="9"/>
      <c r="AQ97" s="25" t="s">
        <v>147</v>
      </c>
      <c r="AR97" s="25" t="s">
        <v>165</v>
      </c>
      <c r="AS97" s="9"/>
      <c r="AT97" s="25" t="s">
        <v>166</v>
      </c>
      <c r="AU97" s="14">
        <f t="shared" ref="AU97:AU99" si="68">AV97*0.45359237</f>
        <v>29.48350405</v>
      </c>
      <c r="AV97" s="112">
        <f>average(60,70)</f>
        <v>65</v>
      </c>
      <c r="AW97" s="14">
        <f t="shared" si="65"/>
        <v>66.04</v>
      </c>
      <c r="AX97" s="112">
        <f>average(25,27)</f>
        <v>26</v>
      </c>
      <c r="AY97" s="9"/>
      <c r="AZ97" s="12"/>
      <c r="BA97" s="12"/>
      <c r="BB97" s="12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5" t="s">
        <v>642</v>
      </c>
      <c r="B98" s="9"/>
      <c r="C98" s="8"/>
      <c r="D98" s="9"/>
      <c r="E98" s="25" t="s">
        <v>23</v>
      </c>
      <c r="F98" s="9"/>
      <c r="G98" s="25">
        <v>132.0</v>
      </c>
      <c r="H98" s="9"/>
      <c r="I98" s="25">
        <v>53.0</v>
      </c>
      <c r="J98" s="25" t="s">
        <v>184</v>
      </c>
      <c r="K98" s="116" t="s">
        <v>185</v>
      </c>
      <c r="L98" s="25" t="s">
        <v>187</v>
      </c>
      <c r="M98" s="9"/>
      <c r="N98" s="137" t="s">
        <v>150</v>
      </c>
      <c r="O98" s="106" t="s">
        <v>182</v>
      </c>
      <c r="P98" s="9"/>
      <c r="Q98" s="25" t="s">
        <v>145</v>
      </c>
      <c r="R98" s="25">
        <v>0.0</v>
      </c>
      <c r="S98" s="106" t="s">
        <v>145</v>
      </c>
      <c r="T98" s="9"/>
      <c r="U98" s="25">
        <v>4.0</v>
      </c>
      <c r="V98" s="9"/>
      <c r="W98" s="115" t="s">
        <v>150</v>
      </c>
      <c r="X98" s="16">
        <f>average(700,400,850,500,588,850,500,400,500,588)</f>
        <v>587.6</v>
      </c>
      <c r="Y98" s="107" t="s">
        <v>146</v>
      </c>
      <c r="Z98" s="107">
        <v>400.0</v>
      </c>
      <c r="AA98" s="107">
        <v>850.0</v>
      </c>
      <c r="AB98" s="108">
        <f t="shared" si="67"/>
        <v>5.75</v>
      </c>
      <c r="AC98" s="107">
        <v>4.0</v>
      </c>
      <c r="AD98" s="107">
        <v>7.5</v>
      </c>
      <c r="AE98" s="19">
        <f>IFERROR(__xludf.DUMMYFUNCTION("AB98*GoogleFinance(""CURRENCY:GBPUSD"")"),7.16332125)</f>
        <v>7.16332125</v>
      </c>
      <c r="AF98" s="115" t="s">
        <v>150</v>
      </c>
      <c r="AG98" s="115" t="s">
        <v>150</v>
      </c>
      <c r="AH98" s="16">
        <f>IFERROR(__xludf.DUMMYFUNCTION("AI98*GoogleFinance(""CURRENCY:GBPUSD"")"),976.70328)</f>
        <v>976.70328</v>
      </c>
      <c r="AI98" s="108">
        <f t="shared" si="5"/>
        <v>784</v>
      </c>
      <c r="AJ98" s="107">
        <v>121.0</v>
      </c>
      <c r="AK98" s="107">
        <v>126.0</v>
      </c>
      <c r="AL98" s="107">
        <v>244.0</v>
      </c>
      <c r="AM98" s="107">
        <v>177.0</v>
      </c>
      <c r="AN98" s="107">
        <v>116.0</v>
      </c>
      <c r="AO98" s="107">
        <v>200.0</v>
      </c>
      <c r="AP98" s="9"/>
      <c r="AQ98" s="25" t="s">
        <v>147</v>
      </c>
      <c r="AR98" s="25" t="s">
        <v>165</v>
      </c>
      <c r="AS98" s="9"/>
      <c r="AT98" s="25" t="s">
        <v>148</v>
      </c>
      <c r="AU98" s="14">
        <f t="shared" si="68"/>
        <v>11.79340162</v>
      </c>
      <c r="AV98" s="112">
        <f>average(25,27)</f>
        <v>26</v>
      </c>
      <c r="AW98" s="14">
        <f t="shared" si="65"/>
        <v>45.72</v>
      </c>
      <c r="AX98" s="112">
        <f>average(18)</f>
        <v>18</v>
      </c>
      <c r="AY98" s="9"/>
      <c r="AZ98" s="12"/>
      <c r="BA98" s="12"/>
      <c r="BB98" s="12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5" t="s">
        <v>643</v>
      </c>
      <c r="B99" s="9"/>
      <c r="C99" s="8"/>
      <c r="D99" s="9"/>
      <c r="E99" s="25" t="s">
        <v>27</v>
      </c>
      <c r="F99" s="9"/>
      <c r="G99" s="25">
        <v>150.0</v>
      </c>
      <c r="H99" s="9"/>
      <c r="I99" s="25">
        <v>24.0</v>
      </c>
      <c r="J99" s="25" t="s">
        <v>267</v>
      </c>
      <c r="K99" s="116" t="s">
        <v>268</v>
      </c>
      <c r="L99" s="25" t="s">
        <v>269</v>
      </c>
      <c r="M99" s="9"/>
      <c r="N99" s="41">
        <v>9.33</v>
      </c>
      <c r="O99" s="106">
        <v>95.0</v>
      </c>
      <c r="P99" s="9"/>
      <c r="Q99" s="25" t="s">
        <v>174</v>
      </c>
      <c r="R99" s="25">
        <v>1.0</v>
      </c>
      <c r="S99" s="106" t="s">
        <v>175</v>
      </c>
      <c r="T99" s="9"/>
      <c r="U99" s="25">
        <v>4.0</v>
      </c>
      <c r="V99" s="9"/>
      <c r="W99" s="115" t="s">
        <v>150</v>
      </c>
      <c r="X99" s="115" t="s">
        <v>150</v>
      </c>
      <c r="Y99" s="115" t="s">
        <v>150</v>
      </c>
      <c r="Z99" s="115" t="s">
        <v>150</v>
      </c>
      <c r="AA99" s="115" t="s">
        <v>150</v>
      </c>
      <c r="AB99" s="108">
        <f t="shared" si="67"/>
        <v>8.75</v>
      </c>
      <c r="AC99" s="107">
        <v>7.5</v>
      </c>
      <c r="AD99" s="107">
        <v>10.0</v>
      </c>
      <c r="AE99" s="19">
        <f>IFERROR(__xludf.DUMMYFUNCTION("AB99*GoogleFinance(""CURRENCY:GBPUSD"")"),10.90070625)</f>
        <v>10.90070625</v>
      </c>
      <c r="AF99" s="16">
        <f t="shared" ref="AF99:AF101" si="69">AE99*52.1775*N99</f>
        <v>5306.639031</v>
      </c>
      <c r="AG99" s="16">
        <f t="shared" ref="AG99:AG105" si="70">AH99*N99</f>
        <v>9112.641602</v>
      </c>
      <c r="AH99" s="16">
        <f>IFERROR(__xludf.DUMMYFUNCTION("AI99*GoogleFinance(""CURRENCY:GBPUSD"")"),976.70328)</f>
        <v>976.70328</v>
      </c>
      <c r="AI99" s="108">
        <f t="shared" si="5"/>
        <v>784</v>
      </c>
      <c r="AJ99" s="107">
        <v>121.0</v>
      </c>
      <c r="AK99" s="107">
        <v>126.0</v>
      </c>
      <c r="AL99" s="107">
        <v>244.0</v>
      </c>
      <c r="AM99" s="107">
        <v>177.0</v>
      </c>
      <c r="AN99" s="107">
        <v>116.0</v>
      </c>
      <c r="AO99" s="107">
        <v>200.0</v>
      </c>
      <c r="AP99" s="9"/>
      <c r="AQ99" s="25" t="s">
        <v>147</v>
      </c>
      <c r="AR99" s="25" t="s">
        <v>165</v>
      </c>
      <c r="AS99" s="9"/>
      <c r="AT99" s="25" t="s">
        <v>148</v>
      </c>
      <c r="AU99" s="14">
        <f t="shared" si="68"/>
        <v>24.94758035</v>
      </c>
      <c r="AV99" s="112">
        <f>average(45,65)</f>
        <v>55</v>
      </c>
      <c r="AW99" s="14">
        <f t="shared" si="65"/>
        <v>57.15</v>
      </c>
      <c r="AX99" s="112">
        <f>average(21,24)</f>
        <v>22.5</v>
      </c>
      <c r="AY99" s="9"/>
      <c r="AZ99" s="12"/>
      <c r="BA99" s="12"/>
      <c r="BB99" s="12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5" t="s">
        <v>644</v>
      </c>
      <c r="B100" s="9"/>
      <c r="C100" s="8"/>
      <c r="D100" s="9"/>
      <c r="E100" s="25" t="s">
        <v>53</v>
      </c>
      <c r="F100" s="9"/>
      <c r="G100" s="25">
        <v>79.0</v>
      </c>
      <c r="H100" s="9"/>
      <c r="I100" s="25">
        <v>41.0</v>
      </c>
      <c r="J100" s="25" t="s">
        <v>184</v>
      </c>
      <c r="K100" s="116" t="s">
        <v>185</v>
      </c>
      <c r="L100" s="25" t="s">
        <v>187</v>
      </c>
      <c r="M100" s="9"/>
      <c r="N100" s="41">
        <v>6.94</v>
      </c>
      <c r="O100" s="106">
        <v>121.0</v>
      </c>
      <c r="P100" s="9"/>
      <c r="Q100" s="25" t="s">
        <v>645</v>
      </c>
      <c r="R100" s="25">
        <v>3.0</v>
      </c>
      <c r="S100" s="106" t="s">
        <v>646</v>
      </c>
      <c r="T100" s="9"/>
      <c r="U100" s="25">
        <v>2.0</v>
      </c>
      <c r="V100" s="9"/>
      <c r="W100" s="14">
        <f t="shared" ref="W100:W101" si="71">X100+AF100+AG100+AO100</f>
        <v>15078.41108</v>
      </c>
      <c r="X100" s="16">
        <f>average(1550,1550,1200,1550,1200,1100,1550,800,1500)</f>
        <v>1333.333333</v>
      </c>
      <c r="Y100" s="107" t="s">
        <v>160</v>
      </c>
      <c r="Z100" s="107">
        <v>800.0</v>
      </c>
      <c r="AA100" s="107">
        <v>1550.0</v>
      </c>
      <c r="AB100" s="108">
        <f t="shared" si="67"/>
        <v>15</v>
      </c>
      <c r="AC100" s="107">
        <v>15.0</v>
      </c>
      <c r="AD100" s="107">
        <v>15.0</v>
      </c>
      <c r="AE100" s="19">
        <f>IFERROR(__xludf.DUMMYFUNCTION("AB100*GoogleFinance(""CURRENCY:GBPUSD"")"),18.686925)</f>
        <v>18.686925</v>
      </c>
      <c r="AF100" s="16">
        <f t="shared" si="69"/>
        <v>6766.756983</v>
      </c>
      <c r="AG100" s="16">
        <f t="shared" si="70"/>
        <v>6778.320763</v>
      </c>
      <c r="AH100" s="16">
        <f>IFERROR(__xludf.DUMMYFUNCTION("AI100*GoogleFinance(""CURRENCY:GBPUSD"")"),976.70328)</f>
        <v>976.70328</v>
      </c>
      <c r="AI100" s="108">
        <f t="shared" si="5"/>
        <v>784</v>
      </c>
      <c r="AJ100" s="107">
        <v>121.0</v>
      </c>
      <c r="AK100" s="107">
        <v>126.0</v>
      </c>
      <c r="AL100" s="107">
        <v>244.0</v>
      </c>
      <c r="AM100" s="107">
        <v>177.0</v>
      </c>
      <c r="AN100" s="107">
        <v>116.0</v>
      </c>
      <c r="AO100" s="107">
        <v>200.0</v>
      </c>
      <c r="AP100" s="9"/>
      <c r="AQ100" s="25" t="s">
        <v>147</v>
      </c>
      <c r="AR100" s="25" t="s">
        <v>165</v>
      </c>
      <c r="AS100" s="9"/>
      <c r="AT100" s="25" t="s">
        <v>166</v>
      </c>
      <c r="AU100" s="106" t="s">
        <v>150</v>
      </c>
      <c r="AV100" s="106" t="s">
        <v>150</v>
      </c>
      <c r="AW100" s="14">
        <f t="shared" si="65"/>
        <v>81.28</v>
      </c>
      <c r="AX100" s="112">
        <f>average(30,34)</f>
        <v>32</v>
      </c>
      <c r="AY100" s="9"/>
      <c r="AZ100" s="12"/>
      <c r="BA100" s="12"/>
      <c r="BB100" s="12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5" t="s">
        <v>647</v>
      </c>
      <c r="B101" s="9"/>
      <c r="C101" s="8"/>
      <c r="D101" s="9"/>
      <c r="E101" s="25" t="s">
        <v>43</v>
      </c>
      <c r="F101" s="9"/>
      <c r="G101" s="25">
        <v>65.0</v>
      </c>
      <c r="H101" s="9"/>
      <c r="I101" s="25">
        <v>60.0</v>
      </c>
      <c r="J101" s="25" t="s">
        <v>400</v>
      </c>
      <c r="K101" s="25" t="s">
        <v>401</v>
      </c>
      <c r="L101" s="25" t="s">
        <v>402</v>
      </c>
      <c r="M101" s="9"/>
      <c r="N101" s="41">
        <v>10.02</v>
      </c>
      <c r="O101" s="106">
        <v>203.0</v>
      </c>
      <c r="P101" s="9"/>
      <c r="Q101" s="25" t="s">
        <v>145</v>
      </c>
      <c r="R101" s="25">
        <v>0.0</v>
      </c>
      <c r="S101" s="106" t="s">
        <v>145</v>
      </c>
      <c r="T101" s="9"/>
      <c r="U101" s="25">
        <v>5.0</v>
      </c>
      <c r="V101" s="9"/>
      <c r="W101" s="14">
        <f t="shared" si="71"/>
        <v>13391.86581</v>
      </c>
      <c r="X101" s="16">
        <f>average(850,750,650,850,950,1200,700,750,800,500)</f>
        <v>800</v>
      </c>
      <c r="Y101" s="107" t="s">
        <v>160</v>
      </c>
      <c r="Z101" s="107">
        <v>500.0</v>
      </c>
      <c r="AA101" s="107">
        <v>120.0</v>
      </c>
      <c r="AB101" s="108">
        <f t="shared" si="67"/>
        <v>4</v>
      </c>
      <c r="AC101" s="107">
        <v>4.0</v>
      </c>
      <c r="AD101" s="107">
        <v>4.0</v>
      </c>
      <c r="AE101" s="19">
        <f>IFERROR(__xludf.DUMMYFUNCTION("AB101*GoogleFinance(""CURRENCY:GBPUSD"")"),4.98318)</f>
        <v>4.98318</v>
      </c>
      <c r="AF101" s="16">
        <f t="shared" si="69"/>
        <v>2605.298942</v>
      </c>
      <c r="AG101" s="16">
        <f t="shared" si="70"/>
        <v>9786.566866</v>
      </c>
      <c r="AH101" s="16">
        <f>IFERROR(__xludf.DUMMYFUNCTION("AI101*GoogleFinance(""CURRENCY:GBPUSD"")"),976.70328)</f>
        <v>976.70328</v>
      </c>
      <c r="AI101" s="108">
        <f t="shared" si="5"/>
        <v>784</v>
      </c>
      <c r="AJ101" s="107">
        <v>121.0</v>
      </c>
      <c r="AK101" s="107">
        <v>126.0</v>
      </c>
      <c r="AL101" s="107">
        <v>244.0</v>
      </c>
      <c r="AM101" s="107">
        <v>177.0</v>
      </c>
      <c r="AN101" s="107">
        <v>116.0</v>
      </c>
      <c r="AO101" s="107">
        <v>200.0</v>
      </c>
      <c r="AP101" s="9"/>
      <c r="AQ101" s="25" t="s">
        <v>147</v>
      </c>
      <c r="AR101" s="25" t="s">
        <v>209</v>
      </c>
      <c r="AS101" s="9"/>
      <c r="AT101" s="25" t="s">
        <v>149</v>
      </c>
      <c r="AU101" s="109" t="s">
        <v>150</v>
      </c>
      <c r="AV101" s="106" t="s">
        <v>150</v>
      </c>
      <c r="AW101" s="14">
        <f t="shared" si="65"/>
        <v>35.56</v>
      </c>
      <c r="AX101" s="112">
        <f>average (13,15)</f>
        <v>14</v>
      </c>
      <c r="AY101" s="9"/>
      <c r="AZ101" s="12"/>
      <c r="BA101" s="12"/>
      <c r="BB101" s="12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5" t="s">
        <v>651</v>
      </c>
      <c r="B102" s="9"/>
      <c r="C102" s="8"/>
      <c r="D102" s="9"/>
      <c r="E102" s="25" t="s">
        <v>43</v>
      </c>
      <c r="F102" s="9"/>
      <c r="G102" s="25">
        <v>78.0</v>
      </c>
      <c r="H102" s="9"/>
      <c r="I102" s="25">
        <v>62.0</v>
      </c>
      <c r="J102" s="25" t="s">
        <v>400</v>
      </c>
      <c r="K102" s="25" t="s">
        <v>401</v>
      </c>
      <c r="L102" s="25" t="s">
        <v>402</v>
      </c>
      <c r="M102" s="9"/>
      <c r="N102" s="41">
        <v>9.25</v>
      </c>
      <c r="O102" s="106">
        <v>38.0</v>
      </c>
      <c r="P102" s="9"/>
      <c r="Q102" s="25" t="s">
        <v>145</v>
      </c>
      <c r="R102" s="25">
        <v>0.0</v>
      </c>
      <c r="S102" s="106" t="s">
        <v>145</v>
      </c>
      <c r="T102" s="9"/>
      <c r="U102" s="25">
        <v>6.0</v>
      </c>
      <c r="V102" s="9"/>
      <c r="W102" s="115" t="s">
        <v>150</v>
      </c>
      <c r="X102" s="16">
        <f>average(400,425,600,800,200,800,650,350,450,450)</f>
        <v>512.5</v>
      </c>
      <c r="Y102" s="107" t="s">
        <v>146</v>
      </c>
      <c r="Z102" s="107">
        <v>200.0</v>
      </c>
      <c r="AA102" s="107">
        <v>800.0</v>
      </c>
      <c r="AB102" s="115" t="s">
        <v>150</v>
      </c>
      <c r="AC102" s="115" t="s">
        <v>150</v>
      </c>
      <c r="AD102" s="115" t="s">
        <v>150</v>
      </c>
      <c r="AE102" s="115" t="s">
        <v>150</v>
      </c>
      <c r="AF102" s="115" t="s">
        <v>150</v>
      </c>
      <c r="AG102" s="16">
        <f t="shared" si="70"/>
        <v>9034.50534</v>
      </c>
      <c r="AH102" s="16">
        <f>IFERROR(__xludf.DUMMYFUNCTION("AI102*GoogleFinance(""CURRENCY:GBPUSD"")"),976.70328)</f>
        <v>976.70328</v>
      </c>
      <c r="AI102" s="108">
        <f t="shared" si="5"/>
        <v>784</v>
      </c>
      <c r="AJ102" s="107">
        <v>121.0</v>
      </c>
      <c r="AK102" s="107">
        <v>126.0</v>
      </c>
      <c r="AL102" s="107">
        <v>244.0</v>
      </c>
      <c r="AM102" s="107">
        <v>177.0</v>
      </c>
      <c r="AN102" s="107">
        <v>116.0</v>
      </c>
      <c r="AO102" s="107">
        <v>200.0</v>
      </c>
      <c r="AP102" s="9"/>
      <c r="AQ102" s="107" t="s">
        <v>182</v>
      </c>
      <c r="AR102" s="107" t="s">
        <v>182</v>
      </c>
      <c r="AS102" s="9"/>
      <c r="AT102" s="25" t="s">
        <v>149</v>
      </c>
      <c r="AU102" s="109" t="s">
        <v>150</v>
      </c>
      <c r="AV102" s="106" t="s">
        <v>150</v>
      </c>
      <c r="AW102" s="14">
        <f t="shared" si="65"/>
        <v>24.13</v>
      </c>
      <c r="AX102" s="112">
        <f>average(8,11)</f>
        <v>9.5</v>
      </c>
      <c r="AY102" s="9"/>
      <c r="AZ102" s="12"/>
      <c r="BA102" s="12"/>
      <c r="BB102" s="12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5" t="s">
        <v>654</v>
      </c>
      <c r="B103" s="9"/>
      <c r="C103" s="8"/>
      <c r="D103" s="9"/>
      <c r="E103" s="25" t="s">
        <v>34</v>
      </c>
      <c r="F103" s="9"/>
      <c r="G103" s="25">
        <v>98.0</v>
      </c>
      <c r="H103" s="9"/>
      <c r="I103" s="25">
        <v>16.0</v>
      </c>
      <c r="J103" s="25" t="s">
        <v>267</v>
      </c>
      <c r="K103" s="116" t="s">
        <v>268</v>
      </c>
      <c r="L103" s="25" t="s">
        <v>269</v>
      </c>
      <c r="M103" s="9"/>
      <c r="N103" s="41">
        <v>12.17</v>
      </c>
      <c r="O103" s="106">
        <v>104.0</v>
      </c>
      <c r="P103" s="9"/>
      <c r="Q103" s="25" t="s">
        <v>174</v>
      </c>
      <c r="R103" s="25">
        <v>1.0</v>
      </c>
      <c r="S103" s="106" t="s">
        <v>175</v>
      </c>
      <c r="T103" s="9"/>
      <c r="U103" s="25">
        <v>5.0</v>
      </c>
      <c r="V103" s="9"/>
      <c r="W103" s="115" t="s">
        <v>150</v>
      </c>
      <c r="X103" s="16">
        <f>average(1000,400,700,800,350,800,1000,350,350,350)</f>
        <v>610</v>
      </c>
      <c r="Y103" s="107" t="s">
        <v>146</v>
      </c>
      <c r="Z103" s="107">
        <v>350.0</v>
      </c>
      <c r="AA103" s="107">
        <v>1000.0</v>
      </c>
      <c r="AB103" s="115" t="s">
        <v>150</v>
      </c>
      <c r="AC103" s="115" t="s">
        <v>150</v>
      </c>
      <c r="AD103" s="115" t="s">
        <v>150</v>
      </c>
      <c r="AE103" s="115" t="s">
        <v>150</v>
      </c>
      <c r="AF103" s="115" t="s">
        <v>150</v>
      </c>
      <c r="AG103" s="16">
        <f t="shared" si="70"/>
        <v>11886.47892</v>
      </c>
      <c r="AH103" s="16">
        <f>IFERROR(__xludf.DUMMYFUNCTION("AI103*GoogleFinance(""CURRENCY:GBPUSD"")"),976.70328)</f>
        <v>976.70328</v>
      </c>
      <c r="AI103" s="108">
        <f t="shared" si="5"/>
        <v>784</v>
      </c>
      <c r="AJ103" s="107">
        <v>121.0</v>
      </c>
      <c r="AK103" s="107">
        <v>126.0</v>
      </c>
      <c r="AL103" s="107">
        <v>244.0</v>
      </c>
      <c r="AM103" s="107">
        <v>177.0</v>
      </c>
      <c r="AN103" s="107">
        <v>116.0</v>
      </c>
      <c r="AO103" s="107">
        <v>200.0</v>
      </c>
      <c r="AP103" s="9"/>
      <c r="AQ103" s="107" t="s">
        <v>182</v>
      </c>
      <c r="AR103" s="107" t="s">
        <v>182</v>
      </c>
      <c r="AS103" s="9"/>
      <c r="AT103" s="25" t="s">
        <v>148</v>
      </c>
      <c r="AU103" s="106" t="s">
        <v>150</v>
      </c>
      <c r="AV103" s="106" t="s">
        <v>150</v>
      </c>
      <c r="AW103" s="14">
        <f t="shared" si="65"/>
        <v>44.45</v>
      </c>
      <c r="AX103" s="112">
        <f>average(17,18)</f>
        <v>17.5</v>
      </c>
      <c r="AY103" s="9"/>
      <c r="AZ103" s="12"/>
      <c r="BA103" s="12"/>
      <c r="BB103" s="12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5" t="s">
        <v>656</v>
      </c>
      <c r="B104" s="9"/>
      <c r="C104" s="8"/>
      <c r="D104" s="9"/>
      <c r="E104" s="25" t="s">
        <v>23</v>
      </c>
      <c r="F104" s="9"/>
      <c r="G104" s="25">
        <v>124.0</v>
      </c>
      <c r="H104" s="9"/>
      <c r="I104" s="25">
        <v>35.0</v>
      </c>
      <c r="J104" s="25" t="s">
        <v>142</v>
      </c>
      <c r="K104" s="25" t="s">
        <v>143</v>
      </c>
      <c r="L104" s="25" t="s">
        <v>144</v>
      </c>
      <c r="M104" s="9"/>
      <c r="N104" s="41">
        <v>9.4</v>
      </c>
      <c r="O104" s="106">
        <v>353.0</v>
      </c>
      <c r="P104" s="9"/>
      <c r="Q104" s="25" t="s">
        <v>271</v>
      </c>
      <c r="R104" s="25">
        <v>1.0</v>
      </c>
      <c r="S104" s="106" t="s">
        <v>549</v>
      </c>
      <c r="T104" s="9"/>
      <c r="U104" s="25">
        <v>3.0</v>
      </c>
      <c r="V104" s="9"/>
      <c r="W104" s="14">
        <f>X104+AF104+AG104+AO104</f>
        <v>14094.39426</v>
      </c>
      <c r="X104" s="16">
        <f>average(900,1500)</f>
        <v>1200</v>
      </c>
      <c r="Y104" s="107" t="s">
        <v>160</v>
      </c>
      <c r="Z104" s="107">
        <v>900.0</v>
      </c>
      <c r="AA104" s="107">
        <v>1500.0</v>
      </c>
      <c r="AB104" s="108">
        <f>average(AC104,AD104)</f>
        <v>5.75</v>
      </c>
      <c r="AC104" s="107">
        <v>4.0</v>
      </c>
      <c r="AD104" s="107">
        <v>7.5</v>
      </c>
      <c r="AE104" s="19">
        <f>IFERROR(__xludf.DUMMYFUNCTION("AB104*GoogleFinance(""CURRENCY:GBPUSD"")"),7.16332125)</f>
        <v>7.16332125</v>
      </c>
      <c r="AF104" s="16">
        <f>AE104*52.1775*N104</f>
        <v>3513.383429</v>
      </c>
      <c r="AG104" s="16">
        <f t="shared" si="70"/>
        <v>9181.010832</v>
      </c>
      <c r="AH104" s="16">
        <f>IFERROR(__xludf.DUMMYFUNCTION("AI104*GoogleFinance(""CURRENCY:GBPUSD"")"),976.70328)</f>
        <v>976.70328</v>
      </c>
      <c r="AI104" s="108">
        <f t="shared" si="5"/>
        <v>784</v>
      </c>
      <c r="AJ104" s="107">
        <v>121.0</v>
      </c>
      <c r="AK104" s="107">
        <v>126.0</v>
      </c>
      <c r="AL104" s="107">
        <v>244.0</v>
      </c>
      <c r="AM104" s="107">
        <v>177.0</v>
      </c>
      <c r="AN104" s="107">
        <v>116.0</v>
      </c>
      <c r="AO104" s="107">
        <v>200.0</v>
      </c>
      <c r="AP104" s="9"/>
      <c r="AQ104" s="25" t="s">
        <v>164</v>
      </c>
      <c r="AR104" s="25" t="s">
        <v>148</v>
      </c>
      <c r="AS104" s="9"/>
      <c r="AT104" s="25" t="s">
        <v>148</v>
      </c>
      <c r="AU104" s="14">
        <f t="shared" ref="AU104:AU108" si="72">AV104*0.45359237</f>
        <v>16.55612151</v>
      </c>
      <c r="AV104" s="112">
        <f>average(33,40)</f>
        <v>36.5</v>
      </c>
      <c r="AW104" s="14">
        <f t="shared" si="65"/>
        <v>46.99</v>
      </c>
      <c r="AX104" s="112">
        <f>average(18.5)</f>
        <v>18.5</v>
      </c>
      <c r="AY104" s="9"/>
      <c r="AZ104" s="12"/>
      <c r="BA104" s="12"/>
      <c r="BB104" s="12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5" t="s">
        <v>657</v>
      </c>
      <c r="B105" s="9"/>
      <c r="C105" s="8"/>
      <c r="D105" s="9"/>
      <c r="E105" s="25" t="s">
        <v>38</v>
      </c>
      <c r="F105" s="9"/>
      <c r="G105" s="25">
        <v>166.0</v>
      </c>
      <c r="H105" s="9"/>
      <c r="I105" s="106" t="s">
        <v>150</v>
      </c>
      <c r="J105" s="106" t="s">
        <v>150</v>
      </c>
      <c r="K105" s="106" t="s">
        <v>150</v>
      </c>
      <c r="L105" s="106" t="s">
        <v>150</v>
      </c>
      <c r="M105" s="9"/>
      <c r="N105" s="41">
        <v>9.17</v>
      </c>
      <c r="O105" s="106">
        <v>10.0</v>
      </c>
      <c r="P105" s="9"/>
      <c r="Q105" s="25" t="s">
        <v>174</v>
      </c>
      <c r="R105" s="25">
        <v>1.0</v>
      </c>
      <c r="S105" s="106" t="s">
        <v>175</v>
      </c>
      <c r="T105" s="9"/>
      <c r="U105" s="25">
        <v>2.0</v>
      </c>
      <c r="V105" s="9"/>
      <c r="W105" s="115" t="s">
        <v>150</v>
      </c>
      <c r="X105" s="16">
        <f>average(700,850,750,600,500,600,500,750)</f>
        <v>656.25</v>
      </c>
      <c r="Y105" s="107" t="s">
        <v>146</v>
      </c>
      <c r="Z105" s="107">
        <v>500.0</v>
      </c>
      <c r="AA105" s="107">
        <v>850.0</v>
      </c>
      <c r="AB105" s="115" t="s">
        <v>150</v>
      </c>
      <c r="AC105" s="115" t="s">
        <v>150</v>
      </c>
      <c r="AD105" s="115" t="s">
        <v>150</v>
      </c>
      <c r="AE105" s="115" t="s">
        <v>150</v>
      </c>
      <c r="AF105" s="115" t="s">
        <v>150</v>
      </c>
      <c r="AG105" s="16">
        <f t="shared" si="70"/>
        <v>8956.369078</v>
      </c>
      <c r="AH105" s="16">
        <f>IFERROR(__xludf.DUMMYFUNCTION("AI105*GoogleFinance(""CURRENCY:GBPUSD"")"),976.70328)</f>
        <v>976.70328</v>
      </c>
      <c r="AI105" s="108">
        <f t="shared" si="5"/>
        <v>784</v>
      </c>
      <c r="AJ105" s="107">
        <v>121.0</v>
      </c>
      <c r="AK105" s="107">
        <v>126.0</v>
      </c>
      <c r="AL105" s="107">
        <v>244.0</v>
      </c>
      <c r="AM105" s="107">
        <v>177.0</v>
      </c>
      <c r="AN105" s="107">
        <v>116.0</v>
      </c>
      <c r="AO105" s="107">
        <v>200.0</v>
      </c>
      <c r="AP105" s="9"/>
      <c r="AQ105" s="107" t="s">
        <v>182</v>
      </c>
      <c r="AR105" s="107" t="s">
        <v>182</v>
      </c>
      <c r="AS105" s="9"/>
      <c r="AT105" s="25" t="s">
        <v>166</v>
      </c>
      <c r="AU105" s="14">
        <f t="shared" si="72"/>
        <v>45.359237</v>
      </c>
      <c r="AV105" s="106">
        <v>100.0</v>
      </c>
      <c r="AW105" s="14">
        <f t="shared" si="65"/>
        <v>69.85</v>
      </c>
      <c r="AX105" s="112">
        <f>27.5</f>
        <v>27.5</v>
      </c>
      <c r="AY105" s="9"/>
      <c r="AZ105" s="12"/>
      <c r="BA105" s="12"/>
      <c r="BB105" s="12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5" t="s">
        <v>658</v>
      </c>
      <c r="B106" s="61"/>
      <c r="D106" s="61"/>
      <c r="E106" s="25" t="s">
        <v>38</v>
      </c>
      <c r="F106" s="9"/>
      <c r="G106" s="25">
        <v>148.0</v>
      </c>
      <c r="H106" s="9"/>
      <c r="I106" s="25">
        <v>42.0</v>
      </c>
      <c r="J106" s="25" t="s">
        <v>184</v>
      </c>
      <c r="K106" s="116" t="s">
        <v>185</v>
      </c>
      <c r="L106" s="25" t="s">
        <v>187</v>
      </c>
      <c r="M106" s="9"/>
      <c r="N106" s="137" t="s">
        <v>150</v>
      </c>
      <c r="O106" s="106" t="s">
        <v>182</v>
      </c>
      <c r="P106" s="9"/>
      <c r="Q106" s="25" t="s">
        <v>174</v>
      </c>
      <c r="R106" s="25">
        <v>1.0</v>
      </c>
      <c r="S106" s="106" t="s">
        <v>175</v>
      </c>
      <c r="T106" s="9"/>
      <c r="U106" s="25">
        <v>4.0</v>
      </c>
      <c r="V106" s="9"/>
      <c r="W106" s="115" t="s">
        <v>150</v>
      </c>
      <c r="X106" s="115" t="s">
        <v>150</v>
      </c>
      <c r="Y106" s="115" t="s">
        <v>150</v>
      </c>
      <c r="Z106" s="115" t="s">
        <v>150</v>
      </c>
      <c r="AA106" s="115" t="s">
        <v>150</v>
      </c>
      <c r="AB106" s="115" t="s">
        <v>150</v>
      </c>
      <c r="AC106" s="115" t="s">
        <v>150</v>
      </c>
      <c r="AD106" s="115" t="s">
        <v>150</v>
      </c>
      <c r="AE106" s="115" t="s">
        <v>150</v>
      </c>
      <c r="AF106" s="115" t="s">
        <v>150</v>
      </c>
      <c r="AG106" s="115" t="s">
        <v>150</v>
      </c>
      <c r="AH106" s="16">
        <f>IFERROR(__xludf.DUMMYFUNCTION("AI106*GoogleFinance(""CURRENCY:GBPUSD"")"),976.70328)</f>
        <v>976.70328</v>
      </c>
      <c r="AI106" s="108">
        <f t="shared" si="5"/>
        <v>784</v>
      </c>
      <c r="AJ106" s="107">
        <v>121.0</v>
      </c>
      <c r="AK106" s="107">
        <v>126.0</v>
      </c>
      <c r="AL106" s="107">
        <v>244.0</v>
      </c>
      <c r="AM106" s="107">
        <v>177.0</v>
      </c>
      <c r="AN106" s="107">
        <v>116.0</v>
      </c>
      <c r="AO106" s="107">
        <v>200.0</v>
      </c>
      <c r="AP106" s="9"/>
      <c r="AQ106" s="107" t="s">
        <v>182</v>
      </c>
      <c r="AR106" s="107" t="s">
        <v>182</v>
      </c>
      <c r="AS106" s="9"/>
      <c r="AT106" s="25" t="s">
        <v>166</v>
      </c>
      <c r="AU106" s="14">
        <f t="shared" si="72"/>
        <v>41.95729423</v>
      </c>
      <c r="AV106" s="112">
        <f>average(70,115)</f>
        <v>92.5</v>
      </c>
      <c r="AW106" s="14">
        <f t="shared" si="65"/>
        <v>71.12</v>
      </c>
      <c r="AX106" s="112">
        <f>average(26,30)</f>
        <v>28</v>
      </c>
      <c r="AY106" s="9"/>
      <c r="AZ106" s="12"/>
      <c r="BA106" s="12"/>
      <c r="BB106" s="12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5" t="s">
        <v>542</v>
      </c>
      <c r="B107" s="9"/>
      <c r="C107" s="8"/>
      <c r="D107" s="9"/>
      <c r="E107" s="25" t="s">
        <v>27</v>
      </c>
      <c r="F107" s="9"/>
      <c r="G107" s="25">
        <v>1.0</v>
      </c>
      <c r="H107" s="9"/>
      <c r="I107" s="25">
        <v>7.0</v>
      </c>
      <c r="J107" s="25" t="s">
        <v>250</v>
      </c>
      <c r="K107" s="25" t="s">
        <v>251</v>
      </c>
      <c r="L107" s="25" t="s">
        <v>252</v>
      </c>
      <c r="M107" s="9"/>
      <c r="N107" s="41">
        <v>12.04</v>
      </c>
      <c r="O107" s="106">
        <v>1101.0</v>
      </c>
      <c r="P107" s="9"/>
      <c r="Q107" s="25" t="s">
        <v>543</v>
      </c>
      <c r="R107" s="25">
        <v>3.0</v>
      </c>
      <c r="S107" s="106" t="s">
        <v>544</v>
      </c>
      <c r="T107" s="9"/>
      <c r="U107" s="25">
        <v>4.0</v>
      </c>
      <c r="V107" s="9"/>
      <c r="W107" s="14">
        <f>X107+AF107+AG107+AO107</f>
        <v>17269.52839</v>
      </c>
      <c r="X107" s="16">
        <f>average(1200,750,1500,500,299,700,600,600,1200,750)</f>
        <v>809.9</v>
      </c>
      <c r="Y107" s="107" t="s">
        <v>160</v>
      </c>
      <c r="Z107" s="107">
        <v>299.0</v>
      </c>
      <c r="AA107" s="107">
        <v>1500.0</v>
      </c>
      <c r="AB107" s="108">
        <f t="shared" ref="AB107:AB110" si="73">average(AC107,AD107)</f>
        <v>5.75</v>
      </c>
      <c r="AC107" s="107">
        <v>4.0</v>
      </c>
      <c r="AD107" s="107">
        <v>7.5</v>
      </c>
      <c r="AE107" s="19">
        <f>IFERROR(__xludf.DUMMYFUNCTION("AB107*GoogleFinance(""CURRENCY:GBPUSD"")"),7.16332125)</f>
        <v>7.16332125</v>
      </c>
      <c r="AF107" s="16">
        <f>AE107*52.1775*N107</f>
        <v>4500.120902</v>
      </c>
      <c r="AG107" s="16">
        <f>AH107*N107</f>
        <v>11759.50749</v>
      </c>
      <c r="AH107" s="16">
        <f>IFERROR(__xludf.DUMMYFUNCTION("AI107*GoogleFinance(""CURRENCY:GBPUSD"")"),976.70328)</f>
        <v>976.70328</v>
      </c>
      <c r="AI107" s="108">
        <f t="shared" si="5"/>
        <v>784</v>
      </c>
      <c r="AJ107" s="107">
        <v>121.0</v>
      </c>
      <c r="AK107" s="107">
        <v>126.0</v>
      </c>
      <c r="AL107" s="107">
        <v>244.0</v>
      </c>
      <c r="AM107" s="107">
        <v>177.0</v>
      </c>
      <c r="AN107" s="107">
        <v>116.0</v>
      </c>
      <c r="AO107" s="107">
        <v>200.0</v>
      </c>
      <c r="AP107" s="9"/>
      <c r="AQ107" s="13" t="s">
        <v>147</v>
      </c>
      <c r="AR107" s="13" t="s">
        <v>165</v>
      </c>
      <c r="AS107" s="9"/>
      <c r="AT107" s="25" t="s">
        <v>148</v>
      </c>
      <c r="AU107" s="14">
        <f t="shared" si="72"/>
        <v>30.61748498</v>
      </c>
      <c r="AV107" s="112">
        <f>average(55,80)</f>
        <v>67.5</v>
      </c>
      <c r="AW107" s="14">
        <f t="shared" si="65"/>
        <v>58.42</v>
      </c>
      <c r="AX107" s="112">
        <f>average(21.5,24.5)</f>
        <v>23</v>
      </c>
      <c r="AY107" s="9"/>
      <c r="AZ107" s="12"/>
      <c r="BA107" s="12"/>
      <c r="BB107" s="12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5" t="s">
        <v>660</v>
      </c>
      <c r="B108" s="9"/>
      <c r="C108" s="8"/>
      <c r="D108" s="9"/>
      <c r="E108" s="25" t="s">
        <v>23</v>
      </c>
      <c r="F108" s="9"/>
      <c r="G108" s="25">
        <v>135.0</v>
      </c>
      <c r="H108" s="9"/>
      <c r="I108" s="25">
        <v>62.0</v>
      </c>
      <c r="J108" s="25" t="s">
        <v>400</v>
      </c>
      <c r="K108" s="25" t="s">
        <v>401</v>
      </c>
      <c r="L108" s="25" t="s">
        <v>402</v>
      </c>
      <c r="M108" s="9"/>
      <c r="N108" s="137" t="s">
        <v>150</v>
      </c>
      <c r="O108" s="106" t="s">
        <v>182</v>
      </c>
      <c r="P108" s="9"/>
      <c r="Q108" s="25" t="s">
        <v>145</v>
      </c>
      <c r="R108" s="25">
        <v>0.0</v>
      </c>
      <c r="S108" s="106" t="s">
        <v>145</v>
      </c>
      <c r="T108" s="9"/>
      <c r="U108" s="25">
        <v>4.0</v>
      </c>
      <c r="V108" s="9"/>
      <c r="W108" s="115" t="s">
        <v>150</v>
      </c>
      <c r="X108" s="16">
        <f>average(1000,1400,1200,1600,1200,1000,750,1000,1200,575)</f>
        <v>1092.5</v>
      </c>
      <c r="Y108" s="107" t="s">
        <v>160</v>
      </c>
      <c r="Z108" s="107">
        <v>575.0</v>
      </c>
      <c r="AA108" s="107">
        <v>1600.0</v>
      </c>
      <c r="AB108" s="108">
        <f t="shared" si="73"/>
        <v>5.75</v>
      </c>
      <c r="AC108" s="107">
        <v>4.0</v>
      </c>
      <c r="AD108" s="107">
        <v>7.5</v>
      </c>
      <c r="AE108" s="19">
        <f>IFERROR(__xludf.DUMMYFUNCTION("AB108*GoogleFinance(""CURRENCY:GBPUSD"")"),7.16332125)</f>
        <v>7.16332125</v>
      </c>
      <c r="AF108" s="115" t="s">
        <v>150</v>
      </c>
      <c r="AG108" s="115" t="s">
        <v>150</v>
      </c>
      <c r="AH108" s="16">
        <f>IFERROR(__xludf.DUMMYFUNCTION("AI108*GoogleFinance(""CURRENCY:GBPUSD"")"),976.70328)</f>
        <v>976.70328</v>
      </c>
      <c r="AI108" s="108">
        <f t="shared" si="5"/>
        <v>784</v>
      </c>
      <c r="AJ108" s="107">
        <v>121.0</v>
      </c>
      <c r="AK108" s="107">
        <v>126.0</v>
      </c>
      <c r="AL108" s="107">
        <v>244.0</v>
      </c>
      <c r="AM108" s="107">
        <v>177.0</v>
      </c>
      <c r="AN108" s="107">
        <v>116.0</v>
      </c>
      <c r="AO108" s="107">
        <v>200.0</v>
      </c>
      <c r="AP108" s="9"/>
      <c r="AQ108" s="25" t="s">
        <v>147</v>
      </c>
      <c r="AR108" s="25" t="s">
        <v>165</v>
      </c>
      <c r="AS108" s="9"/>
      <c r="AT108" s="25" t="s">
        <v>149</v>
      </c>
      <c r="AU108" s="14">
        <f t="shared" si="72"/>
        <v>7.71107029</v>
      </c>
      <c r="AV108" s="106">
        <v>17.0</v>
      </c>
      <c r="AW108" s="14">
        <f t="shared" si="65"/>
        <v>36.83</v>
      </c>
      <c r="AX108" s="106">
        <v>14.5</v>
      </c>
      <c r="AY108" s="9"/>
      <c r="AZ108" s="12"/>
      <c r="BA108" s="12"/>
      <c r="BB108" s="12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5" t="s">
        <v>661</v>
      </c>
      <c r="B109" s="9"/>
      <c r="C109" s="8"/>
      <c r="D109" s="9"/>
      <c r="E109" s="25" t="s">
        <v>38</v>
      </c>
      <c r="F109" s="9"/>
      <c r="G109" s="25">
        <v>103.0</v>
      </c>
      <c r="H109" s="9"/>
      <c r="I109" s="106" t="s">
        <v>150</v>
      </c>
      <c r="J109" s="106" t="s">
        <v>150</v>
      </c>
      <c r="K109" s="106" t="s">
        <v>150</v>
      </c>
      <c r="L109" s="106" t="s">
        <v>150</v>
      </c>
      <c r="M109" s="9"/>
      <c r="N109" s="41">
        <v>6.98</v>
      </c>
      <c r="O109" s="106">
        <v>125.0</v>
      </c>
      <c r="P109" s="134"/>
      <c r="Q109" s="106" t="s">
        <v>150</v>
      </c>
      <c r="R109" s="106" t="s">
        <v>150</v>
      </c>
      <c r="S109" s="106" t="s">
        <v>150</v>
      </c>
      <c r="T109" s="9"/>
      <c r="U109" s="25">
        <v>3.0</v>
      </c>
      <c r="V109" s="9"/>
      <c r="W109" s="14">
        <f t="shared" ref="W109:W110" si="74">X109+AF109+AG109+AO109</f>
        <v>12467.41466</v>
      </c>
      <c r="X109" s="16">
        <f>average(1800,700,1800,1800,1300)</f>
        <v>1480</v>
      </c>
      <c r="Y109" s="107" t="s">
        <v>160</v>
      </c>
      <c r="Z109" s="107">
        <v>700.0</v>
      </c>
      <c r="AA109" s="107">
        <v>1800.0</v>
      </c>
      <c r="AB109" s="108">
        <f t="shared" si="73"/>
        <v>8.75</v>
      </c>
      <c r="AC109" s="107">
        <v>7.5</v>
      </c>
      <c r="AD109" s="107">
        <v>10.0</v>
      </c>
      <c r="AE109" s="19">
        <f>IFERROR(__xludf.DUMMYFUNCTION("AB109*GoogleFinance(""CURRENCY:GBPUSD"")"),10.90070625)</f>
        <v>10.90070625</v>
      </c>
      <c r="AF109" s="16">
        <f t="shared" ref="AF109:AF110" si="75">AE109*52.1775*N109</f>
        <v>3970.025771</v>
      </c>
      <c r="AG109" s="16">
        <f t="shared" ref="AG109:AG115" si="76">AH109*N109</f>
        <v>6817.388894</v>
      </c>
      <c r="AH109" s="16">
        <f>IFERROR(__xludf.DUMMYFUNCTION("AI109*GoogleFinance(""CURRENCY:GBPUSD"")"),976.70328)</f>
        <v>976.70328</v>
      </c>
      <c r="AI109" s="108">
        <f t="shared" si="5"/>
        <v>784</v>
      </c>
      <c r="AJ109" s="107">
        <v>121.0</v>
      </c>
      <c r="AK109" s="107">
        <v>126.0</v>
      </c>
      <c r="AL109" s="107">
        <v>244.0</v>
      </c>
      <c r="AM109" s="107">
        <v>177.0</v>
      </c>
      <c r="AN109" s="107">
        <v>116.0</v>
      </c>
      <c r="AO109" s="107">
        <v>200.0</v>
      </c>
      <c r="AP109" s="9"/>
      <c r="AQ109" s="25" t="s">
        <v>147</v>
      </c>
      <c r="AR109" s="25" t="s">
        <v>165</v>
      </c>
      <c r="AS109" s="9"/>
      <c r="AT109" s="25" t="s">
        <v>166</v>
      </c>
      <c r="AU109" s="106" t="s">
        <v>150</v>
      </c>
      <c r="AV109" s="106" t="s">
        <v>150</v>
      </c>
      <c r="AW109" s="14">
        <f t="shared" si="65"/>
        <v>72.39</v>
      </c>
      <c r="AX109" s="112">
        <f>average(25.5,31.5)</f>
        <v>28.5</v>
      </c>
      <c r="AY109" s="9"/>
      <c r="AZ109" s="106" t="s">
        <v>663</v>
      </c>
      <c r="BA109" s="12"/>
      <c r="BB109" s="12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5" t="s">
        <v>46</v>
      </c>
      <c r="B110" s="9"/>
      <c r="C110" s="8"/>
      <c r="D110" s="9"/>
      <c r="E110" s="25" t="s">
        <v>34</v>
      </c>
      <c r="F110" s="9"/>
      <c r="G110" s="25">
        <v>62.0</v>
      </c>
      <c r="H110" s="9"/>
      <c r="I110" s="25">
        <v>68.0</v>
      </c>
      <c r="J110" s="25" t="s">
        <v>400</v>
      </c>
      <c r="K110" s="25" t="s">
        <v>401</v>
      </c>
      <c r="L110" s="25" t="s">
        <v>402</v>
      </c>
      <c r="M110" s="9"/>
      <c r="N110" s="41">
        <v>13.92</v>
      </c>
      <c r="O110" s="106">
        <v>91.0</v>
      </c>
      <c r="P110" s="9"/>
      <c r="Q110" s="116" t="s">
        <v>403</v>
      </c>
      <c r="R110" s="25">
        <v>1.0</v>
      </c>
      <c r="S110" s="106" t="s">
        <v>404</v>
      </c>
      <c r="T110" s="9"/>
      <c r="U110" s="25">
        <v>6.0</v>
      </c>
      <c r="V110" s="9"/>
      <c r="W110" s="14">
        <f t="shared" si="74"/>
        <v>17765.04711</v>
      </c>
      <c r="X110" s="16">
        <f>average(475,400,250,475,175,300,175,400,550,300)</f>
        <v>350</v>
      </c>
      <c r="Y110" s="107" t="s">
        <v>146</v>
      </c>
      <c r="Z110" s="107">
        <v>175.0</v>
      </c>
      <c r="AA110" s="107">
        <v>550.0</v>
      </c>
      <c r="AB110" s="108">
        <f t="shared" si="73"/>
        <v>4</v>
      </c>
      <c r="AC110" s="107">
        <v>4.0</v>
      </c>
      <c r="AD110" s="107">
        <v>4.0</v>
      </c>
      <c r="AE110" s="19">
        <f>IFERROR(__xludf.DUMMYFUNCTION("AB110*GoogleFinance(""CURRENCY:GBPUSD"")"),4.98318)</f>
        <v>4.98318</v>
      </c>
      <c r="AF110" s="16">
        <f t="shared" si="75"/>
        <v>3619.337452</v>
      </c>
      <c r="AG110" s="16">
        <f t="shared" si="76"/>
        <v>13595.70966</v>
      </c>
      <c r="AH110" s="16">
        <f>IFERROR(__xludf.DUMMYFUNCTION("AI110*GoogleFinance(""CURRENCY:GBPUSD"")"),976.70328)</f>
        <v>976.70328</v>
      </c>
      <c r="AI110" s="108">
        <f t="shared" si="5"/>
        <v>784</v>
      </c>
      <c r="AJ110" s="107">
        <v>121.0</v>
      </c>
      <c r="AK110" s="107">
        <v>126.0</v>
      </c>
      <c r="AL110" s="107">
        <v>244.0</v>
      </c>
      <c r="AM110" s="107">
        <v>177.0</v>
      </c>
      <c r="AN110" s="107">
        <v>116.0</v>
      </c>
      <c r="AO110" s="107">
        <v>200.0</v>
      </c>
      <c r="AP110" s="9"/>
      <c r="AQ110" s="25" t="s">
        <v>147</v>
      </c>
      <c r="AR110" s="25" t="s">
        <v>165</v>
      </c>
      <c r="AS110" s="9"/>
      <c r="AT110" s="25" t="s">
        <v>149</v>
      </c>
      <c r="AU110" s="14">
        <f>AV110*0.45359237</f>
        <v>6.80388555</v>
      </c>
      <c r="AV110" s="112">
        <f>average(12,18)</f>
        <v>15</v>
      </c>
      <c r="AW110" s="14">
        <f t="shared" si="65"/>
        <v>26.67</v>
      </c>
      <c r="AX110" s="112">
        <f>average(10,11)</f>
        <v>10.5</v>
      </c>
      <c r="AY110" s="9"/>
      <c r="AZ110" s="12"/>
      <c r="BA110" s="12"/>
      <c r="BB110" s="12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5" t="s">
        <v>665</v>
      </c>
      <c r="B111" s="9"/>
      <c r="C111" s="8"/>
      <c r="D111" s="9"/>
      <c r="E111" s="25" t="s">
        <v>34</v>
      </c>
      <c r="F111" s="9"/>
      <c r="G111" s="25">
        <v>152.0</v>
      </c>
      <c r="H111" s="9"/>
      <c r="I111" s="106" t="s">
        <v>150</v>
      </c>
      <c r="J111" s="106" t="s">
        <v>150</v>
      </c>
      <c r="K111" s="106" t="s">
        <v>150</v>
      </c>
      <c r="L111" s="106" t="s">
        <v>150</v>
      </c>
      <c r="M111" s="9"/>
      <c r="N111" s="41">
        <v>10.0</v>
      </c>
      <c r="O111" s="106">
        <v>9.0</v>
      </c>
      <c r="P111" s="9"/>
      <c r="Q111" s="25" t="s">
        <v>145</v>
      </c>
      <c r="R111" s="25">
        <v>0.0</v>
      </c>
      <c r="S111" s="106" t="s">
        <v>145</v>
      </c>
      <c r="T111" s="9"/>
      <c r="U111" s="25">
        <v>5.0</v>
      </c>
      <c r="V111" s="9"/>
      <c r="W111" s="115" t="s">
        <v>150</v>
      </c>
      <c r="X111" s="115" t="s">
        <v>150</v>
      </c>
      <c r="Y111" s="115" t="s">
        <v>150</v>
      </c>
      <c r="Z111" s="107" t="s">
        <v>150</v>
      </c>
      <c r="AA111" s="107" t="s">
        <v>150</v>
      </c>
      <c r="AB111" s="115" t="s">
        <v>150</v>
      </c>
      <c r="AC111" s="115" t="s">
        <v>150</v>
      </c>
      <c r="AD111" s="115" t="s">
        <v>150</v>
      </c>
      <c r="AE111" s="115" t="s">
        <v>150</v>
      </c>
      <c r="AF111" s="115" t="s">
        <v>150</v>
      </c>
      <c r="AG111" s="16">
        <f t="shared" si="76"/>
        <v>9767.0328</v>
      </c>
      <c r="AH111" s="16">
        <f>IFERROR(__xludf.DUMMYFUNCTION("AI111*GoogleFinance(""CURRENCY:GBPUSD"")"),976.70328)</f>
        <v>976.70328</v>
      </c>
      <c r="AI111" s="108">
        <f t="shared" si="5"/>
        <v>784</v>
      </c>
      <c r="AJ111" s="107">
        <v>121.0</v>
      </c>
      <c r="AK111" s="107">
        <v>126.0</v>
      </c>
      <c r="AL111" s="107">
        <v>244.0</v>
      </c>
      <c r="AM111" s="107">
        <v>177.0</v>
      </c>
      <c r="AN111" s="107">
        <v>116.0</v>
      </c>
      <c r="AO111" s="107">
        <v>200.0</v>
      </c>
      <c r="AP111" s="9"/>
      <c r="AQ111" s="107" t="s">
        <v>182</v>
      </c>
      <c r="AR111" s="107" t="s">
        <v>182</v>
      </c>
      <c r="AS111" s="9"/>
      <c r="AT111" s="25" t="s">
        <v>149</v>
      </c>
      <c r="AU111" s="109" t="s">
        <v>150</v>
      </c>
      <c r="AV111" s="106" t="s">
        <v>150</v>
      </c>
      <c r="AW111" s="14">
        <f t="shared" si="65"/>
        <v>33.02</v>
      </c>
      <c r="AX111" s="112">
        <f>average(12,14)</f>
        <v>13</v>
      </c>
      <c r="AY111" s="9"/>
      <c r="AZ111" s="12"/>
      <c r="BA111" s="12"/>
      <c r="BB111" s="12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5" t="s">
        <v>548</v>
      </c>
      <c r="B112" s="9"/>
      <c r="C112" s="8"/>
      <c r="D112" s="9"/>
      <c r="E112" s="25" t="s">
        <v>43</v>
      </c>
      <c r="F112" s="9"/>
      <c r="G112" s="25">
        <v>23.0</v>
      </c>
      <c r="H112" s="9"/>
      <c r="I112" s="25">
        <v>59.0</v>
      </c>
      <c r="J112" s="25" t="s">
        <v>400</v>
      </c>
      <c r="K112" s="25" t="s">
        <v>401</v>
      </c>
      <c r="L112" s="25" t="s">
        <v>402</v>
      </c>
      <c r="M112" s="9"/>
      <c r="N112" s="41">
        <v>12.25</v>
      </c>
      <c r="O112" s="106">
        <v>42.0</v>
      </c>
      <c r="P112" s="9"/>
      <c r="Q112" s="25" t="s">
        <v>271</v>
      </c>
      <c r="R112" s="25">
        <v>1.0</v>
      </c>
      <c r="S112" s="106" t="s">
        <v>549</v>
      </c>
      <c r="T112" s="9"/>
      <c r="U112" s="25">
        <v>6.0</v>
      </c>
      <c r="V112" s="9"/>
      <c r="W112" s="115" t="s">
        <v>150</v>
      </c>
      <c r="X112" s="16">
        <f>average(495,800,300,600,700,550,1000,550,500,1000)</f>
        <v>649.5</v>
      </c>
      <c r="Y112" s="107" t="s">
        <v>146</v>
      </c>
      <c r="Z112" s="107">
        <v>300.0</v>
      </c>
      <c r="AA112" s="107">
        <v>1000.0</v>
      </c>
      <c r="AB112" s="115" t="s">
        <v>150</v>
      </c>
      <c r="AC112" s="115" t="s">
        <v>150</v>
      </c>
      <c r="AD112" s="115" t="s">
        <v>150</v>
      </c>
      <c r="AE112" s="115" t="s">
        <v>150</v>
      </c>
      <c r="AF112" s="115" t="s">
        <v>150</v>
      </c>
      <c r="AG112" s="16">
        <f t="shared" si="76"/>
        <v>11964.61518</v>
      </c>
      <c r="AH112" s="16">
        <f>IFERROR(__xludf.DUMMYFUNCTION("AI112*GoogleFinance(""CURRENCY:GBPUSD"")"),976.70328)</f>
        <v>976.70328</v>
      </c>
      <c r="AI112" s="108">
        <f t="shared" si="5"/>
        <v>784</v>
      </c>
      <c r="AJ112" s="107">
        <v>121.0</v>
      </c>
      <c r="AK112" s="107">
        <v>126.0</v>
      </c>
      <c r="AL112" s="107">
        <v>244.0</v>
      </c>
      <c r="AM112" s="107">
        <v>177.0</v>
      </c>
      <c r="AN112" s="107">
        <v>116.0</v>
      </c>
      <c r="AO112" s="107">
        <v>200.0</v>
      </c>
      <c r="AP112" s="9"/>
      <c r="AQ112" s="107" t="s">
        <v>182</v>
      </c>
      <c r="AR112" s="107" t="s">
        <v>182</v>
      </c>
      <c r="AS112" s="9"/>
      <c r="AT112" s="25" t="s">
        <v>149</v>
      </c>
      <c r="AU112" s="14">
        <f t="shared" ref="AU112:AU113" si="77">AV112*0.45359237</f>
        <v>2.26796185</v>
      </c>
      <c r="AV112" s="112">
        <f>average(4,6)</f>
        <v>5</v>
      </c>
      <c r="AW112" s="106" t="s">
        <v>150</v>
      </c>
      <c r="AX112" s="106" t="s">
        <v>150</v>
      </c>
      <c r="AY112" s="9"/>
      <c r="AZ112" s="12"/>
      <c r="BA112" s="12"/>
      <c r="BB112" s="12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5" t="s">
        <v>667</v>
      </c>
      <c r="B113" s="9"/>
      <c r="C113" s="8"/>
      <c r="D113" s="9"/>
      <c r="E113" s="25" t="s">
        <v>23</v>
      </c>
      <c r="F113" s="9"/>
      <c r="G113" s="25">
        <v>119.0</v>
      </c>
      <c r="H113" s="9"/>
      <c r="I113" s="25">
        <v>32.0</v>
      </c>
      <c r="J113" s="25" t="s">
        <v>142</v>
      </c>
      <c r="K113" s="25" t="s">
        <v>143</v>
      </c>
      <c r="L113" s="25" t="s">
        <v>144</v>
      </c>
      <c r="M113" s="9"/>
      <c r="N113" s="41">
        <v>9.32</v>
      </c>
      <c r="O113" s="106">
        <v>142.0</v>
      </c>
      <c r="P113" s="9"/>
      <c r="Q113" s="25" t="s">
        <v>145</v>
      </c>
      <c r="R113" s="25">
        <v>0.0</v>
      </c>
      <c r="S113" s="106" t="s">
        <v>145</v>
      </c>
      <c r="T113" s="9"/>
      <c r="U113" s="25">
        <v>2.0</v>
      </c>
      <c r="V113" s="9"/>
      <c r="W113" s="115" t="s">
        <v>150</v>
      </c>
      <c r="X113" s="16">
        <f>average(1500,700,300,140,800,800,800)</f>
        <v>720</v>
      </c>
      <c r="Y113" s="107" t="s">
        <v>160</v>
      </c>
      <c r="Z113" s="107">
        <v>140.0</v>
      </c>
      <c r="AA113" s="107">
        <v>1500.0</v>
      </c>
      <c r="AB113" s="115" t="s">
        <v>150</v>
      </c>
      <c r="AC113" s="115" t="s">
        <v>150</v>
      </c>
      <c r="AD113" s="115" t="s">
        <v>150</v>
      </c>
      <c r="AE113" s="115" t="s">
        <v>150</v>
      </c>
      <c r="AF113" s="115" t="s">
        <v>150</v>
      </c>
      <c r="AG113" s="16">
        <f t="shared" si="76"/>
        <v>9102.87457</v>
      </c>
      <c r="AH113" s="16">
        <f>IFERROR(__xludf.DUMMYFUNCTION("AI113*GoogleFinance(""CURRENCY:GBPUSD"")"),976.70328)</f>
        <v>976.70328</v>
      </c>
      <c r="AI113" s="108">
        <f t="shared" si="5"/>
        <v>784</v>
      </c>
      <c r="AJ113" s="107">
        <v>121.0</v>
      </c>
      <c r="AK113" s="107">
        <v>126.0</v>
      </c>
      <c r="AL113" s="107">
        <v>244.0</v>
      </c>
      <c r="AM113" s="107">
        <v>177.0</v>
      </c>
      <c r="AN113" s="107">
        <v>116.0</v>
      </c>
      <c r="AO113" s="107">
        <v>200.0</v>
      </c>
      <c r="AP113" s="9"/>
      <c r="AQ113" s="107" t="s">
        <v>182</v>
      </c>
      <c r="AR113" s="107" t="s">
        <v>182</v>
      </c>
      <c r="AS113" s="9"/>
      <c r="AT113" s="25" t="s">
        <v>149</v>
      </c>
      <c r="AU113" s="14">
        <f t="shared" si="77"/>
        <v>7.71107029</v>
      </c>
      <c r="AV113" s="112">
        <f>average(12,22)</f>
        <v>17</v>
      </c>
      <c r="AW113" s="109" t="s">
        <v>150</v>
      </c>
      <c r="AX113" s="106" t="s">
        <v>150</v>
      </c>
      <c r="AY113" s="9"/>
      <c r="AZ113" s="106" t="s">
        <v>668</v>
      </c>
      <c r="BA113" s="12"/>
      <c r="BB113" s="12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5" t="s">
        <v>51</v>
      </c>
      <c r="B114" s="61"/>
      <c r="D114" s="61"/>
      <c r="E114" s="25" t="s">
        <v>38</v>
      </c>
      <c r="F114" s="9"/>
      <c r="G114" s="25">
        <v>28.0</v>
      </c>
      <c r="H114" s="9"/>
      <c r="I114" s="25">
        <v>72.0</v>
      </c>
      <c r="J114" s="25" t="s">
        <v>157</v>
      </c>
      <c r="K114" s="25" t="s">
        <v>158</v>
      </c>
      <c r="L114" s="25" t="s">
        <v>159</v>
      </c>
      <c r="M114" s="9"/>
      <c r="N114" s="41">
        <v>6.5</v>
      </c>
      <c r="O114" s="106">
        <v>94.0</v>
      </c>
      <c r="P114" s="9"/>
      <c r="Q114" s="25" t="s">
        <v>669</v>
      </c>
      <c r="R114" s="25">
        <v>2.0</v>
      </c>
      <c r="S114" s="106" t="s">
        <v>670</v>
      </c>
      <c r="T114" s="9"/>
      <c r="U114" s="25">
        <v>3.0</v>
      </c>
      <c r="V114" s="9"/>
      <c r="W114" s="115" t="s">
        <v>150</v>
      </c>
      <c r="X114" s="16">
        <f>average(1000,1000,1000,1000,1200,500,1200,850,1100,150)</f>
        <v>900</v>
      </c>
      <c r="Y114" s="107" t="s">
        <v>160</v>
      </c>
      <c r="Z114" s="107">
        <v>150.0</v>
      </c>
      <c r="AA114" s="107">
        <v>1200.0</v>
      </c>
      <c r="AB114" s="115" t="s">
        <v>150</v>
      </c>
      <c r="AC114" s="115" t="s">
        <v>150</v>
      </c>
      <c r="AD114" s="115" t="s">
        <v>150</v>
      </c>
      <c r="AE114" s="115" t="s">
        <v>150</v>
      </c>
      <c r="AF114" s="115" t="s">
        <v>150</v>
      </c>
      <c r="AG114" s="16">
        <f t="shared" si="76"/>
        <v>6348.57132</v>
      </c>
      <c r="AH114" s="16">
        <f>IFERROR(__xludf.DUMMYFUNCTION("AI114*GoogleFinance(""CURRENCY:GBPUSD"")"),976.70328)</f>
        <v>976.70328</v>
      </c>
      <c r="AI114" s="108">
        <f t="shared" si="5"/>
        <v>784</v>
      </c>
      <c r="AJ114" s="107">
        <v>121.0</v>
      </c>
      <c r="AK114" s="107">
        <v>126.0</v>
      </c>
      <c r="AL114" s="107">
        <v>244.0</v>
      </c>
      <c r="AM114" s="107">
        <v>177.0</v>
      </c>
      <c r="AN114" s="107">
        <v>116.0</v>
      </c>
      <c r="AO114" s="107">
        <v>200.0</v>
      </c>
      <c r="AP114" s="9"/>
      <c r="AQ114" s="107" t="s">
        <v>182</v>
      </c>
      <c r="AR114" s="107" t="s">
        <v>182</v>
      </c>
      <c r="AS114" s="9"/>
      <c r="AT114" s="25" t="s">
        <v>166</v>
      </c>
      <c r="AU114" s="106" t="s">
        <v>150</v>
      </c>
      <c r="AV114" s="106" t="s">
        <v>150</v>
      </c>
      <c r="AW114" s="14">
        <f t="shared" ref="AW114:AW129" si="78">AX114*2.54</f>
        <v>76.2</v>
      </c>
      <c r="AX114" s="106">
        <v>30.0</v>
      </c>
      <c r="AY114" s="9"/>
      <c r="AZ114" s="106" t="s">
        <v>672</v>
      </c>
      <c r="BA114" s="12"/>
      <c r="BB114" s="12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5" t="s">
        <v>674</v>
      </c>
      <c r="B115" s="9"/>
      <c r="C115" s="8"/>
      <c r="D115" s="9"/>
      <c r="E115" s="25" t="s">
        <v>23</v>
      </c>
      <c r="F115" s="9"/>
      <c r="G115" s="25">
        <v>127.0</v>
      </c>
      <c r="H115" s="9"/>
      <c r="I115" s="106" t="s">
        <v>150</v>
      </c>
      <c r="J115" s="106" t="s">
        <v>150</v>
      </c>
      <c r="K115" s="106" t="s">
        <v>150</v>
      </c>
      <c r="L115" s="106" t="s">
        <v>150</v>
      </c>
      <c r="M115" s="9"/>
      <c r="N115" s="41">
        <v>6.6</v>
      </c>
      <c r="O115" s="106">
        <v>73.0</v>
      </c>
      <c r="P115" s="9"/>
      <c r="Q115" s="25" t="s">
        <v>145</v>
      </c>
      <c r="R115" s="25">
        <v>0.0</v>
      </c>
      <c r="S115" s="106" t="s">
        <v>145</v>
      </c>
      <c r="T115" s="9"/>
      <c r="U115" s="25">
        <v>1.0</v>
      </c>
      <c r="V115" s="9"/>
      <c r="W115" s="115" t="s">
        <v>150</v>
      </c>
      <c r="X115" s="16">
        <f>average(2500,2000,999,999,2000,999,1199,1900,2000,2800)</f>
        <v>1739.6</v>
      </c>
      <c r="Y115" s="107" t="s">
        <v>372</v>
      </c>
      <c r="Z115" s="107">
        <v>999.0</v>
      </c>
      <c r="AA115" s="107">
        <v>2800.0</v>
      </c>
      <c r="AB115" s="115" t="s">
        <v>150</v>
      </c>
      <c r="AC115" s="115" t="s">
        <v>150</v>
      </c>
      <c r="AD115" s="115" t="s">
        <v>150</v>
      </c>
      <c r="AE115" s="115" t="s">
        <v>150</v>
      </c>
      <c r="AF115" s="115" t="s">
        <v>150</v>
      </c>
      <c r="AG115" s="16">
        <f t="shared" si="76"/>
        <v>6446.241648</v>
      </c>
      <c r="AH115" s="16">
        <f>IFERROR(__xludf.DUMMYFUNCTION("AI115*GoogleFinance(""CURRENCY:GBPUSD"")"),976.70328)</f>
        <v>976.70328</v>
      </c>
      <c r="AI115" s="108">
        <f t="shared" si="5"/>
        <v>784</v>
      </c>
      <c r="AJ115" s="107">
        <v>121.0</v>
      </c>
      <c r="AK115" s="107">
        <v>126.0</v>
      </c>
      <c r="AL115" s="107">
        <v>244.0</v>
      </c>
      <c r="AM115" s="107">
        <v>177.0</v>
      </c>
      <c r="AN115" s="107">
        <v>116.0</v>
      </c>
      <c r="AO115" s="107">
        <v>200.0</v>
      </c>
      <c r="AP115" s="9"/>
      <c r="AQ115" s="107" t="s">
        <v>182</v>
      </c>
      <c r="AR115" s="107" t="s">
        <v>182</v>
      </c>
      <c r="AS115" s="9"/>
      <c r="AT115" s="25" t="s">
        <v>149</v>
      </c>
      <c r="AU115" s="106" t="s">
        <v>150</v>
      </c>
      <c r="AV115" s="106" t="s">
        <v>150</v>
      </c>
      <c r="AW115" s="14">
        <f t="shared" si="78"/>
        <v>30.48</v>
      </c>
      <c r="AX115" s="112">
        <f>average(10,14)</f>
        <v>12</v>
      </c>
      <c r="AY115" s="9"/>
      <c r="AZ115" s="12"/>
      <c r="BA115" s="12"/>
      <c r="BB115" s="12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5" t="s">
        <v>675</v>
      </c>
      <c r="B116" s="9"/>
      <c r="C116" s="8"/>
      <c r="D116" s="9"/>
      <c r="E116" s="25" t="s">
        <v>43</v>
      </c>
      <c r="F116" s="9"/>
      <c r="G116" s="25">
        <v>42.0</v>
      </c>
      <c r="H116" s="9"/>
      <c r="I116" s="25">
        <v>37.0</v>
      </c>
      <c r="J116" s="25" t="s">
        <v>142</v>
      </c>
      <c r="K116" s="25" t="s">
        <v>143</v>
      </c>
      <c r="L116" s="25" t="s">
        <v>144</v>
      </c>
      <c r="M116" s="9"/>
      <c r="N116" s="226" t="s">
        <v>150</v>
      </c>
      <c r="O116" s="106" t="s">
        <v>182</v>
      </c>
      <c r="P116" s="9"/>
      <c r="Q116" s="25" t="s">
        <v>145</v>
      </c>
      <c r="R116" s="25">
        <v>0.0</v>
      </c>
      <c r="S116" s="106" t="s">
        <v>145</v>
      </c>
      <c r="T116" s="9"/>
      <c r="U116" s="25">
        <v>3.0</v>
      </c>
      <c r="V116" s="9"/>
      <c r="W116" s="115" t="s">
        <v>150</v>
      </c>
      <c r="X116" s="16">
        <f>average(300,450,450,400,600,900,500,400,450,895)</f>
        <v>534.5</v>
      </c>
      <c r="Y116" s="107" t="s">
        <v>146</v>
      </c>
      <c r="Z116" s="107">
        <v>300.0</v>
      </c>
      <c r="AA116" s="107">
        <v>900.0</v>
      </c>
      <c r="AB116" s="115" t="s">
        <v>150</v>
      </c>
      <c r="AC116" s="115" t="s">
        <v>150</v>
      </c>
      <c r="AD116" s="115" t="s">
        <v>150</v>
      </c>
      <c r="AE116" s="115" t="s">
        <v>150</v>
      </c>
      <c r="AF116" s="115" t="s">
        <v>150</v>
      </c>
      <c r="AG116" s="115" t="s">
        <v>150</v>
      </c>
      <c r="AH116" s="16">
        <f>IFERROR(__xludf.DUMMYFUNCTION("AI116*GoogleFinance(""CURRENCY:GBPUSD"")"),976.70328)</f>
        <v>976.70328</v>
      </c>
      <c r="AI116" s="108">
        <f t="shared" si="5"/>
        <v>784</v>
      </c>
      <c r="AJ116" s="107">
        <v>121.0</v>
      </c>
      <c r="AK116" s="107">
        <v>126.0</v>
      </c>
      <c r="AL116" s="107">
        <v>244.0</v>
      </c>
      <c r="AM116" s="107">
        <v>177.0</v>
      </c>
      <c r="AN116" s="107">
        <v>116.0</v>
      </c>
      <c r="AO116" s="107">
        <v>200.0</v>
      </c>
      <c r="AP116" s="9"/>
      <c r="AQ116" s="107" t="s">
        <v>182</v>
      </c>
      <c r="AR116" s="107" t="s">
        <v>182</v>
      </c>
      <c r="AS116" s="9"/>
      <c r="AT116" s="25" t="s">
        <v>149</v>
      </c>
      <c r="AU116" s="109" t="s">
        <v>150</v>
      </c>
      <c r="AV116" s="106" t="s">
        <v>150</v>
      </c>
      <c r="AW116" s="14">
        <f t="shared" si="78"/>
        <v>28.575</v>
      </c>
      <c r="AX116" s="112">
        <f>average(11,11.5)</f>
        <v>11.25</v>
      </c>
      <c r="AY116" s="9"/>
      <c r="AZ116" s="12"/>
      <c r="BA116" s="12"/>
      <c r="BB116" s="12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5" t="s">
        <v>435</v>
      </c>
      <c r="B117" s="9"/>
      <c r="C117" s="8"/>
      <c r="D117" s="9"/>
      <c r="E117" s="25" t="s">
        <v>23</v>
      </c>
      <c r="F117" s="9"/>
      <c r="G117" s="25">
        <v>12.0</v>
      </c>
      <c r="H117" s="9"/>
      <c r="I117" s="25">
        <v>12.0</v>
      </c>
      <c r="J117" s="25" t="s">
        <v>267</v>
      </c>
      <c r="K117" s="116" t="s">
        <v>268</v>
      </c>
      <c r="L117" s="25" t="s">
        <v>269</v>
      </c>
      <c r="M117" s="9"/>
      <c r="N117" s="41">
        <v>11.81</v>
      </c>
      <c r="O117" s="106">
        <v>232.0</v>
      </c>
      <c r="P117" s="9"/>
      <c r="Q117" s="25" t="s">
        <v>443</v>
      </c>
      <c r="R117" s="25">
        <v>2.0</v>
      </c>
      <c r="S117" s="106" t="s">
        <v>444</v>
      </c>
      <c r="T117" s="9"/>
      <c r="U117" s="25">
        <v>3.0</v>
      </c>
      <c r="V117" s="9"/>
      <c r="W117" s="115" t="s">
        <v>150</v>
      </c>
      <c r="X117" s="16">
        <f>average(550,595,200,1300,400,1600,350,450,1300,400)</f>
        <v>714.5</v>
      </c>
      <c r="Y117" s="107" t="s">
        <v>160</v>
      </c>
      <c r="Z117" s="107">
        <v>200.0</v>
      </c>
      <c r="AA117" s="107">
        <v>1600.0</v>
      </c>
      <c r="AB117" s="115" t="s">
        <v>150</v>
      </c>
      <c r="AC117" s="115" t="s">
        <v>150</v>
      </c>
      <c r="AD117" s="115" t="s">
        <v>150</v>
      </c>
      <c r="AE117" s="115" t="s">
        <v>150</v>
      </c>
      <c r="AF117" s="115" t="s">
        <v>150</v>
      </c>
      <c r="AG117" s="16">
        <f>AH117*N117</f>
        <v>11534.86574</v>
      </c>
      <c r="AH117" s="16">
        <f>IFERROR(__xludf.DUMMYFUNCTION("AI117*GoogleFinance(""CURRENCY:GBPUSD"")"),976.70328)</f>
        <v>976.70328</v>
      </c>
      <c r="AI117" s="108">
        <f t="shared" si="5"/>
        <v>784</v>
      </c>
      <c r="AJ117" s="107">
        <v>121.0</v>
      </c>
      <c r="AK117" s="107">
        <v>126.0</v>
      </c>
      <c r="AL117" s="107">
        <v>244.0</v>
      </c>
      <c r="AM117" s="107">
        <v>177.0</v>
      </c>
      <c r="AN117" s="107">
        <v>116.0</v>
      </c>
      <c r="AO117" s="107">
        <v>200.0</v>
      </c>
      <c r="AP117" s="9"/>
      <c r="AQ117" s="107" t="s">
        <v>182</v>
      </c>
      <c r="AR117" s="107" t="s">
        <v>182</v>
      </c>
      <c r="AS117" s="9"/>
      <c r="AT117" s="25" t="s">
        <v>149</v>
      </c>
      <c r="AU117" s="106" t="s">
        <v>150</v>
      </c>
      <c r="AV117" s="106" t="s">
        <v>150</v>
      </c>
      <c r="AW117" s="14">
        <f t="shared" si="78"/>
        <v>33.02</v>
      </c>
      <c r="AX117" s="112">
        <f>average(12,14)</f>
        <v>13</v>
      </c>
      <c r="AY117" s="9"/>
      <c r="AZ117" s="12"/>
      <c r="BA117" s="12"/>
      <c r="BB117" s="12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5" t="s">
        <v>680</v>
      </c>
      <c r="B118" s="9"/>
      <c r="C118" s="8"/>
      <c r="D118" s="9"/>
      <c r="E118" s="25" t="s">
        <v>38</v>
      </c>
      <c r="F118" s="9"/>
      <c r="G118" s="25">
        <v>110.0</v>
      </c>
      <c r="H118" s="9"/>
      <c r="I118" s="106" t="s">
        <v>150</v>
      </c>
      <c r="J118" s="106" t="s">
        <v>150</v>
      </c>
      <c r="K118" s="106" t="s">
        <v>150</v>
      </c>
      <c r="L118" s="106" t="s">
        <v>150</v>
      </c>
      <c r="M118" s="134"/>
      <c r="N118" s="137" t="s">
        <v>150</v>
      </c>
      <c r="O118" s="106" t="s">
        <v>182</v>
      </c>
      <c r="P118" s="9"/>
      <c r="Q118" s="25" t="s">
        <v>174</v>
      </c>
      <c r="R118" s="25">
        <v>1.0</v>
      </c>
      <c r="S118" s="106" t="s">
        <v>175</v>
      </c>
      <c r="T118" s="9"/>
      <c r="U118" s="25">
        <v>1.0</v>
      </c>
      <c r="V118" s="9"/>
      <c r="W118" s="115" t="s">
        <v>150</v>
      </c>
      <c r="X118" s="16">
        <f>average(1600,2000,2000,1500,1150,850,2000,1500,3500,1500)</f>
        <v>1760</v>
      </c>
      <c r="Y118" s="107" t="s">
        <v>372</v>
      </c>
      <c r="Z118" s="107">
        <v>850.0</v>
      </c>
      <c r="AA118" s="107">
        <v>3500.0</v>
      </c>
      <c r="AB118" s="108">
        <f t="shared" ref="AB118:AB120" si="79">average(AC118,AD118)</f>
        <v>15</v>
      </c>
      <c r="AC118" s="107">
        <v>15.0</v>
      </c>
      <c r="AD118" s="107">
        <v>15.0</v>
      </c>
      <c r="AE118" s="19">
        <f>IFERROR(__xludf.DUMMYFUNCTION("AB118*GoogleFinance(""CURRENCY:GBPUSD"")"),18.686925)</f>
        <v>18.686925</v>
      </c>
      <c r="AF118" s="115" t="s">
        <v>150</v>
      </c>
      <c r="AG118" s="115" t="s">
        <v>150</v>
      </c>
      <c r="AH118" s="16">
        <f>IFERROR(__xludf.DUMMYFUNCTION("AI118*GoogleFinance(""CURRENCY:GBPUSD"")"),976.70328)</f>
        <v>976.70328</v>
      </c>
      <c r="AI118" s="108">
        <f t="shared" si="5"/>
        <v>784</v>
      </c>
      <c r="AJ118" s="107">
        <v>121.0</v>
      </c>
      <c r="AK118" s="107">
        <v>126.0</v>
      </c>
      <c r="AL118" s="107">
        <v>244.0</v>
      </c>
      <c r="AM118" s="107">
        <v>177.0</v>
      </c>
      <c r="AN118" s="107">
        <v>116.0</v>
      </c>
      <c r="AO118" s="107">
        <v>200.0</v>
      </c>
      <c r="AP118" s="9"/>
      <c r="AQ118" s="25" t="s">
        <v>147</v>
      </c>
      <c r="AR118" s="25" t="s">
        <v>165</v>
      </c>
      <c r="AS118" s="9"/>
      <c r="AT118" s="25" t="s">
        <v>166</v>
      </c>
      <c r="AU118" s="14">
        <f t="shared" ref="AU118:AU122" si="80">AV118*0.45359237</f>
        <v>58.9670081</v>
      </c>
      <c r="AV118" s="112">
        <f>average(110,150)</f>
        <v>130</v>
      </c>
      <c r="AW118" s="14">
        <f t="shared" si="78"/>
        <v>69.85</v>
      </c>
      <c r="AX118" s="112">
        <f>average(24,31)</f>
        <v>27.5</v>
      </c>
      <c r="AY118" s="9"/>
      <c r="AZ118" s="12"/>
      <c r="BA118" s="12"/>
      <c r="BB118" s="12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5" t="s">
        <v>682</v>
      </c>
      <c r="B119" s="61"/>
      <c r="D119" s="61"/>
      <c r="E119" s="25" t="s">
        <v>38</v>
      </c>
      <c r="F119" s="9"/>
      <c r="G119" s="25">
        <v>43.0</v>
      </c>
      <c r="H119" s="9"/>
      <c r="I119" s="25">
        <v>34.0</v>
      </c>
      <c r="J119" s="25" t="s">
        <v>142</v>
      </c>
      <c r="K119" s="25" t="s">
        <v>143</v>
      </c>
      <c r="L119" s="25" t="s">
        <v>144</v>
      </c>
      <c r="M119" s="9"/>
      <c r="N119" s="41">
        <v>9.32</v>
      </c>
      <c r="O119" s="106">
        <v>340.0</v>
      </c>
      <c r="P119" s="9"/>
      <c r="Q119" s="25" t="s">
        <v>683</v>
      </c>
      <c r="R119" s="25">
        <v>2.0</v>
      </c>
      <c r="S119" s="106" t="s">
        <v>684</v>
      </c>
      <c r="T119" s="9"/>
      <c r="U119" s="25">
        <v>4.0</v>
      </c>
      <c r="V119" s="9"/>
      <c r="W119" s="14">
        <f t="shared" ref="W119:W120" si="81">X119+AF119+AG119+AO119</f>
        <v>15781.32588</v>
      </c>
      <c r="X119" s="16">
        <f>average(550,1200,2000,1300,950,800,2000,975,500,1500)</f>
        <v>1177.5</v>
      </c>
      <c r="Y119" s="107" t="s">
        <v>160</v>
      </c>
      <c r="Z119" s="107">
        <v>500.0</v>
      </c>
      <c r="AA119" s="107">
        <v>2000.0</v>
      </c>
      <c r="AB119" s="108">
        <f t="shared" si="79"/>
        <v>8.75</v>
      </c>
      <c r="AC119" s="107">
        <v>7.5</v>
      </c>
      <c r="AD119" s="107">
        <v>10.0</v>
      </c>
      <c r="AE119" s="19">
        <f>IFERROR(__xludf.DUMMYFUNCTION("AB119*GoogleFinance(""CURRENCY:GBPUSD"")"),10.90070625)</f>
        <v>10.90070625</v>
      </c>
      <c r="AF119" s="16">
        <f t="shared" ref="AF119:AF120" si="82">AE119*52.1775*N119</f>
        <v>5300.951315</v>
      </c>
      <c r="AG119" s="16">
        <f t="shared" ref="AG119:AG121" si="83">AH119*N119</f>
        <v>9102.87457</v>
      </c>
      <c r="AH119" s="16">
        <f>IFERROR(__xludf.DUMMYFUNCTION("AI119*GoogleFinance(""CURRENCY:GBPUSD"")"),976.70328)</f>
        <v>976.70328</v>
      </c>
      <c r="AI119" s="108">
        <f t="shared" si="5"/>
        <v>784</v>
      </c>
      <c r="AJ119" s="107">
        <v>121.0</v>
      </c>
      <c r="AK119" s="107">
        <v>126.0</v>
      </c>
      <c r="AL119" s="107">
        <v>244.0</v>
      </c>
      <c r="AM119" s="107">
        <v>177.0</v>
      </c>
      <c r="AN119" s="107">
        <v>116.0</v>
      </c>
      <c r="AO119" s="107">
        <v>200.0</v>
      </c>
      <c r="AP119" s="9"/>
      <c r="AQ119" s="25" t="s">
        <v>147</v>
      </c>
      <c r="AR119" s="25" t="s">
        <v>165</v>
      </c>
      <c r="AS119" s="9"/>
      <c r="AT119" s="25" t="s">
        <v>166</v>
      </c>
      <c r="AU119" s="14">
        <f t="shared" si="80"/>
        <v>56.69904625</v>
      </c>
      <c r="AV119" s="112">
        <f>average(100,150)</f>
        <v>125</v>
      </c>
      <c r="AW119" s="14">
        <f t="shared" si="78"/>
        <v>68.58</v>
      </c>
      <c r="AX119" s="112">
        <f>average(26,28)</f>
        <v>27</v>
      </c>
      <c r="AY119" s="9"/>
      <c r="AZ119" s="12"/>
      <c r="BA119" s="12"/>
      <c r="BB119" s="12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5" t="s">
        <v>637</v>
      </c>
      <c r="B120" s="9"/>
      <c r="C120" s="8"/>
      <c r="D120" s="9"/>
      <c r="E120" s="25" t="s">
        <v>23</v>
      </c>
      <c r="F120" s="9"/>
      <c r="G120" s="25">
        <v>120.0</v>
      </c>
      <c r="H120" s="9"/>
      <c r="I120" s="25">
        <v>56.0</v>
      </c>
      <c r="J120" s="25" t="s">
        <v>400</v>
      </c>
      <c r="K120" s="25" t="s">
        <v>401</v>
      </c>
      <c r="L120" s="25" t="s">
        <v>402</v>
      </c>
      <c r="M120" s="9"/>
      <c r="N120" s="41">
        <v>13.07</v>
      </c>
      <c r="O120" s="106">
        <v>324.0</v>
      </c>
      <c r="P120" s="9"/>
      <c r="Q120" s="25" t="s">
        <v>145</v>
      </c>
      <c r="R120" s="25">
        <v>0.0</v>
      </c>
      <c r="S120" s="106" t="s">
        <v>145</v>
      </c>
      <c r="T120" s="9"/>
      <c r="U120" s="25">
        <v>5.0</v>
      </c>
      <c r="V120" s="9"/>
      <c r="W120" s="14">
        <f t="shared" si="81"/>
        <v>19933.94323</v>
      </c>
      <c r="X120" s="16">
        <f>average(2500,2250,2500,2500,2500,2500,2000,1750,250)</f>
        <v>2083.333333</v>
      </c>
      <c r="Y120" s="107" t="s">
        <v>372</v>
      </c>
      <c r="Z120" s="107">
        <v>250.0</v>
      </c>
      <c r="AA120" s="107">
        <v>2500.0</v>
      </c>
      <c r="AB120" s="108">
        <f t="shared" si="79"/>
        <v>5.75</v>
      </c>
      <c r="AC120" s="107">
        <v>4.0</v>
      </c>
      <c r="AD120" s="107">
        <v>7.5</v>
      </c>
      <c r="AE120" s="19">
        <f>IFERROR(__xludf.DUMMYFUNCTION("AB120*GoogleFinance(""CURRENCY:GBPUSD"")"),7.16332125)</f>
        <v>7.16332125</v>
      </c>
      <c r="AF120" s="16">
        <f t="shared" si="82"/>
        <v>4885.098022</v>
      </c>
      <c r="AG120" s="16">
        <f t="shared" si="83"/>
        <v>12765.51187</v>
      </c>
      <c r="AH120" s="16">
        <f>IFERROR(__xludf.DUMMYFUNCTION("AI120*GoogleFinance(""CURRENCY:GBPUSD"")"),976.70328)</f>
        <v>976.70328</v>
      </c>
      <c r="AI120" s="108">
        <f t="shared" si="5"/>
        <v>784</v>
      </c>
      <c r="AJ120" s="107">
        <v>121.0</v>
      </c>
      <c r="AK120" s="107">
        <v>126.0</v>
      </c>
      <c r="AL120" s="107">
        <v>244.0</v>
      </c>
      <c r="AM120" s="107">
        <v>177.0</v>
      </c>
      <c r="AN120" s="107">
        <v>116.0</v>
      </c>
      <c r="AO120" s="107">
        <v>200.0</v>
      </c>
      <c r="AP120" s="9"/>
      <c r="AQ120" s="25" t="s">
        <v>147</v>
      </c>
      <c r="AR120" s="25" t="s">
        <v>148</v>
      </c>
      <c r="AS120" s="9"/>
      <c r="AT120" s="25" t="s">
        <v>149</v>
      </c>
      <c r="AU120" s="14">
        <f t="shared" si="80"/>
        <v>5.44310844</v>
      </c>
      <c r="AV120" s="106">
        <v>12.0</v>
      </c>
      <c r="AW120" s="14">
        <f t="shared" si="78"/>
        <v>24.13</v>
      </c>
      <c r="AX120" s="112">
        <f>average(9,10)</f>
        <v>9.5</v>
      </c>
      <c r="AY120" s="9"/>
      <c r="AZ120" s="106" t="s">
        <v>639</v>
      </c>
      <c r="BA120" s="12"/>
      <c r="BB120" s="12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5" t="s">
        <v>688</v>
      </c>
      <c r="B121" s="9"/>
      <c r="C121" s="8"/>
      <c r="D121" s="9"/>
      <c r="E121" s="25" t="s">
        <v>32</v>
      </c>
      <c r="F121" s="9"/>
      <c r="G121" s="25">
        <v>165.0</v>
      </c>
      <c r="H121" s="9"/>
      <c r="I121" s="106" t="s">
        <v>150</v>
      </c>
      <c r="J121" s="106" t="s">
        <v>150</v>
      </c>
      <c r="K121" s="106" t="s">
        <v>150</v>
      </c>
      <c r="L121" s="106" t="s">
        <v>150</v>
      </c>
      <c r="M121" s="9"/>
      <c r="N121" s="41">
        <v>12.67</v>
      </c>
      <c r="O121" s="106">
        <v>17.0</v>
      </c>
      <c r="P121" s="134"/>
      <c r="Q121" s="106" t="s">
        <v>150</v>
      </c>
      <c r="R121" s="106" t="s">
        <v>150</v>
      </c>
      <c r="S121" s="106" t="s">
        <v>150</v>
      </c>
      <c r="T121" s="9"/>
      <c r="U121" s="25">
        <v>3.0</v>
      </c>
      <c r="V121" s="9"/>
      <c r="W121" s="115" t="s">
        <v>150</v>
      </c>
      <c r="X121" s="115" t="s">
        <v>150</v>
      </c>
      <c r="Y121" s="115" t="s">
        <v>150</v>
      </c>
      <c r="Z121" s="115" t="s">
        <v>150</v>
      </c>
      <c r="AA121" s="115" t="s">
        <v>150</v>
      </c>
      <c r="AB121" s="115" t="s">
        <v>150</v>
      </c>
      <c r="AC121" s="115" t="s">
        <v>150</v>
      </c>
      <c r="AD121" s="115" t="s">
        <v>150</v>
      </c>
      <c r="AE121" s="115" t="s">
        <v>150</v>
      </c>
      <c r="AF121" s="115" t="s">
        <v>150</v>
      </c>
      <c r="AG121" s="16">
        <f t="shared" si="83"/>
        <v>12374.83056</v>
      </c>
      <c r="AH121" s="16">
        <f>IFERROR(__xludf.DUMMYFUNCTION("AI121*GoogleFinance(""CURRENCY:GBPUSD"")"),976.70328)</f>
        <v>976.70328</v>
      </c>
      <c r="AI121" s="108">
        <f t="shared" si="5"/>
        <v>784</v>
      </c>
      <c r="AJ121" s="107">
        <v>121.0</v>
      </c>
      <c r="AK121" s="107">
        <v>126.0</v>
      </c>
      <c r="AL121" s="107">
        <v>244.0</v>
      </c>
      <c r="AM121" s="107">
        <v>177.0</v>
      </c>
      <c r="AN121" s="107">
        <v>116.0</v>
      </c>
      <c r="AO121" s="107">
        <v>200.0</v>
      </c>
      <c r="AP121" s="9"/>
      <c r="AQ121" s="107" t="s">
        <v>182</v>
      </c>
      <c r="AR121" s="107" t="s">
        <v>182</v>
      </c>
      <c r="AS121" s="9"/>
      <c r="AT121" s="25" t="s">
        <v>148</v>
      </c>
      <c r="AU121" s="14">
        <f t="shared" si="80"/>
        <v>14.96854821</v>
      </c>
      <c r="AV121" s="112">
        <f>average(26,40)</f>
        <v>33</v>
      </c>
      <c r="AW121" s="14">
        <f t="shared" si="78"/>
        <v>43.815</v>
      </c>
      <c r="AX121" s="112">
        <f>average(16,18.5)</f>
        <v>17.25</v>
      </c>
      <c r="AY121" s="9"/>
      <c r="AZ121" s="12"/>
      <c r="BA121" s="12"/>
      <c r="BB121" s="12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5" t="s">
        <v>689</v>
      </c>
      <c r="B122" s="9"/>
      <c r="C122" s="8"/>
      <c r="D122" s="9"/>
      <c r="E122" s="25" t="s">
        <v>53</v>
      </c>
      <c r="F122" s="9"/>
      <c r="G122" s="25">
        <v>96.0</v>
      </c>
      <c r="H122" s="9"/>
      <c r="I122" s="25">
        <v>36.0</v>
      </c>
      <c r="J122" s="25" t="s">
        <v>142</v>
      </c>
      <c r="K122" s="25" t="s">
        <v>143</v>
      </c>
      <c r="L122" s="25" t="s">
        <v>144</v>
      </c>
      <c r="M122" s="9"/>
      <c r="N122" s="137" t="s">
        <v>150</v>
      </c>
      <c r="O122" s="106" t="s">
        <v>182</v>
      </c>
      <c r="P122" s="9"/>
      <c r="Q122" s="25" t="s">
        <v>174</v>
      </c>
      <c r="R122" s="25">
        <v>1.0</v>
      </c>
      <c r="S122" s="106" t="s">
        <v>175</v>
      </c>
      <c r="T122" s="9"/>
      <c r="U122" s="25">
        <v>2.0</v>
      </c>
      <c r="V122" s="9"/>
      <c r="W122" s="115" t="s">
        <v>150</v>
      </c>
      <c r="X122" s="16">
        <f>average(500,465,350,500,425)</f>
        <v>448</v>
      </c>
      <c r="Y122" s="107" t="s">
        <v>146</v>
      </c>
      <c r="Z122" s="107">
        <v>350.0</v>
      </c>
      <c r="AA122" s="107">
        <v>500.0</v>
      </c>
      <c r="AB122" s="115" t="s">
        <v>150</v>
      </c>
      <c r="AC122" s="115" t="s">
        <v>150</v>
      </c>
      <c r="AD122" s="115" t="s">
        <v>150</v>
      </c>
      <c r="AE122" s="115" t="s">
        <v>150</v>
      </c>
      <c r="AF122" s="115" t="s">
        <v>150</v>
      </c>
      <c r="AG122" s="115" t="s">
        <v>150</v>
      </c>
      <c r="AH122" s="16">
        <f>IFERROR(__xludf.DUMMYFUNCTION("AI122*GoogleFinance(""CURRENCY:GBPUSD"")"),976.70328)</f>
        <v>976.70328</v>
      </c>
      <c r="AI122" s="108">
        <f t="shared" si="5"/>
        <v>784</v>
      </c>
      <c r="AJ122" s="107">
        <v>121.0</v>
      </c>
      <c r="AK122" s="107">
        <v>126.0</v>
      </c>
      <c r="AL122" s="107">
        <v>244.0</v>
      </c>
      <c r="AM122" s="107">
        <v>177.0</v>
      </c>
      <c r="AN122" s="107">
        <v>116.0</v>
      </c>
      <c r="AO122" s="107">
        <v>200.0</v>
      </c>
      <c r="AP122" s="9"/>
      <c r="AQ122" s="107" t="s">
        <v>182</v>
      </c>
      <c r="AR122" s="107" t="s">
        <v>182</v>
      </c>
      <c r="AS122" s="9"/>
      <c r="AT122" s="25" t="s">
        <v>148</v>
      </c>
      <c r="AU122" s="14">
        <f t="shared" si="80"/>
        <v>23.36000706</v>
      </c>
      <c r="AV122" s="112">
        <f>average(48,55)</f>
        <v>51.5</v>
      </c>
      <c r="AW122" s="14">
        <f t="shared" si="78"/>
        <v>50.8</v>
      </c>
      <c r="AX122" s="112">
        <f>average(19.5,20.5)</f>
        <v>20</v>
      </c>
      <c r="AY122" s="9"/>
      <c r="AZ122" s="106" t="s">
        <v>690</v>
      </c>
      <c r="BA122" s="12"/>
      <c r="BB122" s="12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5" t="s">
        <v>691</v>
      </c>
      <c r="B123" s="9"/>
      <c r="C123" s="8"/>
      <c r="D123" s="9"/>
      <c r="E123" s="25" t="s">
        <v>34</v>
      </c>
      <c r="F123" s="9"/>
      <c r="G123" s="25">
        <v>170.0</v>
      </c>
      <c r="H123" s="9"/>
      <c r="I123" s="106" t="s">
        <v>150</v>
      </c>
      <c r="J123" s="106" t="s">
        <v>150</v>
      </c>
      <c r="K123" s="106" t="s">
        <v>150</v>
      </c>
      <c r="L123" s="106" t="s">
        <v>150</v>
      </c>
      <c r="M123" s="134"/>
      <c r="N123" s="137" t="s">
        <v>150</v>
      </c>
      <c r="O123" s="106" t="s">
        <v>182</v>
      </c>
      <c r="P123" s="134"/>
      <c r="Q123" s="106" t="s">
        <v>150</v>
      </c>
      <c r="R123" s="106" t="s">
        <v>150</v>
      </c>
      <c r="S123" s="106" t="s">
        <v>150</v>
      </c>
      <c r="T123" s="9"/>
      <c r="U123" s="25">
        <v>3.0</v>
      </c>
      <c r="V123" s="9"/>
      <c r="W123" s="115" t="s">
        <v>150</v>
      </c>
      <c r="X123" s="115" t="s">
        <v>150</v>
      </c>
      <c r="Y123" s="115" t="s">
        <v>150</v>
      </c>
      <c r="Z123" s="115" t="s">
        <v>150</v>
      </c>
      <c r="AA123" s="115" t="s">
        <v>150</v>
      </c>
      <c r="AB123" s="115" t="s">
        <v>150</v>
      </c>
      <c r="AC123" s="115" t="s">
        <v>150</v>
      </c>
      <c r="AD123" s="115" t="s">
        <v>150</v>
      </c>
      <c r="AE123" s="115" t="s">
        <v>150</v>
      </c>
      <c r="AF123" s="115" t="s">
        <v>150</v>
      </c>
      <c r="AG123" s="115" t="s">
        <v>150</v>
      </c>
      <c r="AH123" s="16">
        <f>IFERROR(__xludf.DUMMYFUNCTION("AI123*GoogleFinance(""CURRENCY:GBPUSD"")"),976.70328)</f>
        <v>976.70328</v>
      </c>
      <c r="AI123" s="108">
        <f t="shared" si="5"/>
        <v>784</v>
      </c>
      <c r="AJ123" s="107">
        <v>121.0</v>
      </c>
      <c r="AK123" s="107">
        <v>126.0</v>
      </c>
      <c r="AL123" s="107">
        <v>244.0</v>
      </c>
      <c r="AM123" s="107">
        <v>177.0</v>
      </c>
      <c r="AN123" s="107">
        <v>116.0</v>
      </c>
      <c r="AO123" s="107">
        <v>200.0</v>
      </c>
      <c r="AP123" s="9"/>
      <c r="AQ123" s="107" t="s">
        <v>182</v>
      </c>
      <c r="AR123" s="107" t="s">
        <v>182</v>
      </c>
      <c r="AS123" s="9"/>
      <c r="AT123" s="25" t="s">
        <v>149</v>
      </c>
      <c r="AU123" s="106" t="s">
        <v>150</v>
      </c>
      <c r="AV123" s="106" t="s">
        <v>150</v>
      </c>
      <c r="AW123" s="14">
        <f t="shared" si="78"/>
        <v>34.29</v>
      </c>
      <c r="AX123" s="112">
        <f>average(12,15)</f>
        <v>13.5</v>
      </c>
      <c r="AY123" s="9"/>
      <c r="AZ123" s="12"/>
      <c r="BA123" s="12"/>
      <c r="BB123" s="12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5" t="s">
        <v>693</v>
      </c>
      <c r="B124" s="9"/>
      <c r="C124" s="8"/>
      <c r="D124" s="9"/>
      <c r="E124" s="25" t="s">
        <v>23</v>
      </c>
      <c r="F124" s="9"/>
      <c r="G124" s="25">
        <v>89.0</v>
      </c>
      <c r="H124" s="9"/>
      <c r="I124" s="25">
        <v>38.0</v>
      </c>
      <c r="J124" s="25" t="s">
        <v>142</v>
      </c>
      <c r="K124" s="25" t="s">
        <v>143</v>
      </c>
      <c r="L124" s="25" t="s">
        <v>144</v>
      </c>
      <c r="M124" s="9"/>
      <c r="N124" s="137" t="s">
        <v>150</v>
      </c>
      <c r="O124" s="106" t="s">
        <v>182</v>
      </c>
      <c r="P124" s="9"/>
      <c r="Q124" s="25" t="s">
        <v>145</v>
      </c>
      <c r="R124" s="25">
        <v>0.0</v>
      </c>
      <c r="S124" s="106" t="s">
        <v>145</v>
      </c>
      <c r="T124" s="9"/>
      <c r="U124" s="25">
        <v>4.0</v>
      </c>
      <c r="V124" s="9"/>
      <c r="W124" s="115" t="s">
        <v>150</v>
      </c>
      <c r="X124" s="16">
        <f>average(750,750,1550,1650,800,1300,1550,2000,1300,800)</f>
        <v>1245</v>
      </c>
      <c r="Y124" s="107" t="s">
        <v>160</v>
      </c>
      <c r="Z124" s="107">
        <v>750.0</v>
      </c>
      <c r="AA124" s="107">
        <v>2000.0</v>
      </c>
      <c r="AB124" s="108">
        <f t="shared" ref="AB124:AB130" si="84">average(AC124,AD124)</f>
        <v>5.75</v>
      </c>
      <c r="AC124" s="107">
        <v>4.0</v>
      </c>
      <c r="AD124" s="107">
        <v>7.5</v>
      </c>
      <c r="AE124" s="19">
        <f>IFERROR(__xludf.DUMMYFUNCTION("AB124*GoogleFinance(""CURRENCY:GBPUSD"")"),7.16332125)</f>
        <v>7.16332125</v>
      </c>
      <c r="AF124" s="115" t="s">
        <v>150</v>
      </c>
      <c r="AG124" s="115" t="s">
        <v>150</v>
      </c>
      <c r="AH124" s="16">
        <f>IFERROR(__xludf.DUMMYFUNCTION("AI124*GoogleFinance(""CURRENCY:GBPUSD"")"),976.70328)</f>
        <v>976.70328</v>
      </c>
      <c r="AI124" s="108">
        <f t="shared" si="5"/>
        <v>784</v>
      </c>
      <c r="AJ124" s="107">
        <v>121.0</v>
      </c>
      <c r="AK124" s="107">
        <v>126.0</v>
      </c>
      <c r="AL124" s="107">
        <v>244.0</v>
      </c>
      <c r="AM124" s="107">
        <v>177.0</v>
      </c>
      <c r="AN124" s="107">
        <v>116.0</v>
      </c>
      <c r="AO124" s="107">
        <v>200.0</v>
      </c>
      <c r="AP124" s="9"/>
      <c r="AQ124" s="25" t="s">
        <v>147</v>
      </c>
      <c r="AR124" s="25" t="s">
        <v>148</v>
      </c>
      <c r="AS124" s="9"/>
      <c r="AT124" s="25" t="s">
        <v>149</v>
      </c>
      <c r="AU124" s="14">
        <f>AV124*0.45359237</f>
        <v>5.44310844</v>
      </c>
      <c r="AV124" s="106">
        <v>12.0</v>
      </c>
      <c r="AW124" s="14">
        <f t="shared" si="78"/>
        <v>25.4</v>
      </c>
      <c r="AX124" s="106">
        <v>10.0</v>
      </c>
      <c r="AY124" s="9"/>
      <c r="AZ124" s="12"/>
      <c r="BA124" s="12"/>
      <c r="BB124" s="12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5" t="s">
        <v>696</v>
      </c>
      <c r="B125" s="9"/>
      <c r="C125" s="8"/>
      <c r="D125" s="9"/>
      <c r="E125" s="25" t="s">
        <v>27</v>
      </c>
      <c r="F125" s="9"/>
      <c r="G125" s="25">
        <v>107.0</v>
      </c>
      <c r="H125" s="9"/>
      <c r="I125" s="106" t="s">
        <v>150</v>
      </c>
      <c r="J125" s="106" t="s">
        <v>150</v>
      </c>
      <c r="K125" s="106" t="s">
        <v>150</v>
      </c>
      <c r="L125" s="106" t="s">
        <v>150</v>
      </c>
      <c r="M125" s="9"/>
      <c r="N125" s="41">
        <v>6.5</v>
      </c>
      <c r="O125" s="106">
        <v>150.0</v>
      </c>
      <c r="P125" s="9"/>
      <c r="Q125" s="25" t="s">
        <v>174</v>
      </c>
      <c r="R125" s="25">
        <v>1.0</v>
      </c>
      <c r="S125" s="106" t="s">
        <v>175</v>
      </c>
      <c r="T125" s="9"/>
      <c r="U125" s="25">
        <v>3.0</v>
      </c>
      <c r="V125" s="9"/>
      <c r="W125" s="14">
        <f t="shared" ref="W125:W126" si="85">X125+AF125+AG125+AO125</f>
        <v>10478.03858</v>
      </c>
      <c r="X125" s="16">
        <f>average(1500,1500,1500,1500)</f>
        <v>1500</v>
      </c>
      <c r="Y125" s="107" t="s">
        <v>372</v>
      </c>
      <c r="Z125" s="107">
        <v>1500.0</v>
      </c>
      <c r="AA125" s="107">
        <v>1500.0</v>
      </c>
      <c r="AB125" s="108">
        <f t="shared" si="84"/>
        <v>5.75</v>
      </c>
      <c r="AC125" s="107">
        <v>4.0</v>
      </c>
      <c r="AD125" s="107">
        <v>7.5</v>
      </c>
      <c r="AE125" s="19">
        <f>IFERROR(__xludf.DUMMYFUNCTION("AB125*GoogleFinance(""CURRENCY:GBPUSD"")"),7.16332125)</f>
        <v>7.16332125</v>
      </c>
      <c r="AF125" s="16">
        <f t="shared" ref="AF125:AF128" si="86">AE125*52.1775*N125</f>
        <v>2429.467264</v>
      </c>
      <c r="AG125" s="16">
        <f t="shared" ref="AG125:AG128" si="87">AH125*N125</f>
        <v>6348.57132</v>
      </c>
      <c r="AH125" s="16">
        <f>IFERROR(__xludf.DUMMYFUNCTION("AI125*GoogleFinance(""CURRENCY:GBPUSD"")"),976.70328)</f>
        <v>976.70328</v>
      </c>
      <c r="AI125" s="108">
        <f t="shared" si="5"/>
        <v>784</v>
      </c>
      <c r="AJ125" s="107">
        <v>121.0</v>
      </c>
      <c r="AK125" s="107">
        <v>126.0</v>
      </c>
      <c r="AL125" s="107">
        <v>244.0</v>
      </c>
      <c r="AM125" s="107">
        <v>177.0</v>
      </c>
      <c r="AN125" s="107">
        <v>116.0</v>
      </c>
      <c r="AO125" s="107">
        <v>200.0</v>
      </c>
      <c r="AP125" s="9"/>
      <c r="AQ125" s="25" t="s">
        <v>147</v>
      </c>
      <c r="AR125" s="25" t="s">
        <v>165</v>
      </c>
      <c r="AS125" s="9"/>
      <c r="AT125" s="25" t="s">
        <v>148</v>
      </c>
      <c r="AU125" s="106" t="s">
        <v>150</v>
      </c>
      <c r="AV125" s="106" t="s">
        <v>150</v>
      </c>
      <c r="AW125" s="14">
        <f t="shared" si="78"/>
        <v>48.26</v>
      </c>
      <c r="AX125" s="112">
        <f>average(17,21)</f>
        <v>19</v>
      </c>
      <c r="AY125" s="9"/>
      <c r="AZ125" s="106" t="s">
        <v>698</v>
      </c>
      <c r="BA125" s="12"/>
      <c r="BB125" s="12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5" t="s">
        <v>699</v>
      </c>
      <c r="B126" s="9"/>
      <c r="C126" s="8"/>
      <c r="D126" s="9"/>
      <c r="E126" s="25" t="s">
        <v>32</v>
      </c>
      <c r="F126" s="9"/>
      <c r="G126" s="25">
        <v>84.0</v>
      </c>
      <c r="H126" s="9"/>
      <c r="I126" s="25">
        <v>63.0</v>
      </c>
      <c r="J126" s="25" t="s">
        <v>400</v>
      </c>
      <c r="K126" s="25" t="s">
        <v>401</v>
      </c>
      <c r="L126" s="25" t="s">
        <v>402</v>
      </c>
      <c r="M126" s="9"/>
      <c r="N126" s="41">
        <v>11.19</v>
      </c>
      <c r="O126" s="106">
        <v>111.0</v>
      </c>
      <c r="P126" s="9"/>
      <c r="Q126" s="25" t="s">
        <v>174</v>
      </c>
      <c r="R126" s="25">
        <v>1.0</v>
      </c>
      <c r="S126" s="106" t="s">
        <v>175</v>
      </c>
      <c r="T126" s="9"/>
      <c r="U126" s="25">
        <v>5.0</v>
      </c>
      <c r="V126" s="9"/>
      <c r="W126" s="14">
        <f t="shared" si="85"/>
        <v>18325.36391</v>
      </c>
      <c r="X126" s="16">
        <f>average(900,1000,900,1000,640,650,1000,750,975,500)</f>
        <v>831.5</v>
      </c>
      <c r="Y126" s="107" t="s">
        <v>160</v>
      </c>
      <c r="Z126" s="107">
        <v>500.0</v>
      </c>
      <c r="AA126" s="107">
        <v>1000.0</v>
      </c>
      <c r="AB126" s="108">
        <f t="shared" si="84"/>
        <v>8.75</v>
      </c>
      <c r="AC126" s="107">
        <v>7.5</v>
      </c>
      <c r="AD126" s="107">
        <v>10.0</v>
      </c>
      <c r="AE126" s="19">
        <f>IFERROR(__xludf.DUMMYFUNCTION("AB126*GoogleFinance(""CURRENCY:GBPUSD"")"),10.90070625)</f>
        <v>10.90070625</v>
      </c>
      <c r="AF126" s="16">
        <f t="shared" si="86"/>
        <v>6364.554208</v>
      </c>
      <c r="AG126" s="16">
        <f t="shared" si="87"/>
        <v>10929.3097</v>
      </c>
      <c r="AH126" s="16">
        <f>IFERROR(__xludf.DUMMYFUNCTION("AI126*GoogleFinance(""CURRENCY:GBPUSD"")"),976.70328)</f>
        <v>976.70328</v>
      </c>
      <c r="AI126" s="108">
        <f t="shared" si="5"/>
        <v>784</v>
      </c>
      <c r="AJ126" s="107">
        <v>121.0</v>
      </c>
      <c r="AK126" s="107">
        <v>126.0</v>
      </c>
      <c r="AL126" s="107">
        <v>244.0</v>
      </c>
      <c r="AM126" s="107">
        <v>177.0</v>
      </c>
      <c r="AN126" s="107">
        <v>116.0</v>
      </c>
      <c r="AO126" s="107">
        <v>200.0</v>
      </c>
      <c r="AP126" s="9"/>
      <c r="AQ126" s="25" t="s">
        <v>164</v>
      </c>
      <c r="AR126" s="25" t="s">
        <v>165</v>
      </c>
      <c r="AS126" s="9"/>
      <c r="AT126" s="25" t="s">
        <v>148</v>
      </c>
      <c r="AU126" s="106" t="s">
        <v>150</v>
      </c>
      <c r="AV126" s="106" t="s">
        <v>150</v>
      </c>
      <c r="AW126" s="14">
        <f t="shared" si="78"/>
        <v>55.88</v>
      </c>
      <c r="AX126" s="106">
        <v>22.0</v>
      </c>
      <c r="AY126" s="9"/>
      <c r="AZ126" s="12"/>
      <c r="BA126" s="12"/>
      <c r="BB126" s="12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5" t="s">
        <v>701</v>
      </c>
      <c r="B127" s="9"/>
      <c r="C127" s="8"/>
      <c r="D127" s="9"/>
      <c r="E127" s="25" t="s">
        <v>53</v>
      </c>
      <c r="F127" s="9"/>
      <c r="G127" s="25">
        <v>169.0</v>
      </c>
      <c r="H127" s="9"/>
      <c r="I127" s="25">
        <v>46.0</v>
      </c>
      <c r="J127" s="25" t="s">
        <v>184</v>
      </c>
      <c r="K127" s="116" t="s">
        <v>185</v>
      </c>
      <c r="L127" s="25" t="s">
        <v>187</v>
      </c>
      <c r="M127" s="9"/>
      <c r="N127" s="41">
        <v>10.8</v>
      </c>
      <c r="O127" s="106">
        <v>41.0</v>
      </c>
      <c r="P127" s="9"/>
      <c r="Q127" s="25" t="s">
        <v>174</v>
      </c>
      <c r="R127" s="25">
        <v>1.0</v>
      </c>
      <c r="S127" s="106" t="s">
        <v>175</v>
      </c>
      <c r="T127" s="9"/>
      <c r="U127" s="25">
        <v>3.0</v>
      </c>
      <c r="V127" s="9"/>
      <c r="W127" s="115" t="s">
        <v>150</v>
      </c>
      <c r="X127" s="115" t="s">
        <v>150</v>
      </c>
      <c r="Y127" s="115" t="s">
        <v>150</v>
      </c>
      <c r="Z127" s="115" t="s">
        <v>150</v>
      </c>
      <c r="AA127" s="115" t="s">
        <v>150</v>
      </c>
      <c r="AB127" s="108">
        <f t="shared" si="84"/>
        <v>5.75</v>
      </c>
      <c r="AC127" s="107">
        <v>4.0</v>
      </c>
      <c r="AD127" s="107">
        <v>7.5</v>
      </c>
      <c r="AE127" s="19">
        <f>IFERROR(__xludf.DUMMYFUNCTION("AB127*GoogleFinance(""CURRENCY:GBPUSD"")"),7.16332125)</f>
        <v>7.16332125</v>
      </c>
      <c r="AF127" s="16">
        <f t="shared" si="86"/>
        <v>4036.653301</v>
      </c>
      <c r="AG127" s="16">
        <f t="shared" si="87"/>
        <v>10548.39542</v>
      </c>
      <c r="AH127" s="16">
        <f>IFERROR(__xludf.DUMMYFUNCTION("AI127*GoogleFinance(""CURRENCY:GBPUSD"")"),976.70328)</f>
        <v>976.70328</v>
      </c>
      <c r="AI127" s="108">
        <f t="shared" si="5"/>
        <v>784</v>
      </c>
      <c r="AJ127" s="107">
        <v>121.0</v>
      </c>
      <c r="AK127" s="107">
        <v>126.0</v>
      </c>
      <c r="AL127" s="107">
        <v>244.0</v>
      </c>
      <c r="AM127" s="107">
        <v>177.0</v>
      </c>
      <c r="AN127" s="107">
        <v>116.0</v>
      </c>
      <c r="AO127" s="107">
        <v>200.0</v>
      </c>
      <c r="AP127" s="9"/>
      <c r="AQ127" s="25" t="s">
        <v>147</v>
      </c>
      <c r="AR127" s="25" t="s">
        <v>165</v>
      </c>
      <c r="AS127" s="9"/>
      <c r="AT127" s="25" t="s">
        <v>166</v>
      </c>
      <c r="AU127" s="14">
        <f>AV127*0.45359237</f>
        <v>44.22525608</v>
      </c>
      <c r="AV127" s="112">
        <f>average(80,115)</f>
        <v>97.5</v>
      </c>
      <c r="AW127" s="14">
        <f t="shared" si="78"/>
        <v>64.77</v>
      </c>
      <c r="AX127" s="112">
        <f>average(27,24)</f>
        <v>25.5</v>
      </c>
      <c r="AY127" s="9"/>
      <c r="AZ127" s="12"/>
      <c r="BA127" s="12"/>
      <c r="BB127" s="12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5" t="s">
        <v>366</v>
      </c>
      <c r="B128" s="9"/>
      <c r="C128" s="8"/>
      <c r="D128" s="9"/>
      <c r="E128" s="25" t="s">
        <v>43</v>
      </c>
      <c r="F128" s="9"/>
      <c r="G128" s="25">
        <v>38.0</v>
      </c>
      <c r="H128" s="9"/>
      <c r="I128" s="25">
        <v>8.0</v>
      </c>
      <c r="J128" s="25" t="s">
        <v>250</v>
      </c>
      <c r="K128" s="25" t="s">
        <v>251</v>
      </c>
      <c r="L128" s="25" t="s">
        <v>252</v>
      </c>
      <c r="M128" s="9"/>
      <c r="N128" s="41">
        <v>13.0</v>
      </c>
      <c r="O128" s="106">
        <v>100.0</v>
      </c>
      <c r="P128" s="9"/>
      <c r="Q128" s="25" t="s">
        <v>368</v>
      </c>
      <c r="R128" s="25">
        <v>5.0</v>
      </c>
      <c r="S128" s="106" t="s">
        <v>369</v>
      </c>
      <c r="T128" s="9"/>
      <c r="U128" s="25">
        <v>6.0</v>
      </c>
      <c r="V128" s="9"/>
      <c r="W128" s="14">
        <f>X128+AF128+AG128+AO128</f>
        <v>17017.27101</v>
      </c>
      <c r="X128" s="16">
        <f>average(400,650,725,700,1000,700,725,850,1000,650)</f>
        <v>740</v>
      </c>
      <c r="Y128" s="107" t="s">
        <v>160</v>
      </c>
      <c r="Z128" s="107">
        <v>400.0</v>
      </c>
      <c r="AA128" s="107">
        <v>1000.0</v>
      </c>
      <c r="AB128" s="108">
        <f t="shared" si="84"/>
        <v>4</v>
      </c>
      <c r="AC128" s="107">
        <v>4.0</v>
      </c>
      <c r="AD128" s="107">
        <v>4.0</v>
      </c>
      <c r="AE128" s="19">
        <f>IFERROR(__xludf.DUMMYFUNCTION("AB128*GoogleFinance(""CURRENCY:GBPUSD"")"),4.98318)</f>
        <v>4.98318</v>
      </c>
      <c r="AF128" s="16">
        <f t="shared" si="86"/>
        <v>3380.128368</v>
      </c>
      <c r="AG128" s="16">
        <f t="shared" si="87"/>
        <v>12697.14264</v>
      </c>
      <c r="AH128" s="16">
        <f>IFERROR(__xludf.DUMMYFUNCTION("AI128*GoogleFinance(""CURRENCY:GBPUSD"")"),976.70328)</f>
        <v>976.70328</v>
      </c>
      <c r="AI128" s="108">
        <f t="shared" si="5"/>
        <v>784</v>
      </c>
      <c r="AJ128" s="107">
        <v>121.0</v>
      </c>
      <c r="AK128" s="107">
        <v>126.0</v>
      </c>
      <c r="AL128" s="107">
        <v>244.0</v>
      </c>
      <c r="AM128" s="107">
        <v>177.0</v>
      </c>
      <c r="AN128" s="107">
        <v>116.0</v>
      </c>
      <c r="AO128" s="107">
        <v>200.0</v>
      </c>
      <c r="AP128" s="9"/>
      <c r="AQ128" s="25" t="s">
        <v>147</v>
      </c>
      <c r="AR128" s="25" t="s">
        <v>148</v>
      </c>
      <c r="AS128" s="9"/>
      <c r="AT128" s="25" t="s">
        <v>149</v>
      </c>
      <c r="AU128" s="106" t="s">
        <v>150</v>
      </c>
      <c r="AV128" s="106" t="s">
        <v>150</v>
      </c>
      <c r="AW128" s="14">
        <f t="shared" si="78"/>
        <v>24.13</v>
      </c>
      <c r="AX128" s="112">
        <f>average(8,11)</f>
        <v>9.5</v>
      </c>
      <c r="AY128" s="9"/>
      <c r="AZ128" s="12"/>
      <c r="BA128" s="12"/>
      <c r="BB128" s="12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5" t="s">
        <v>706</v>
      </c>
      <c r="B129" s="9"/>
      <c r="C129" s="8"/>
      <c r="D129" s="9"/>
      <c r="E129" s="25" t="s">
        <v>23</v>
      </c>
      <c r="F129" s="9"/>
      <c r="G129" s="25">
        <v>97.0</v>
      </c>
      <c r="H129" s="9"/>
      <c r="I129" s="106" t="s">
        <v>150</v>
      </c>
      <c r="J129" s="106" t="s">
        <v>150</v>
      </c>
      <c r="K129" s="106" t="s">
        <v>150</v>
      </c>
      <c r="L129" s="106" t="s">
        <v>150</v>
      </c>
      <c r="M129" s="134"/>
      <c r="N129" s="137" t="s">
        <v>150</v>
      </c>
      <c r="O129" s="106" t="s">
        <v>182</v>
      </c>
      <c r="P129" s="9"/>
      <c r="Q129" s="25" t="s">
        <v>145</v>
      </c>
      <c r="R129" s="25">
        <v>0.0</v>
      </c>
      <c r="S129" s="106" t="s">
        <v>145</v>
      </c>
      <c r="T129" s="9"/>
      <c r="U129" s="25">
        <v>4.0</v>
      </c>
      <c r="V129" s="9"/>
      <c r="W129" s="115" t="s">
        <v>150</v>
      </c>
      <c r="X129" s="16">
        <f>average(800,150,350,800,450,325,350,350,850,850)</f>
        <v>527.5</v>
      </c>
      <c r="Y129" s="107" t="s">
        <v>146</v>
      </c>
      <c r="Z129" s="107">
        <v>150.0</v>
      </c>
      <c r="AA129" s="107">
        <v>850.0</v>
      </c>
      <c r="AB129" s="108">
        <f t="shared" si="84"/>
        <v>5.75</v>
      </c>
      <c r="AC129" s="107">
        <v>4.0</v>
      </c>
      <c r="AD129" s="107">
        <v>7.5</v>
      </c>
      <c r="AE129" s="19">
        <f>IFERROR(__xludf.DUMMYFUNCTION("AB129*GoogleFinance(""CURRENCY:GBPUSD"")"),7.16332125)</f>
        <v>7.16332125</v>
      </c>
      <c r="AF129" s="115" t="s">
        <v>150</v>
      </c>
      <c r="AG129" s="115" t="s">
        <v>150</v>
      </c>
      <c r="AH129" s="16">
        <f>IFERROR(__xludf.DUMMYFUNCTION("AI129*GoogleFinance(""CURRENCY:GBPUSD"")"),976.70328)</f>
        <v>976.70328</v>
      </c>
      <c r="AI129" s="108">
        <f t="shared" si="5"/>
        <v>784</v>
      </c>
      <c r="AJ129" s="107">
        <v>121.0</v>
      </c>
      <c r="AK129" s="107">
        <v>126.0</v>
      </c>
      <c r="AL129" s="107">
        <v>244.0</v>
      </c>
      <c r="AM129" s="107">
        <v>177.0</v>
      </c>
      <c r="AN129" s="107">
        <v>116.0</v>
      </c>
      <c r="AO129" s="107">
        <v>200.0</v>
      </c>
      <c r="AP129" s="9"/>
      <c r="AQ129" s="25" t="s">
        <v>147</v>
      </c>
      <c r="AR129" s="25" t="s">
        <v>148</v>
      </c>
      <c r="AS129" s="9"/>
      <c r="AT129" s="25" t="s">
        <v>149</v>
      </c>
      <c r="AU129" s="14">
        <f t="shared" ref="AU129:AU131" si="88">AV129*0.45359237</f>
        <v>6.80388555</v>
      </c>
      <c r="AV129" s="112">
        <f>average(13,17)</f>
        <v>15</v>
      </c>
      <c r="AW129" s="14">
        <f t="shared" si="78"/>
        <v>34.29</v>
      </c>
      <c r="AX129" s="112">
        <f>average(13,14)</f>
        <v>13.5</v>
      </c>
      <c r="AY129" s="9"/>
      <c r="AZ129" s="12"/>
      <c r="BA129" s="12"/>
      <c r="BB129" s="12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5" t="s">
        <v>710</v>
      </c>
      <c r="B130" s="9"/>
      <c r="C130" s="8"/>
      <c r="D130" s="9"/>
      <c r="E130" s="25" t="s">
        <v>43</v>
      </c>
      <c r="F130" s="9"/>
      <c r="G130" s="25">
        <v>64.0</v>
      </c>
      <c r="H130" s="9"/>
      <c r="I130" s="25">
        <v>74.0</v>
      </c>
      <c r="J130" s="25" t="s">
        <v>157</v>
      </c>
      <c r="K130" s="25" t="s">
        <v>158</v>
      </c>
      <c r="L130" s="25" t="s">
        <v>159</v>
      </c>
      <c r="M130" s="9"/>
      <c r="N130" s="41">
        <v>11.56</v>
      </c>
      <c r="O130" s="106">
        <v>94.0</v>
      </c>
      <c r="P130" s="9"/>
      <c r="Q130" s="25" t="s">
        <v>457</v>
      </c>
      <c r="R130" s="25">
        <v>1.0</v>
      </c>
      <c r="S130" s="106" t="s">
        <v>458</v>
      </c>
      <c r="T130" s="9"/>
      <c r="U130" s="25">
        <v>6.0</v>
      </c>
      <c r="V130" s="9"/>
      <c r="W130" s="14">
        <f>X130+AF130+AG130+AO130</f>
        <v>16696.40401</v>
      </c>
      <c r="X130" s="16">
        <f>average(3800,200,1050,450,1000,600,350,450,500,450)</f>
        <v>885</v>
      </c>
      <c r="Y130" s="107" t="s">
        <v>160</v>
      </c>
      <c r="Z130" s="107">
        <v>200.0</v>
      </c>
      <c r="AA130" s="107">
        <v>3800.0</v>
      </c>
      <c r="AB130" s="108">
        <f t="shared" si="84"/>
        <v>5.75</v>
      </c>
      <c r="AC130" s="107">
        <v>4.0</v>
      </c>
      <c r="AD130" s="107">
        <v>7.5</v>
      </c>
      <c r="AE130" s="19">
        <f>IFERROR(__xludf.DUMMYFUNCTION("AB130*GoogleFinance(""CURRENCY:GBPUSD"")"),7.16332125)</f>
        <v>7.16332125</v>
      </c>
      <c r="AF130" s="16">
        <f>AE130*52.1775*N130</f>
        <v>4320.714089</v>
      </c>
      <c r="AG130" s="16">
        <f t="shared" ref="AG130:AG133" si="89">AH130*N130</f>
        <v>11290.68992</v>
      </c>
      <c r="AH130" s="16">
        <f>IFERROR(__xludf.DUMMYFUNCTION("AI130*GoogleFinance(""CURRENCY:GBPUSD"")"),976.70328)</f>
        <v>976.70328</v>
      </c>
      <c r="AI130" s="108">
        <f t="shared" si="5"/>
        <v>784</v>
      </c>
      <c r="AJ130" s="107">
        <v>121.0</v>
      </c>
      <c r="AK130" s="107">
        <v>126.0</v>
      </c>
      <c r="AL130" s="107">
        <v>244.0</v>
      </c>
      <c r="AM130" s="107">
        <v>177.0</v>
      </c>
      <c r="AN130" s="107">
        <v>116.0</v>
      </c>
      <c r="AO130" s="107">
        <v>200.0</v>
      </c>
      <c r="AP130" s="9"/>
      <c r="AQ130" s="25" t="s">
        <v>711</v>
      </c>
      <c r="AR130" s="25" t="s">
        <v>148</v>
      </c>
      <c r="AS130" s="9"/>
      <c r="AT130" s="25" t="s">
        <v>149</v>
      </c>
      <c r="AU130" s="14">
        <f t="shared" si="88"/>
        <v>5.89670081</v>
      </c>
      <c r="AV130" s="106">
        <v>13.0</v>
      </c>
      <c r="AW130" s="106" t="s">
        <v>150</v>
      </c>
      <c r="AX130" s="106" t="s">
        <v>150</v>
      </c>
      <c r="AY130" s="9"/>
      <c r="AZ130" s="106" t="s">
        <v>712</v>
      </c>
      <c r="BA130" s="12"/>
      <c r="BB130" s="12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5" t="s">
        <v>673</v>
      </c>
      <c r="B131" s="9"/>
      <c r="C131" s="8"/>
      <c r="D131" s="9"/>
      <c r="E131" s="25" t="s">
        <v>32</v>
      </c>
      <c r="F131" s="9"/>
      <c r="G131" s="25">
        <v>25.0</v>
      </c>
      <c r="H131" s="9"/>
      <c r="I131" s="25">
        <v>11.0</v>
      </c>
      <c r="J131" s="25" t="s">
        <v>267</v>
      </c>
      <c r="K131" s="116" t="s">
        <v>268</v>
      </c>
      <c r="L131" s="25" t="s">
        <v>269</v>
      </c>
      <c r="M131" s="9"/>
      <c r="N131" s="41">
        <v>12.25</v>
      </c>
      <c r="O131" s="106">
        <v>116.0</v>
      </c>
      <c r="P131" s="9"/>
      <c r="Q131" s="25" t="s">
        <v>676</v>
      </c>
      <c r="R131" s="25">
        <v>9.0</v>
      </c>
      <c r="S131" s="106" t="s">
        <v>677</v>
      </c>
      <c r="T131" s="9"/>
      <c r="U131" s="25">
        <v>4.0</v>
      </c>
      <c r="V131" s="9"/>
      <c r="W131" s="115" t="s">
        <v>150</v>
      </c>
      <c r="X131" s="16">
        <f>average(540,650,500,750,650,375,500,550,600,750)</f>
        <v>586.5</v>
      </c>
      <c r="Y131" s="107" t="s">
        <v>146</v>
      </c>
      <c r="Z131" s="107">
        <v>375.0</v>
      </c>
      <c r="AA131" s="107">
        <v>750.0</v>
      </c>
      <c r="AB131" s="115" t="s">
        <v>150</v>
      </c>
      <c r="AC131" s="115" t="s">
        <v>150</v>
      </c>
      <c r="AD131" s="115" t="s">
        <v>150</v>
      </c>
      <c r="AE131" s="115" t="s">
        <v>150</v>
      </c>
      <c r="AF131" s="115" t="s">
        <v>150</v>
      </c>
      <c r="AG131" s="16">
        <f t="shared" si="89"/>
        <v>11964.61518</v>
      </c>
      <c r="AH131" s="16">
        <f>IFERROR(__xludf.DUMMYFUNCTION("AI131*GoogleFinance(""CURRENCY:GBPUSD"")"),976.70328)</f>
        <v>976.70328</v>
      </c>
      <c r="AI131" s="108">
        <f t="shared" si="5"/>
        <v>784</v>
      </c>
      <c r="AJ131" s="107">
        <v>121.0</v>
      </c>
      <c r="AK131" s="107">
        <v>126.0</v>
      </c>
      <c r="AL131" s="107">
        <v>244.0</v>
      </c>
      <c r="AM131" s="107">
        <v>177.0</v>
      </c>
      <c r="AN131" s="107">
        <v>116.0</v>
      </c>
      <c r="AO131" s="107">
        <v>200.0</v>
      </c>
      <c r="AP131" s="9"/>
      <c r="AQ131" s="107" t="s">
        <v>182</v>
      </c>
      <c r="AR131" s="107" t="s">
        <v>182</v>
      </c>
      <c r="AS131" s="9"/>
      <c r="AT131" s="25" t="s">
        <v>149</v>
      </c>
      <c r="AU131" s="14">
        <f t="shared" si="88"/>
        <v>11.79340162</v>
      </c>
      <c r="AV131" s="112">
        <f>average(25,27)</f>
        <v>26</v>
      </c>
      <c r="AW131" s="14">
        <f t="shared" ref="AW131:AW136" si="90">AX131*2.54</f>
        <v>27.94</v>
      </c>
      <c r="AX131" s="112">
        <f>average(10,12)</f>
        <v>11</v>
      </c>
      <c r="AY131" s="9"/>
      <c r="AZ131" s="12"/>
      <c r="BA131" s="12"/>
      <c r="BB131" s="12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5" t="s">
        <v>714</v>
      </c>
      <c r="B132" s="9"/>
      <c r="C132" s="8"/>
      <c r="D132" s="9"/>
      <c r="E132" s="25" t="s">
        <v>53</v>
      </c>
      <c r="F132" s="9"/>
      <c r="G132" s="25">
        <v>131.0</v>
      </c>
      <c r="H132" s="9"/>
      <c r="I132" s="25">
        <v>62.0</v>
      </c>
      <c r="J132" s="25" t="s">
        <v>400</v>
      </c>
      <c r="K132" s="25" t="s">
        <v>401</v>
      </c>
      <c r="L132" s="25" t="s">
        <v>402</v>
      </c>
      <c r="M132" s="9"/>
      <c r="N132" s="41">
        <v>12.7</v>
      </c>
      <c r="O132" s="106">
        <v>45.0</v>
      </c>
      <c r="P132" s="9"/>
      <c r="Q132" s="25" t="s">
        <v>145</v>
      </c>
      <c r="R132" s="25">
        <v>0.0</v>
      </c>
      <c r="S132" s="106" t="s">
        <v>145</v>
      </c>
      <c r="T132" s="9"/>
      <c r="U132" s="25">
        <v>5.0</v>
      </c>
      <c r="V132" s="9"/>
      <c r="W132" s="115" t="s">
        <v>150</v>
      </c>
      <c r="X132" s="16">
        <f>average(700,250,250)</f>
        <v>400</v>
      </c>
      <c r="Y132" s="107" t="s">
        <v>146</v>
      </c>
      <c r="Z132" s="107">
        <v>250.0</v>
      </c>
      <c r="AA132" s="107">
        <v>700.0</v>
      </c>
      <c r="AB132" s="115" t="s">
        <v>150</v>
      </c>
      <c r="AC132" s="115" t="s">
        <v>150</v>
      </c>
      <c r="AD132" s="115" t="s">
        <v>150</v>
      </c>
      <c r="AE132" s="115" t="s">
        <v>150</v>
      </c>
      <c r="AF132" s="115" t="s">
        <v>150</v>
      </c>
      <c r="AG132" s="16">
        <f t="shared" si="89"/>
        <v>12404.13166</v>
      </c>
      <c r="AH132" s="16">
        <f>IFERROR(__xludf.DUMMYFUNCTION("AI132*GoogleFinance(""CURRENCY:GBPUSD"")"),976.70328)</f>
        <v>976.70328</v>
      </c>
      <c r="AI132" s="108">
        <f t="shared" si="5"/>
        <v>784</v>
      </c>
      <c r="AJ132" s="107">
        <v>121.0</v>
      </c>
      <c r="AK132" s="107">
        <v>126.0</v>
      </c>
      <c r="AL132" s="107">
        <v>244.0</v>
      </c>
      <c r="AM132" s="107">
        <v>177.0</v>
      </c>
      <c r="AN132" s="107">
        <v>116.0</v>
      </c>
      <c r="AO132" s="107">
        <v>200.0</v>
      </c>
      <c r="AP132" s="9"/>
      <c r="AQ132" s="107" t="s">
        <v>182</v>
      </c>
      <c r="AR132" s="107" t="s">
        <v>182</v>
      </c>
      <c r="AS132" s="9"/>
      <c r="AT132" s="25" t="s">
        <v>149</v>
      </c>
      <c r="AU132" s="106" t="s">
        <v>150</v>
      </c>
      <c r="AV132" s="106" t="s">
        <v>150</v>
      </c>
      <c r="AW132" s="14">
        <f t="shared" si="90"/>
        <v>35.56</v>
      </c>
      <c r="AX132" s="112">
        <f>average (13,15)</f>
        <v>14</v>
      </c>
      <c r="AY132" s="9"/>
      <c r="AZ132" s="106" t="s">
        <v>715</v>
      </c>
      <c r="BA132" s="12"/>
      <c r="BB132" s="12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5" t="s">
        <v>595</v>
      </c>
      <c r="B133" s="9"/>
      <c r="C133" s="8"/>
      <c r="D133" s="9"/>
      <c r="E133" s="25" t="s">
        <v>53</v>
      </c>
      <c r="F133" s="9"/>
      <c r="G133" s="25">
        <v>151.0</v>
      </c>
      <c r="H133" s="9"/>
      <c r="I133" s="25">
        <v>37.0</v>
      </c>
      <c r="J133" s="25" t="s">
        <v>142</v>
      </c>
      <c r="K133" s="25" t="s">
        <v>143</v>
      </c>
      <c r="L133" s="25" t="s">
        <v>144</v>
      </c>
      <c r="M133" s="9"/>
      <c r="N133" s="41">
        <v>11.83</v>
      </c>
      <c r="O133" s="106">
        <v>15.0</v>
      </c>
      <c r="P133" s="9"/>
      <c r="Q133" s="25" t="s">
        <v>145</v>
      </c>
      <c r="R133" s="25">
        <v>0.0</v>
      </c>
      <c r="S133" s="106" t="s">
        <v>145</v>
      </c>
      <c r="T133" s="9"/>
      <c r="U133" s="25">
        <v>2.0</v>
      </c>
      <c r="V133" s="9"/>
      <c r="W133" s="14">
        <f>X133+AF133+AG133+AO133</f>
        <v>17088.53022</v>
      </c>
      <c r="X133" s="16">
        <f>average(1000,475,1000,1000,1000,1000)</f>
        <v>912.5</v>
      </c>
      <c r="Y133" s="107" t="s">
        <v>160</v>
      </c>
      <c r="Z133" s="107">
        <v>475.0</v>
      </c>
      <c r="AA133" s="107">
        <v>1000.0</v>
      </c>
      <c r="AB133" s="108">
        <f>average(AC133,AD133)</f>
        <v>5.75</v>
      </c>
      <c r="AC133" s="107">
        <v>4.0</v>
      </c>
      <c r="AD133" s="107">
        <v>7.5</v>
      </c>
      <c r="AE133" s="19">
        <f>IFERROR(__xludf.DUMMYFUNCTION("AB133*GoogleFinance(""CURRENCY:GBPUSD"")"),7.16332125)</f>
        <v>7.16332125</v>
      </c>
      <c r="AF133" s="16">
        <f>AE133*52.1775*N133</f>
        <v>4421.630421</v>
      </c>
      <c r="AG133" s="16">
        <f t="shared" si="89"/>
        <v>11554.3998</v>
      </c>
      <c r="AH133" s="16">
        <f>IFERROR(__xludf.DUMMYFUNCTION("AI133*GoogleFinance(""CURRENCY:GBPUSD"")"),976.70328)</f>
        <v>976.70328</v>
      </c>
      <c r="AI133" s="108">
        <f t="shared" si="5"/>
        <v>784</v>
      </c>
      <c r="AJ133" s="107">
        <v>121.0</v>
      </c>
      <c r="AK133" s="107">
        <v>126.0</v>
      </c>
      <c r="AL133" s="107">
        <v>244.0</v>
      </c>
      <c r="AM133" s="107">
        <v>177.0</v>
      </c>
      <c r="AN133" s="107">
        <v>116.0</v>
      </c>
      <c r="AO133" s="107">
        <v>200.0</v>
      </c>
      <c r="AP133" s="9"/>
      <c r="AQ133" s="25" t="s">
        <v>147</v>
      </c>
      <c r="AR133" s="25" t="s">
        <v>148</v>
      </c>
      <c r="AS133" s="9"/>
      <c r="AT133" s="25" t="s">
        <v>148</v>
      </c>
      <c r="AU133" s="106" t="s">
        <v>150</v>
      </c>
      <c r="AV133" s="106" t="s">
        <v>150</v>
      </c>
      <c r="AW133" s="14">
        <f t="shared" si="90"/>
        <v>58.42</v>
      </c>
      <c r="AX133" s="112">
        <f>average(21,25)</f>
        <v>23</v>
      </c>
      <c r="AY133" s="9"/>
      <c r="AZ133" s="106" t="s">
        <v>597</v>
      </c>
      <c r="BA133" s="12"/>
      <c r="BB133" s="12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5" t="s">
        <v>716</v>
      </c>
      <c r="B134" s="61"/>
      <c r="D134" s="61"/>
      <c r="E134" s="25" t="s">
        <v>53</v>
      </c>
      <c r="F134" s="9"/>
      <c r="G134" s="25">
        <v>145.0</v>
      </c>
      <c r="H134" s="9"/>
      <c r="I134" s="106" t="s">
        <v>150</v>
      </c>
      <c r="J134" s="106" t="s">
        <v>150</v>
      </c>
      <c r="K134" s="106" t="s">
        <v>150</v>
      </c>
      <c r="L134" s="106" t="s">
        <v>150</v>
      </c>
      <c r="M134" s="134"/>
      <c r="N134" s="137" t="s">
        <v>150</v>
      </c>
      <c r="O134" s="106" t="s">
        <v>182</v>
      </c>
      <c r="P134" s="9"/>
      <c r="Q134" s="25" t="s">
        <v>145</v>
      </c>
      <c r="R134" s="25">
        <v>0.0</v>
      </c>
      <c r="S134" s="106" t="s">
        <v>145</v>
      </c>
      <c r="T134" s="9"/>
      <c r="U134" s="25">
        <v>3.0</v>
      </c>
      <c r="V134" s="9"/>
      <c r="W134" s="115" t="s">
        <v>150</v>
      </c>
      <c r="X134" s="115" t="s">
        <v>150</v>
      </c>
      <c r="Y134" s="115" t="s">
        <v>150</v>
      </c>
      <c r="Z134" s="115" t="s">
        <v>150</v>
      </c>
      <c r="AA134" s="115" t="s">
        <v>150</v>
      </c>
      <c r="AB134" s="115" t="s">
        <v>150</v>
      </c>
      <c r="AC134" s="115" t="s">
        <v>150</v>
      </c>
      <c r="AD134" s="115" t="s">
        <v>150</v>
      </c>
      <c r="AE134" s="115" t="s">
        <v>150</v>
      </c>
      <c r="AF134" s="115" t="s">
        <v>150</v>
      </c>
      <c r="AG134" s="115" t="s">
        <v>150</v>
      </c>
      <c r="AH134" s="16">
        <f>IFERROR(__xludf.DUMMYFUNCTION("AI134*GoogleFinance(""CURRENCY:GBPUSD"")"),976.70328)</f>
        <v>976.70328</v>
      </c>
      <c r="AI134" s="108">
        <f t="shared" si="5"/>
        <v>784</v>
      </c>
      <c r="AJ134" s="107">
        <v>121.0</v>
      </c>
      <c r="AK134" s="107">
        <v>126.0</v>
      </c>
      <c r="AL134" s="107">
        <v>244.0</v>
      </c>
      <c r="AM134" s="107">
        <v>177.0</v>
      </c>
      <c r="AN134" s="107">
        <v>116.0</v>
      </c>
      <c r="AO134" s="107">
        <v>200.0</v>
      </c>
      <c r="AP134" s="9"/>
      <c r="AQ134" s="107" t="s">
        <v>182</v>
      </c>
      <c r="AR134" s="107" t="s">
        <v>182</v>
      </c>
      <c r="AS134" s="9"/>
      <c r="AT134" s="25" t="s">
        <v>148</v>
      </c>
      <c r="AU134" s="14">
        <f t="shared" ref="AU134:AU135" si="91">AV134*0.45359237</f>
        <v>22.6796185</v>
      </c>
      <c r="AV134" s="112">
        <f>average(40,60)</f>
        <v>50</v>
      </c>
      <c r="AW134" s="14">
        <f t="shared" si="90"/>
        <v>57.15</v>
      </c>
      <c r="AX134" s="112">
        <f>average(20,25)</f>
        <v>22.5</v>
      </c>
      <c r="AY134" s="9"/>
      <c r="AZ134" s="12"/>
      <c r="BA134" s="12"/>
      <c r="BB134" s="12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5" t="s">
        <v>536</v>
      </c>
      <c r="B135" s="9"/>
      <c r="C135" s="8"/>
      <c r="D135" s="9"/>
      <c r="E135" s="25" t="s">
        <v>27</v>
      </c>
      <c r="F135" s="9"/>
      <c r="G135" s="25">
        <v>115.0</v>
      </c>
      <c r="H135" s="9"/>
      <c r="I135" s="25">
        <v>43.0</v>
      </c>
      <c r="J135" s="25" t="s">
        <v>184</v>
      </c>
      <c r="K135" s="116" t="s">
        <v>185</v>
      </c>
      <c r="L135" s="25" t="s">
        <v>187</v>
      </c>
      <c r="M135" s="9"/>
      <c r="N135" s="41">
        <v>12.42</v>
      </c>
      <c r="O135" s="106">
        <v>145.0</v>
      </c>
      <c r="P135" s="9"/>
      <c r="Q135" s="25" t="s">
        <v>174</v>
      </c>
      <c r="R135" s="25">
        <v>1.0</v>
      </c>
      <c r="S135" s="106" t="s">
        <v>175</v>
      </c>
      <c r="T135" s="9"/>
      <c r="U135" s="25">
        <v>3.0</v>
      </c>
      <c r="V135" s="9"/>
      <c r="W135" s="14">
        <f>X135+AF135+AG135+AO135</f>
        <v>19688.54801</v>
      </c>
      <c r="X135" s="16">
        <f>average(300,500,300,350,50,50,300,500)</f>
        <v>293.75</v>
      </c>
      <c r="Y135" s="107" t="s">
        <v>146</v>
      </c>
      <c r="Z135" s="107">
        <v>50.0</v>
      </c>
      <c r="AA135" s="107">
        <v>500.0</v>
      </c>
      <c r="AB135" s="108">
        <f t="shared" ref="AB135:AB138" si="92">average(AC135,AD135)</f>
        <v>8.75</v>
      </c>
      <c r="AC135" s="107">
        <v>7.5</v>
      </c>
      <c r="AD135" s="107">
        <v>10.0</v>
      </c>
      <c r="AE135" s="19">
        <f>IFERROR(__xludf.DUMMYFUNCTION("AB135*GoogleFinance(""CURRENCY:GBPUSD"")"),10.90070625)</f>
        <v>10.90070625</v>
      </c>
      <c r="AF135" s="16">
        <f t="shared" ref="AF135:AF138" si="93">AE135*52.1775*N135</f>
        <v>7064.143276</v>
      </c>
      <c r="AG135" s="16">
        <f t="shared" ref="AG135:AG140" si="94">AH135*N135</f>
        <v>12130.65474</v>
      </c>
      <c r="AH135" s="16">
        <f>IFERROR(__xludf.DUMMYFUNCTION("AI135*GoogleFinance(""CURRENCY:GBPUSD"")"),976.70328)</f>
        <v>976.70328</v>
      </c>
      <c r="AI135" s="108">
        <f t="shared" si="5"/>
        <v>784</v>
      </c>
      <c r="AJ135" s="107">
        <v>121.0</v>
      </c>
      <c r="AK135" s="107">
        <v>126.0</v>
      </c>
      <c r="AL135" s="107">
        <v>244.0</v>
      </c>
      <c r="AM135" s="107">
        <v>177.0</v>
      </c>
      <c r="AN135" s="107">
        <v>116.0</v>
      </c>
      <c r="AO135" s="107">
        <v>200.0</v>
      </c>
      <c r="AP135" s="9"/>
      <c r="AQ135" s="25" t="s">
        <v>147</v>
      </c>
      <c r="AR135" s="25" t="s">
        <v>165</v>
      </c>
      <c r="AS135" s="9"/>
      <c r="AT135" s="25" t="s">
        <v>166</v>
      </c>
      <c r="AU135" s="14">
        <f t="shared" si="91"/>
        <v>26.98874602</v>
      </c>
      <c r="AV135" s="112">
        <f>average(44,75)</f>
        <v>59.5</v>
      </c>
      <c r="AW135" s="14">
        <f t="shared" si="90"/>
        <v>64.77</v>
      </c>
      <c r="AX135" s="112">
        <f>average(23,28)</f>
        <v>25.5</v>
      </c>
      <c r="AY135" s="9"/>
      <c r="AZ135" s="106" t="s">
        <v>537</v>
      </c>
      <c r="BA135" s="12"/>
      <c r="BB135" s="12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5" t="s">
        <v>718</v>
      </c>
      <c r="B136" s="9"/>
      <c r="C136" s="8"/>
      <c r="D136" s="9"/>
      <c r="E136" s="25" t="s">
        <v>32</v>
      </c>
      <c r="F136" s="9"/>
      <c r="G136" s="25">
        <v>159.0</v>
      </c>
      <c r="H136" s="9"/>
      <c r="I136" s="106" t="s">
        <v>150</v>
      </c>
      <c r="J136" s="106" t="s">
        <v>150</v>
      </c>
      <c r="K136" s="106" t="s">
        <v>150</v>
      </c>
      <c r="L136" s="106" t="s">
        <v>150</v>
      </c>
      <c r="M136" s="9"/>
      <c r="N136" s="41">
        <v>10.8</v>
      </c>
      <c r="O136" s="106">
        <v>30.0</v>
      </c>
      <c r="P136" s="134"/>
      <c r="Q136" s="106" t="s">
        <v>150</v>
      </c>
      <c r="R136" s="106" t="s">
        <v>150</v>
      </c>
      <c r="S136" s="106" t="s">
        <v>150</v>
      </c>
      <c r="T136" s="9"/>
      <c r="U136" s="25">
        <v>4.0</v>
      </c>
      <c r="V136" s="9"/>
      <c r="W136" s="115" t="s">
        <v>150</v>
      </c>
      <c r="X136" s="115" t="s">
        <v>150</v>
      </c>
      <c r="Y136" s="115" t="s">
        <v>150</v>
      </c>
      <c r="Z136" s="115" t="s">
        <v>150</v>
      </c>
      <c r="AA136" s="115" t="s">
        <v>150</v>
      </c>
      <c r="AB136" s="108">
        <f t="shared" si="92"/>
        <v>5.75</v>
      </c>
      <c r="AC136" s="107">
        <v>4.0</v>
      </c>
      <c r="AD136" s="107">
        <v>7.5</v>
      </c>
      <c r="AE136" s="19">
        <f>IFERROR(__xludf.DUMMYFUNCTION("AB136*GoogleFinance(""CURRENCY:GBPUSD"")"),7.16332125)</f>
        <v>7.16332125</v>
      </c>
      <c r="AF136" s="16">
        <f t="shared" si="93"/>
        <v>4036.653301</v>
      </c>
      <c r="AG136" s="16">
        <f t="shared" si="94"/>
        <v>10548.39542</v>
      </c>
      <c r="AH136" s="16">
        <f>IFERROR(__xludf.DUMMYFUNCTION("AI136*GoogleFinance(""CURRENCY:GBPUSD"")"),976.70328)</f>
        <v>976.70328</v>
      </c>
      <c r="AI136" s="108">
        <f t="shared" si="5"/>
        <v>784</v>
      </c>
      <c r="AJ136" s="107">
        <v>121.0</v>
      </c>
      <c r="AK136" s="107">
        <v>126.0</v>
      </c>
      <c r="AL136" s="107">
        <v>244.0</v>
      </c>
      <c r="AM136" s="107">
        <v>177.0</v>
      </c>
      <c r="AN136" s="107">
        <v>116.0</v>
      </c>
      <c r="AO136" s="107">
        <v>200.0</v>
      </c>
      <c r="AP136" s="9"/>
      <c r="AQ136" s="25" t="s">
        <v>147</v>
      </c>
      <c r="AR136" s="25" t="s">
        <v>148</v>
      </c>
      <c r="AS136" s="9"/>
      <c r="AT136" s="25" t="s">
        <v>148</v>
      </c>
      <c r="AU136" s="109" t="s">
        <v>150</v>
      </c>
      <c r="AV136" s="106" t="s">
        <v>150</v>
      </c>
      <c r="AW136" s="14">
        <f t="shared" si="90"/>
        <v>46.99</v>
      </c>
      <c r="AX136" s="112">
        <f>average(17,20)</f>
        <v>18.5</v>
      </c>
      <c r="AY136" s="9"/>
      <c r="AZ136" s="12"/>
      <c r="BA136" s="12"/>
      <c r="BB136" s="12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5" t="s">
        <v>554</v>
      </c>
      <c r="B137" s="9"/>
      <c r="C137" s="8"/>
      <c r="D137" s="9"/>
      <c r="E137" s="25" t="s">
        <v>43</v>
      </c>
      <c r="F137" s="9"/>
      <c r="G137" s="25">
        <v>17.0</v>
      </c>
      <c r="H137" s="9"/>
      <c r="I137" s="25">
        <v>23.0</v>
      </c>
      <c r="J137" s="25" t="s">
        <v>267</v>
      </c>
      <c r="K137" s="116" t="s">
        <v>268</v>
      </c>
      <c r="L137" s="25" t="s">
        <v>269</v>
      </c>
      <c r="M137" s="9"/>
      <c r="N137" s="41">
        <v>9.67</v>
      </c>
      <c r="O137" s="106">
        <v>29.0</v>
      </c>
      <c r="P137" s="9"/>
      <c r="Q137" s="25" t="s">
        <v>271</v>
      </c>
      <c r="R137" s="25">
        <v>1.0</v>
      </c>
      <c r="S137" s="106" t="s">
        <v>549</v>
      </c>
      <c r="T137" s="9"/>
      <c r="U137" s="25">
        <v>6.0</v>
      </c>
      <c r="V137" s="9"/>
      <c r="W137" s="14">
        <f t="shared" ref="W137:W138" si="95">X137+AF137+AG137+AO137</f>
        <v>12829.0162</v>
      </c>
      <c r="X137" s="16">
        <f>average(700,1000,350,750,500,500,200,800,400,1500)</f>
        <v>670</v>
      </c>
      <c r="Y137" s="107" t="s">
        <v>146</v>
      </c>
      <c r="Z137" s="107">
        <v>200.0</v>
      </c>
      <c r="AA137" s="107">
        <v>1500.0</v>
      </c>
      <c r="AB137" s="108">
        <f t="shared" si="92"/>
        <v>4</v>
      </c>
      <c r="AC137" s="107">
        <v>4.0</v>
      </c>
      <c r="AD137" s="107">
        <v>4.0</v>
      </c>
      <c r="AE137" s="19">
        <f>IFERROR(__xludf.DUMMYFUNCTION("AB137*GoogleFinance(""CURRENCY:GBPUSD"")"),4.98318)</f>
        <v>4.98318</v>
      </c>
      <c r="AF137" s="16">
        <f t="shared" si="93"/>
        <v>2514.295486</v>
      </c>
      <c r="AG137" s="16">
        <f t="shared" si="94"/>
        <v>9444.720718</v>
      </c>
      <c r="AH137" s="16">
        <f>IFERROR(__xludf.DUMMYFUNCTION("AI137*GoogleFinance(""CURRENCY:GBPUSD"")"),976.70328)</f>
        <v>976.70328</v>
      </c>
      <c r="AI137" s="108">
        <f t="shared" si="5"/>
        <v>784</v>
      </c>
      <c r="AJ137" s="107">
        <v>121.0</v>
      </c>
      <c r="AK137" s="107">
        <v>126.0</v>
      </c>
      <c r="AL137" s="107">
        <v>244.0</v>
      </c>
      <c r="AM137" s="107">
        <v>177.0</v>
      </c>
      <c r="AN137" s="107">
        <v>116.0</v>
      </c>
      <c r="AO137" s="107">
        <v>200.0</v>
      </c>
      <c r="AP137" s="9"/>
      <c r="AQ137" s="25" t="s">
        <v>147</v>
      </c>
      <c r="AR137" s="25" t="s">
        <v>148</v>
      </c>
      <c r="AS137" s="9"/>
      <c r="AT137" s="25" t="s">
        <v>149</v>
      </c>
      <c r="AU137" s="14">
        <f>AV137*0.45359237</f>
        <v>2.26796185</v>
      </c>
      <c r="AV137" s="112">
        <f>average(4,6)</f>
        <v>5</v>
      </c>
      <c r="AW137" s="106" t="s">
        <v>150</v>
      </c>
      <c r="AX137" s="106" t="s">
        <v>150</v>
      </c>
      <c r="AY137" s="9"/>
      <c r="AZ137" s="12"/>
      <c r="BA137" s="12"/>
      <c r="BB137" s="12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5" t="s">
        <v>33</v>
      </c>
      <c r="B138" s="9"/>
      <c r="C138" s="8"/>
      <c r="D138" s="9"/>
      <c r="E138" s="25" t="s">
        <v>34</v>
      </c>
      <c r="F138" s="9"/>
      <c r="G138" s="25">
        <v>8.0</v>
      </c>
      <c r="H138" s="9"/>
      <c r="I138" s="25">
        <v>2.0</v>
      </c>
      <c r="J138" s="25" t="s">
        <v>250</v>
      </c>
      <c r="K138" s="25" t="s">
        <v>251</v>
      </c>
      <c r="L138" s="25" t="s">
        <v>252</v>
      </c>
      <c r="M138" s="9"/>
      <c r="N138" s="41">
        <v>11.95</v>
      </c>
      <c r="O138" s="106">
        <v>1178.0</v>
      </c>
      <c r="P138" s="9"/>
      <c r="Q138" s="25" t="s">
        <v>503</v>
      </c>
      <c r="R138" s="25">
        <v>2.0</v>
      </c>
      <c r="S138" s="106" t="s">
        <v>504</v>
      </c>
      <c r="T138" s="9"/>
      <c r="U138" s="25">
        <v>3.0</v>
      </c>
      <c r="V138" s="9"/>
      <c r="W138" s="14">
        <f t="shared" si="95"/>
        <v>17238.08632</v>
      </c>
      <c r="X138" s="16">
        <f>average(950,1000,600,1000,500,1500,950,700,1000,800)</f>
        <v>900</v>
      </c>
      <c r="Y138" s="107" t="s">
        <v>160</v>
      </c>
      <c r="Z138" s="107">
        <v>500.0</v>
      </c>
      <c r="AA138" s="107">
        <v>1500.0</v>
      </c>
      <c r="AB138" s="108">
        <f t="shared" si="92"/>
        <v>5.75</v>
      </c>
      <c r="AC138" s="107">
        <v>4.0</v>
      </c>
      <c r="AD138" s="107">
        <v>7.5</v>
      </c>
      <c r="AE138" s="19">
        <f>IFERROR(__xludf.DUMMYFUNCTION("AB138*GoogleFinance(""CURRENCY:GBPUSD"")"),7.16332125)</f>
        <v>7.16332125</v>
      </c>
      <c r="AF138" s="16">
        <f t="shared" si="93"/>
        <v>4466.482125</v>
      </c>
      <c r="AG138" s="16">
        <f t="shared" si="94"/>
        <v>11671.6042</v>
      </c>
      <c r="AH138" s="16">
        <f>IFERROR(__xludf.DUMMYFUNCTION("AI138*GoogleFinance(""CURRENCY:GBPUSD"")"),976.70328)</f>
        <v>976.70328</v>
      </c>
      <c r="AI138" s="108">
        <f t="shared" si="5"/>
        <v>784</v>
      </c>
      <c r="AJ138" s="107">
        <v>121.0</v>
      </c>
      <c r="AK138" s="107">
        <v>126.0</v>
      </c>
      <c r="AL138" s="107">
        <v>244.0</v>
      </c>
      <c r="AM138" s="107">
        <v>177.0</v>
      </c>
      <c r="AN138" s="107">
        <v>116.0</v>
      </c>
      <c r="AO138" s="107">
        <v>200.0</v>
      </c>
      <c r="AP138" s="9"/>
      <c r="AQ138" s="25" t="s">
        <v>147</v>
      </c>
      <c r="AR138" s="25" t="s">
        <v>148</v>
      </c>
      <c r="AS138" s="9"/>
      <c r="AT138" s="25" t="s">
        <v>148</v>
      </c>
      <c r="AU138" s="106" t="s">
        <v>150</v>
      </c>
      <c r="AV138" s="106" t="s">
        <v>150</v>
      </c>
      <c r="AW138" s="14">
        <f t="shared" ref="AW138:AW149" si="96">AX138*2.54</f>
        <v>40.64</v>
      </c>
      <c r="AX138" s="106">
        <v>16.0</v>
      </c>
      <c r="AY138" s="9"/>
      <c r="AZ138" s="106" t="s">
        <v>502</v>
      </c>
      <c r="BA138" s="12"/>
      <c r="BB138" s="12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5" t="s">
        <v>721</v>
      </c>
      <c r="B139" s="9"/>
      <c r="C139" s="8"/>
      <c r="D139" s="9"/>
      <c r="E139" s="25" t="s">
        <v>38</v>
      </c>
      <c r="F139" s="9"/>
      <c r="G139" s="25">
        <v>56.0</v>
      </c>
      <c r="H139" s="9"/>
      <c r="I139" s="106" t="s">
        <v>150</v>
      </c>
      <c r="J139" s="106" t="s">
        <v>150</v>
      </c>
      <c r="K139" s="106" t="s">
        <v>150</v>
      </c>
      <c r="L139" s="106" t="s">
        <v>150</v>
      </c>
      <c r="M139" s="9"/>
      <c r="N139" s="41">
        <v>11.42</v>
      </c>
      <c r="O139" s="106">
        <v>6.0</v>
      </c>
      <c r="P139" s="9"/>
      <c r="Q139" s="25" t="s">
        <v>145</v>
      </c>
      <c r="R139" s="25">
        <v>0.0</v>
      </c>
      <c r="S139" s="106" t="s">
        <v>145</v>
      </c>
      <c r="T139" s="9"/>
      <c r="U139" s="25">
        <v>4.0</v>
      </c>
      <c r="V139" s="9"/>
      <c r="W139" s="115" t="s">
        <v>150</v>
      </c>
      <c r="X139" s="115" t="s">
        <v>150</v>
      </c>
      <c r="Y139" s="115" t="s">
        <v>150</v>
      </c>
      <c r="Z139" s="115" t="s">
        <v>150</v>
      </c>
      <c r="AA139" s="115" t="s">
        <v>150</v>
      </c>
      <c r="AB139" s="115" t="s">
        <v>150</v>
      </c>
      <c r="AC139" s="115" t="s">
        <v>150</v>
      </c>
      <c r="AD139" s="115" t="s">
        <v>150</v>
      </c>
      <c r="AE139" s="115" t="s">
        <v>150</v>
      </c>
      <c r="AF139" s="115" t="s">
        <v>150</v>
      </c>
      <c r="AG139" s="16">
        <f t="shared" si="94"/>
        <v>11153.95146</v>
      </c>
      <c r="AH139" s="16">
        <f>IFERROR(__xludf.DUMMYFUNCTION("AI139*GoogleFinance(""CURRENCY:GBPUSD"")"),976.70328)</f>
        <v>976.70328</v>
      </c>
      <c r="AI139" s="108">
        <f t="shared" si="5"/>
        <v>784</v>
      </c>
      <c r="AJ139" s="107">
        <v>121.0</v>
      </c>
      <c r="AK139" s="107">
        <v>126.0</v>
      </c>
      <c r="AL139" s="107">
        <v>244.0</v>
      </c>
      <c r="AM139" s="107">
        <v>177.0</v>
      </c>
      <c r="AN139" s="107">
        <v>116.0</v>
      </c>
      <c r="AO139" s="107">
        <v>200.0</v>
      </c>
      <c r="AP139" s="9"/>
      <c r="AQ139" s="107" t="s">
        <v>182</v>
      </c>
      <c r="AR139" s="107" t="s">
        <v>182</v>
      </c>
      <c r="AS139" s="9"/>
      <c r="AT139" s="25" t="s">
        <v>148</v>
      </c>
      <c r="AU139" s="14">
        <f>AV139*0.45359237</f>
        <v>21.54563758</v>
      </c>
      <c r="AV139" s="112">
        <f>average(35,60)</f>
        <v>47.5</v>
      </c>
      <c r="AW139" s="14">
        <f t="shared" si="96"/>
        <v>50.8</v>
      </c>
      <c r="AX139" s="112">
        <f>average(17,23)</f>
        <v>20</v>
      </c>
      <c r="AY139" s="9"/>
      <c r="AZ139" s="12"/>
      <c r="BA139" s="12"/>
      <c r="BB139" s="12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5" t="s">
        <v>626</v>
      </c>
      <c r="B140" s="9"/>
      <c r="C140" s="8"/>
      <c r="D140" s="9"/>
      <c r="E140" s="25" t="s">
        <v>43</v>
      </c>
      <c r="F140" s="9"/>
      <c r="G140" s="25">
        <v>26.0</v>
      </c>
      <c r="H140" s="9"/>
      <c r="I140" s="25">
        <v>57.0</v>
      </c>
      <c r="J140" s="25" t="s">
        <v>400</v>
      </c>
      <c r="K140" s="25" t="s">
        <v>401</v>
      </c>
      <c r="L140" s="25" t="s">
        <v>402</v>
      </c>
      <c r="M140" s="9"/>
      <c r="N140" s="41">
        <v>11.0</v>
      </c>
      <c r="O140" s="106">
        <v>163.0</v>
      </c>
      <c r="P140" s="9"/>
      <c r="Q140" s="116" t="s">
        <v>403</v>
      </c>
      <c r="R140" s="25">
        <v>1.0</v>
      </c>
      <c r="S140" s="106" t="s">
        <v>404</v>
      </c>
      <c r="T140" s="9"/>
      <c r="U140" s="25" t="s">
        <v>722</v>
      </c>
      <c r="V140" s="9"/>
      <c r="W140" s="115" t="s">
        <v>150</v>
      </c>
      <c r="X140" s="16">
        <f>average(600,400,495,250,300,300,550,500,600,699)</f>
        <v>469.4</v>
      </c>
      <c r="Y140" s="107" t="s">
        <v>146</v>
      </c>
      <c r="Z140" s="107">
        <v>250.0</v>
      </c>
      <c r="AA140" s="107">
        <v>699.0</v>
      </c>
      <c r="AB140" s="115" t="s">
        <v>150</v>
      </c>
      <c r="AC140" s="115" t="s">
        <v>150</v>
      </c>
      <c r="AD140" s="115" t="s">
        <v>150</v>
      </c>
      <c r="AE140" s="115" t="s">
        <v>150</v>
      </c>
      <c r="AF140" s="115" t="s">
        <v>150</v>
      </c>
      <c r="AG140" s="16">
        <f t="shared" si="94"/>
        <v>10743.73608</v>
      </c>
      <c r="AH140" s="16">
        <f>IFERROR(__xludf.DUMMYFUNCTION("AI140*GoogleFinance(""CURRENCY:GBPUSD"")"),976.70328)</f>
        <v>976.70328</v>
      </c>
      <c r="AI140" s="108">
        <f t="shared" si="5"/>
        <v>784</v>
      </c>
      <c r="AJ140" s="107">
        <v>121.0</v>
      </c>
      <c r="AK140" s="107">
        <v>126.0</v>
      </c>
      <c r="AL140" s="107">
        <v>244.0</v>
      </c>
      <c r="AM140" s="107">
        <v>177.0</v>
      </c>
      <c r="AN140" s="107">
        <v>116.0</v>
      </c>
      <c r="AO140" s="107">
        <v>200.0</v>
      </c>
      <c r="AP140" s="9"/>
      <c r="AQ140" s="107" t="s">
        <v>182</v>
      </c>
      <c r="AR140" s="107" t="s">
        <v>182</v>
      </c>
      <c r="AS140" s="9"/>
      <c r="AT140" s="25" t="s">
        <v>148</v>
      </c>
      <c r="AU140" s="106" t="s">
        <v>150</v>
      </c>
      <c r="AV140" s="106" t="s">
        <v>150</v>
      </c>
      <c r="AW140" s="14">
        <f t="shared" si="96"/>
        <v>40.64</v>
      </c>
      <c r="AX140" s="112">
        <f>average(14,18)</f>
        <v>16</v>
      </c>
      <c r="AY140" s="9"/>
      <c r="AZ140" s="12"/>
      <c r="BA140" s="12"/>
      <c r="BB140" s="12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5" t="s">
        <v>724</v>
      </c>
      <c r="B141" s="9"/>
      <c r="C141" s="8"/>
      <c r="D141" s="9"/>
      <c r="E141" s="25" t="s">
        <v>32</v>
      </c>
      <c r="F141" s="9"/>
      <c r="G141" s="25">
        <v>156.0</v>
      </c>
      <c r="H141" s="9"/>
      <c r="I141" s="25">
        <v>27.0</v>
      </c>
      <c r="J141" s="25" t="s">
        <v>142</v>
      </c>
      <c r="K141" s="25" t="s">
        <v>143</v>
      </c>
      <c r="L141" s="25" t="s">
        <v>144</v>
      </c>
      <c r="M141" s="9"/>
      <c r="N141" s="137" t="s">
        <v>150</v>
      </c>
      <c r="O141" s="106" t="s">
        <v>182</v>
      </c>
      <c r="P141" s="9"/>
      <c r="Q141" s="25" t="s">
        <v>145</v>
      </c>
      <c r="R141" s="25">
        <v>0.0</v>
      </c>
      <c r="S141" s="106" t="s">
        <v>145</v>
      </c>
      <c r="T141" s="9"/>
      <c r="U141" s="25">
        <v>5.0</v>
      </c>
      <c r="V141" s="9"/>
      <c r="W141" s="115" t="s">
        <v>150</v>
      </c>
      <c r="X141" s="16">
        <f>average(700,1000,1000,800,800,1000,1000,1000)</f>
        <v>912.5</v>
      </c>
      <c r="Y141" s="107" t="s">
        <v>160</v>
      </c>
      <c r="Z141" s="107">
        <v>700.0</v>
      </c>
      <c r="AA141" s="107">
        <v>1000.0</v>
      </c>
      <c r="AB141" s="115" t="s">
        <v>150</v>
      </c>
      <c r="AC141" s="115" t="s">
        <v>150</v>
      </c>
      <c r="AD141" s="115" t="s">
        <v>150</v>
      </c>
      <c r="AE141" s="115" t="s">
        <v>150</v>
      </c>
      <c r="AF141" s="115" t="s">
        <v>150</v>
      </c>
      <c r="AG141" s="115" t="s">
        <v>150</v>
      </c>
      <c r="AH141" s="16">
        <f>IFERROR(__xludf.DUMMYFUNCTION("AI141*GoogleFinance(""CURRENCY:GBPUSD"")"),976.70328)</f>
        <v>976.70328</v>
      </c>
      <c r="AI141" s="108">
        <f t="shared" si="5"/>
        <v>784</v>
      </c>
      <c r="AJ141" s="107">
        <v>121.0</v>
      </c>
      <c r="AK141" s="107">
        <v>126.0</v>
      </c>
      <c r="AL141" s="107">
        <v>244.0</v>
      </c>
      <c r="AM141" s="107">
        <v>177.0</v>
      </c>
      <c r="AN141" s="107">
        <v>116.0</v>
      </c>
      <c r="AO141" s="107">
        <v>200.0</v>
      </c>
      <c r="AP141" s="9"/>
      <c r="AQ141" s="107" t="s">
        <v>182</v>
      </c>
      <c r="AR141" s="107" t="s">
        <v>182</v>
      </c>
      <c r="AS141" s="9"/>
      <c r="AT141" s="25" t="s">
        <v>148</v>
      </c>
      <c r="AU141" s="106" t="s">
        <v>150</v>
      </c>
      <c r="AV141" s="106" t="s">
        <v>150</v>
      </c>
      <c r="AW141" s="14">
        <f t="shared" si="96"/>
        <v>41.91</v>
      </c>
      <c r="AX141" s="112">
        <f>average(16,17)</f>
        <v>16.5</v>
      </c>
      <c r="AY141" s="9"/>
      <c r="AZ141" s="12"/>
      <c r="BA141" s="12"/>
      <c r="BB141" s="12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5" t="s">
        <v>727</v>
      </c>
      <c r="B142" s="9"/>
      <c r="C142" s="8"/>
      <c r="D142" s="9"/>
      <c r="E142" s="25" t="s">
        <v>32</v>
      </c>
      <c r="F142" s="9"/>
      <c r="G142" s="25">
        <v>162.0</v>
      </c>
      <c r="H142" s="9"/>
      <c r="I142" s="106" t="s">
        <v>150</v>
      </c>
      <c r="J142" s="106" t="s">
        <v>150</v>
      </c>
      <c r="K142" s="106" t="s">
        <v>150</v>
      </c>
      <c r="L142" s="106" t="s">
        <v>150</v>
      </c>
      <c r="M142" s="134"/>
      <c r="N142" s="137" t="s">
        <v>150</v>
      </c>
      <c r="O142" s="106" t="s">
        <v>182</v>
      </c>
      <c r="P142" s="134"/>
      <c r="Q142" s="106" t="s">
        <v>150</v>
      </c>
      <c r="R142" s="106" t="s">
        <v>150</v>
      </c>
      <c r="S142" s="106" t="s">
        <v>150</v>
      </c>
      <c r="T142" s="9"/>
      <c r="U142" s="25">
        <v>3.0</v>
      </c>
      <c r="V142" s="9"/>
      <c r="W142" s="115" t="s">
        <v>150</v>
      </c>
      <c r="X142" s="115" t="s">
        <v>150</v>
      </c>
      <c r="Y142" s="115" t="s">
        <v>150</v>
      </c>
      <c r="Z142" s="115" t="s">
        <v>150</v>
      </c>
      <c r="AA142" s="115" t="s">
        <v>150</v>
      </c>
      <c r="AB142" s="115" t="s">
        <v>150</v>
      </c>
      <c r="AC142" s="115" t="s">
        <v>150</v>
      </c>
      <c r="AD142" s="115" t="s">
        <v>150</v>
      </c>
      <c r="AE142" s="115" t="s">
        <v>150</v>
      </c>
      <c r="AF142" s="115" t="s">
        <v>150</v>
      </c>
      <c r="AG142" s="115" t="s">
        <v>150</v>
      </c>
      <c r="AH142" s="16">
        <f>IFERROR(__xludf.DUMMYFUNCTION("AI142*GoogleFinance(""CURRENCY:GBPUSD"")"),976.70328)</f>
        <v>976.70328</v>
      </c>
      <c r="AI142" s="108">
        <f t="shared" si="5"/>
        <v>784</v>
      </c>
      <c r="AJ142" s="107">
        <v>121.0</v>
      </c>
      <c r="AK142" s="107">
        <v>126.0</v>
      </c>
      <c r="AL142" s="107">
        <v>244.0</v>
      </c>
      <c r="AM142" s="107">
        <v>177.0</v>
      </c>
      <c r="AN142" s="107">
        <v>116.0</v>
      </c>
      <c r="AO142" s="107">
        <v>200.0</v>
      </c>
      <c r="AP142" s="9"/>
      <c r="AQ142" s="107" t="s">
        <v>182</v>
      </c>
      <c r="AR142" s="107" t="s">
        <v>182</v>
      </c>
      <c r="AS142" s="9"/>
      <c r="AT142" s="25" t="s">
        <v>148</v>
      </c>
      <c r="AU142" s="109" t="s">
        <v>150</v>
      </c>
      <c r="AV142" s="106" t="s">
        <v>150</v>
      </c>
      <c r="AW142" s="14">
        <f t="shared" si="96"/>
        <v>45.72</v>
      </c>
      <c r="AX142" s="112">
        <f>average(15,21)</f>
        <v>18</v>
      </c>
      <c r="AY142" s="9"/>
      <c r="AZ142" s="12"/>
      <c r="BA142" s="12"/>
      <c r="BB142" s="12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5" t="s">
        <v>729</v>
      </c>
      <c r="B143" s="9"/>
      <c r="C143" s="8"/>
      <c r="D143" s="9"/>
      <c r="E143" s="25" t="s">
        <v>53</v>
      </c>
      <c r="F143" s="9"/>
      <c r="G143" s="25">
        <v>126.0</v>
      </c>
      <c r="H143" s="9"/>
      <c r="I143" s="106" t="s">
        <v>150</v>
      </c>
      <c r="J143" s="106" t="s">
        <v>150</v>
      </c>
      <c r="K143" s="106" t="s">
        <v>150</v>
      </c>
      <c r="L143" s="106" t="s">
        <v>150</v>
      </c>
      <c r="M143" s="134"/>
      <c r="N143" s="137" t="s">
        <v>150</v>
      </c>
      <c r="O143" s="106" t="s">
        <v>182</v>
      </c>
      <c r="P143" s="9"/>
      <c r="Q143" s="25" t="s">
        <v>145</v>
      </c>
      <c r="R143" s="25">
        <v>0.0</v>
      </c>
      <c r="S143" s="106" t="s">
        <v>145</v>
      </c>
      <c r="T143" s="9"/>
      <c r="U143" s="25">
        <v>3.0</v>
      </c>
      <c r="V143" s="9"/>
      <c r="W143" s="115" t="s">
        <v>150</v>
      </c>
      <c r="X143" s="16">
        <f>average(350,500,400,300,600,350,300,700,350,400)</f>
        <v>425</v>
      </c>
      <c r="Y143" s="107" t="s">
        <v>146</v>
      </c>
      <c r="Z143" s="107">
        <v>300.0</v>
      </c>
      <c r="AA143" s="107">
        <v>700.0</v>
      </c>
      <c r="AB143" s="115" t="s">
        <v>150</v>
      </c>
      <c r="AC143" s="115" t="s">
        <v>150</v>
      </c>
      <c r="AD143" s="115" t="s">
        <v>150</v>
      </c>
      <c r="AE143" s="115" t="s">
        <v>150</v>
      </c>
      <c r="AF143" s="115" t="s">
        <v>150</v>
      </c>
      <c r="AG143" s="115" t="s">
        <v>150</v>
      </c>
      <c r="AH143" s="16">
        <f>IFERROR(__xludf.DUMMYFUNCTION("AI143*GoogleFinance(""CURRENCY:GBPUSD"")"),976.70328)</f>
        <v>976.70328</v>
      </c>
      <c r="AI143" s="108">
        <f t="shared" si="5"/>
        <v>784</v>
      </c>
      <c r="AJ143" s="107">
        <v>121.0</v>
      </c>
      <c r="AK143" s="107">
        <v>126.0</v>
      </c>
      <c r="AL143" s="107">
        <v>244.0</v>
      </c>
      <c r="AM143" s="107">
        <v>177.0</v>
      </c>
      <c r="AN143" s="107">
        <v>116.0</v>
      </c>
      <c r="AO143" s="107">
        <v>200.0</v>
      </c>
      <c r="AP143" s="9"/>
      <c r="AQ143" s="107" t="s">
        <v>182</v>
      </c>
      <c r="AR143" s="107" t="s">
        <v>182</v>
      </c>
      <c r="AS143" s="9"/>
      <c r="AT143" s="25" t="s">
        <v>166</v>
      </c>
      <c r="AU143" s="106" t="s">
        <v>150</v>
      </c>
      <c r="AV143" s="106" t="s">
        <v>150</v>
      </c>
      <c r="AW143" s="14">
        <f t="shared" si="96"/>
        <v>60.96</v>
      </c>
      <c r="AX143" s="112">
        <f>average(21,27)</f>
        <v>24</v>
      </c>
      <c r="AY143" s="9"/>
      <c r="AZ143" s="12"/>
      <c r="BA143" s="12"/>
      <c r="BB143" s="12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5" t="s">
        <v>723</v>
      </c>
      <c r="B144" s="9"/>
      <c r="C144" s="8"/>
      <c r="D144" s="9"/>
      <c r="E144" s="25" t="s">
        <v>53</v>
      </c>
      <c r="F144" s="9"/>
      <c r="G144" s="25">
        <v>44.0</v>
      </c>
      <c r="H144" s="9"/>
      <c r="I144" s="25">
        <v>52.0</v>
      </c>
      <c r="J144" s="25" t="s">
        <v>184</v>
      </c>
      <c r="K144" s="116" t="s">
        <v>185</v>
      </c>
      <c r="L144" s="25" t="s">
        <v>187</v>
      </c>
      <c r="M144" s="9"/>
      <c r="N144" s="41">
        <v>9.1</v>
      </c>
      <c r="O144" s="106">
        <v>10.0</v>
      </c>
      <c r="P144" s="9"/>
      <c r="Q144" s="25" t="s">
        <v>725</v>
      </c>
      <c r="R144" s="25">
        <v>2.0</v>
      </c>
      <c r="S144" s="106" t="s">
        <v>726</v>
      </c>
      <c r="T144" s="9"/>
      <c r="U144" s="25">
        <v>3.0</v>
      </c>
      <c r="V144" s="9"/>
      <c r="W144" s="14">
        <f t="shared" ref="W144:W148" si="97">X144+AF144+AG144+AO144</f>
        <v>13484.25402</v>
      </c>
      <c r="X144" s="16">
        <f>average(750,950,950,850,900,950,1300,900,1200,1200)</f>
        <v>995</v>
      </c>
      <c r="Y144" s="107" t="s">
        <v>160</v>
      </c>
      <c r="Z144" s="107">
        <v>750.0</v>
      </c>
      <c r="AA144" s="107">
        <v>1300.0</v>
      </c>
      <c r="AB144" s="108">
        <f t="shared" ref="AB144:AB148" si="98">average(AC144,AD144)</f>
        <v>5.75</v>
      </c>
      <c r="AC144" s="107">
        <v>4.0</v>
      </c>
      <c r="AD144" s="107">
        <v>7.5</v>
      </c>
      <c r="AE144" s="19">
        <f>IFERROR(__xludf.DUMMYFUNCTION("AB144*GoogleFinance(""CURRENCY:GBPUSD"")"),7.16332125)</f>
        <v>7.16332125</v>
      </c>
      <c r="AF144" s="16">
        <f t="shared" ref="AF144:AF148" si="99">AE144*52.1775*N144</f>
        <v>3401.25417</v>
      </c>
      <c r="AG144" s="16">
        <f t="shared" ref="AG144:AG162" si="100">AH144*N144</f>
        <v>8887.999848</v>
      </c>
      <c r="AH144" s="16">
        <f>IFERROR(__xludf.DUMMYFUNCTION("AI144*GoogleFinance(""CURRENCY:GBPUSD"")"),976.70328)</f>
        <v>976.70328</v>
      </c>
      <c r="AI144" s="108">
        <f t="shared" si="5"/>
        <v>784</v>
      </c>
      <c r="AJ144" s="107">
        <v>121.0</v>
      </c>
      <c r="AK144" s="107">
        <v>126.0</v>
      </c>
      <c r="AL144" s="107">
        <v>244.0</v>
      </c>
      <c r="AM144" s="107">
        <v>177.0</v>
      </c>
      <c r="AN144" s="107">
        <v>116.0</v>
      </c>
      <c r="AO144" s="107">
        <v>200.0</v>
      </c>
      <c r="AP144" s="9"/>
      <c r="AQ144" s="25" t="s">
        <v>147</v>
      </c>
      <c r="AR144" s="25" t="s">
        <v>148</v>
      </c>
      <c r="AS144" s="9"/>
      <c r="AT144" s="25" t="s">
        <v>166</v>
      </c>
      <c r="AU144" s="14">
        <f>AV144*0.45359237</f>
        <v>35.15340868</v>
      </c>
      <c r="AV144" s="112">
        <f>average(70,85)</f>
        <v>77.5</v>
      </c>
      <c r="AW144" s="14">
        <f t="shared" si="96"/>
        <v>64.77</v>
      </c>
      <c r="AX144" s="112">
        <f>average(24,27)</f>
        <v>25.5</v>
      </c>
      <c r="AY144" s="9"/>
      <c r="AZ144" s="12"/>
      <c r="BA144" s="12"/>
      <c r="BB144" s="12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5" t="s">
        <v>705</v>
      </c>
      <c r="B145" s="61"/>
      <c r="D145" s="61"/>
      <c r="E145" s="25" t="s">
        <v>38</v>
      </c>
      <c r="F145" s="9"/>
      <c r="G145" s="25">
        <v>10.0</v>
      </c>
      <c r="H145" s="9"/>
      <c r="I145" s="25">
        <v>9.0</v>
      </c>
      <c r="J145" s="25" t="s">
        <v>250</v>
      </c>
      <c r="K145" s="25" t="s">
        <v>251</v>
      </c>
      <c r="L145" s="25" t="s">
        <v>252</v>
      </c>
      <c r="M145" s="9"/>
      <c r="N145" s="41">
        <v>9.11</v>
      </c>
      <c r="O145" s="106">
        <v>654.0</v>
      </c>
      <c r="P145" s="9"/>
      <c r="Q145" s="25" t="s">
        <v>708</v>
      </c>
      <c r="R145" s="25">
        <v>3.0</v>
      </c>
      <c r="S145" s="106" t="s">
        <v>709</v>
      </c>
      <c r="T145" s="9"/>
      <c r="U145" s="25">
        <v>2.0</v>
      </c>
      <c r="V145" s="9"/>
      <c r="W145" s="14">
        <f t="shared" si="97"/>
        <v>15396.77616</v>
      </c>
      <c r="X145" s="16">
        <f>average(1500,1800,500,1600,700,725,1800,300,1600,650)</f>
        <v>1117.5</v>
      </c>
      <c r="Y145" s="107" t="s">
        <v>160</v>
      </c>
      <c r="Z145" s="107">
        <v>300.0</v>
      </c>
      <c r="AA145" s="107">
        <v>1800.0</v>
      </c>
      <c r="AB145" s="108">
        <f t="shared" si="98"/>
        <v>8.75</v>
      </c>
      <c r="AC145" s="107">
        <v>7.5</v>
      </c>
      <c r="AD145" s="107">
        <v>10.0</v>
      </c>
      <c r="AE145" s="19">
        <f>IFERROR(__xludf.DUMMYFUNCTION("AB145*GoogleFinance(""CURRENCY:GBPUSD"")"),10.90070625)</f>
        <v>10.90070625</v>
      </c>
      <c r="AF145" s="16">
        <f t="shared" si="99"/>
        <v>5181.509279</v>
      </c>
      <c r="AG145" s="16">
        <f t="shared" si="100"/>
        <v>8897.766881</v>
      </c>
      <c r="AH145" s="16">
        <f>IFERROR(__xludf.DUMMYFUNCTION("AI145*GoogleFinance(""CURRENCY:GBPUSD"")"),976.70328)</f>
        <v>976.70328</v>
      </c>
      <c r="AI145" s="108">
        <f t="shared" si="5"/>
        <v>784</v>
      </c>
      <c r="AJ145" s="107">
        <v>121.0</v>
      </c>
      <c r="AK145" s="107">
        <v>126.0</v>
      </c>
      <c r="AL145" s="107">
        <v>244.0</v>
      </c>
      <c r="AM145" s="107">
        <v>177.0</v>
      </c>
      <c r="AN145" s="107">
        <v>116.0</v>
      </c>
      <c r="AO145" s="107">
        <v>200.0</v>
      </c>
      <c r="AP145" s="9"/>
      <c r="AQ145" s="25" t="s">
        <v>147</v>
      </c>
      <c r="AR145" s="25" t="s">
        <v>148</v>
      </c>
      <c r="AS145" s="9"/>
      <c r="AT145" s="25" t="s">
        <v>166</v>
      </c>
      <c r="AU145" s="106" t="s">
        <v>150</v>
      </c>
      <c r="AV145" s="106" t="s">
        <v>150</v>
      </c>
      <c r="AW145" s="14">
        <f t="shared" si="96"/>
        <v>62.23</v>
      </c>
      <c r="AX145" s="112">
        <f>average(22,27)</f>
        <v>24.5</v>
      </c>
      <c r="AY145" s="9"/>
      <c r="AZ145" s="12"/>
      <c r="BA145" s="12"/>
      <c r="BB145" s="12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5" t="s">
        <v>732</v>
      </c>
      <c r="B146" s="61"/>
      <c r="D146" s="61"/>
      <c r="E146" s="25" t="s">
        <v>38</v>
      </c>
      <c r="F146" s="9"/>
      <c r="G146" s="25">
        <v>49.0</v>
      </c>
      <c r="H146" s="9"/>
      <c r="I146" s="25">
        <v>65.0</v>
      </c>
      <c r="J146" s="25" t="s">
        <v>400</v>
      </c>
      <c r="K146" s="25" t="s">
        <v>401</v>
      </c>
      <c r="L146" s="25" t="s">
        <v>402</v>
      </c>
      <c r="M146" s="9"/>
      <c r="N146" s="41">
        <v>7.78</v>
      </c>
      <c r="O146" s="106">
        <v>93.0</v>
      </c>
      <c r="P146" s="9"/>
      <c r="Q146" s="25" t="s">
        <v>733</v>
      </c>
      <c r="R146" s="25">
        <v>3.0</v>
      </c>
      <c r="S146" s="106" t="s">
        <v>734</v>
      </c>
      <c r="T146" s="9"/>
      <c r="U146" s="25">
        <v>4.0</v>
      </c>
      <c r="V146" s="9"/>
      <c r="W146" s="14">
        <f t="shared" si="97"/>
        <v>16259.53961</v>
      </c>
      <c r="X146" s="16">
        <f>average(1500,850,450,450,1200,1200,500,900,500,1200)</f>
        <v>875</v>
      </c>
      <c r="Y146" s="107" t="s">
        <v>160</v>
      </c>
      <c r="Z146" s="107">
        <v>450.0</v>
      </c>
      <c r="AA146" s="107">
        <v>1500.0</v>
      </c>
      <c r="AB146" s="108">
        <f t="shared" si="98"/>
        <v>15</v>
      </c>
      <c r="AC146" s="107">
        <v>15.0</v>
      </c>
      <c r="AD146" s="107">
        <v>15.0</v>
      </c>
      <c r="AE146" s="19">
        <f>IFERROR(__xludf.DUMMYFUNCTION("AB146*GoogleFinance(""CURRENCY:GBPUSD"")"),18.686925)</f>
        <v>18.686925</v>
      </c>
      <c r="AF146" s="16">
        <f t="shared" si="99"/>
        <v>7585.788087</v>
      </c>
      <c r="AG146" s="16">
        <f t="shared" si="100"/>
        <v>7598.751518</v>
      </c>
      <c r="AH146" s="16">
        <f>IFERROR(__xludf.DUMMYFUNCTION("AI146*GoogleFinance(""CURRENCY:GBPUSD"")"),976.70328)</f>
        <v>976.70328</v>
      </c>
      <c r="AI146" s="108">
        <f t="shared" si="5"/>
        <v>784</v>
      </c>
      <c r="AJ146" s="107">
        <v>121.0</v>
      </c>
      <c r="AK146" s="107">
        <v>126.0</v>
      </c>
      <c r="AL146" s="107">
        <v>244.0</v>
      </c>
      <c r="AM146" s="107">
        <v>177.0</v>
      </c>
      <c r="AN146" s="107">
        <v>116.0</v>
      </c>
      <c r="AO146" s="107">
        <v>200.0</v>
      </c>
      <c r="AP146" s="9"/>
      <c r="AQ146" s="107" t="s">
        <v>164</v>
      </c>
      <c r="AR146" s="107" t="s">
        <v>165</v>
      </c>
      <c r="AS146" s="9"/>
      <c r="AT146" s="25" t="s">
        <v>166</v>
      </c>
      <c r="AU146" s="14">
        <f>AV146*0.45359237</f>
        <v>70.30681735</v>
      </c>
      <c r="AV146" s="112">
        <f>average(130,180)</f>
        <v>155</v>
      </c>
      <c r="AW146" s="14">
        <f t="shared" si="96"/>
        <v>67.31</v>
      </c>
      <c r="AX146" s="112">
        <f>average(25.5,27.5)</f>
        <v>26.5</v>
      </c>
      <c r="AY146" s="9"/>
      <c r="AZ146" s="12"/>
      <c r="BA146" s="12"/>
      <c r="BB146" s="12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5" t="s">
        <v>686</v>
      </c>
      <c r="B147" s="9"/>
      <c r="C147" s="8"/>
      <c r="D147" s="9"/>
      <c r="E147" s="25" t="s">
        <v>53</v>
      </c>
      <c r="F147" s="9"/>
      <c r="G147" s="25">
        <v>117.0</v>
      </c>
      <c r="H147" s="9"/>
      <c r="I147" s="25">
        <v>43.0</v>
      </c>
      <c r="J147" s="25" t="s">
        <v>184</v>
      </c>
      <c r="K147" s="116" t="s">
        <v>185</v>
      </c>
      <c r="L147" s="25" t="s">
        <v>187</v>
      </c>
      <c r="M147" s="9"/>
      <c r="N147" s="41">
        <v>12.0</v>
      </c>
      <c r="O147" s="106">
        <v>132.0</v>
      </c>
      <c r="P147" s="9"/>
      <c r="Q147" s="25" t="s">
        <v>145</v>
      </c>
      <c r="R147" s="25">
        <v>0.0</v>
      </c>
      <c r="S147" s="106" t="s">
        <v>145</v>
      </c>
      <c r="T147" s="9"/>
      <c r="U147" s="25">
        <v>2.0</v>
      </c>
      <c r="V147" s="9"/>
      <c r="W147" s="14">
        <f t="shared" si="97"/>
        <v>20270.69856</v>
      </c>
      <c r="X147" s="16">
        <f>average(1000,1500,1800,1800)</f>
        <v>1525</v>
      </c>
      <c r="Y147" s="107" t="s">
        <v>372</v>
      </c>
      <c r="Z147" s="107">
        <v>1000.0</v>
      </c>
      <c r="AA147" s="107">
        <v>1800.0</v>
      </c>
      <c r="AB147" s="108">
        <f t="shared" si="98"/>
        <v>8.75</v>
      </c>
      <c r="AC147" s="107">
        <v>7.5</v>
      </c>
      <c r="AD147" s="107">
        <v>10.0</v>
      </c>
      <c r="AE147" s="19">
        <f>IFERROR(__xludf.DUMMYFUNCTION("AB147*GoogleFinance(""CURRENCY:GBPUSD"")"),10.90070625)</f>
        <v>10.90070625</v>
      </c>
      <c r="AF147" s="16">
        <f t="shared" si="99"/>
        <v>6825.259204</v>
      </c>
      <c r="AG147" s="16">
        <f t="shared" si="100"/>
        <v>11720.43936</v>
      </c>
      <c r="AH147" s="16">
        <f>IFERROR(__xludf.DUMMYFUNCTION("AI147*GoogleFinance(""CURRENCY:GBPUSD"")"),976.70328)</f>
        <v>976.70328</v>
      </c>
      <c r="AI147" s="108">
        <f t="shared" si="5"/>
        <v>784</v>
      </c>
      <c r="AJ147" s="107">
        <v>121.0</v>
      </c>
      <c r="AK147" s="107">
        <v>126.0</v>
      </c>
      <c r="AL147" s="107">
        <v>244.0</v>
      </c>
      <c r="AM147" s="107">
        <v>177.0</v>
      </c>
      <c r="AN147" s="107">
        <v>116.0</v>
      </c>
      <c r="AO147" s="107">
        <v>200.0</v>
      </c>
      <c r="AP147" s="9"/>
      <c r="AQ147" s="25" t="s">
        <v>164</v>
      </c>
      <c r="AR147" s="25" t="s">
        <v>165</v>
      </c>
      <c r="AS147" s="9"/>
      <c r="AT147" s="25" t="s">
        <v>148</v>
      </c>
      <c r="AU147" s="109" t="s">
        <v>150</v>
      </c>
      <c r="AV147" s="106" t="s">
        <v>150</v>
      </c>
      <c r="AW147" s="14">
        <f t="shared" si="96"/>
        <v>58.42</v>
      </c>
      <c r="AX147" s="106">
        <v>23.0</v>
      </c>
      <c r="AY147" s="9"/>
      <c r="AZ147" s="106" t="s">
        <v>687</v>
      </c>
      <c r="BA147" s="12"/>
      <c r="BB147" s="12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5" t="s">
        <v>609</v>
      </c>
      <c r="B148" s="61"/>
      <c r="D148" s="61"/>
      <c r="E148" s="25" t="s">
        <v>38</v>
      </c>
      <c r="F148" s="9"/>
      <c r="G148" s="25">
        <v>69.0</v>
      </c>
      <c r="H148" s="9"/>
      <c r="I148" s="25">
        <v>33.0</v>
      </c>
      <c r="J148" s="25" t="s">
        <v>142</v>
      </c>
      <c r="K148" s="25" t="s">
        <v>143</v>
      </c>
      <c r="L148" s="25" t="s">
        <v>144</v>
      </c>
      <c r="M148" s="9"/>
      <c r="N148" s="41">
        <v>12.44</v>
      </c>
      <c r="O148" s="106">
        <v>232.0</v>
      </c>
      <c r="P148" s="9"/>
      <c r="Q148" s="25" t="s">
        <v>174</v>
      </c>
      <c r="R148" s="25">
        <v>1.0</v>
      </c>
      <c r="S148" s="106" t="s">
        <v>175</v>
      </c>
      <c r="T148" s="9"/>
      <c r="U148" s="25">
        <v>4.0</v>
      </c>
      <c r="V148" s="9"/>
      <c r="W148" s="14">
        <f t="shared" si="97"/>
        <v>20587.70751</v>
      </c>
      <c r="X148" s="16">
        <f>average(1400,1400,1000,1400,1400,800,795,975,1200,1250)</f>
        <v>1162</v>
      </c>
      <c r="Y148" s="107" t="s">
        <v>160</v>
      </c>
      <c r="Z148" s="107">
        <v>795.0</v>
      </c>
      <c r="AA148" s="107">
        <v>1400.0</v>
      </c>
      <c r="AB148" s="108">
        <f t="shared" si="98"/>
        <v>8.75</v>
      </c>
      <c r="AC148" s="107">
        <v>7.5</v>
      </c>
      <c r="AD148" s="107">
        <v>10.0</v>
      </c>
      <c r="AE148" s="19">
        <f>IFERROR(__xludf.DUMMYFUNCTION("AB148*GoogleFinance(""CURRENCY:GBPUSD"")"),10.90070625)</f>
        <v>10.90070625</v>
      </c>
      <c r="AF148" s="16">
        <f t="shared" si="99"/>
        <v>7075.518708</v>
      </c>
      <c r="AG148" s="16">
        <f t="shared" si="100"/>
        <v>12150.1888</v>
      </c>
      <c r="AH148" s="16">
        <f>IFERROR(__xludf.DUMMYFUNCTION("AI148*GoogleFinance(""CURRENCY:GBPUSD"")"),976.70328)</f>
        <v>976.70328</v>
      </c>
      <c r="AI148" s="108">
        <f t="shared" si="5"/>
        <v>784</v>
      </c>
      <c r="AJ148" s="107">
        <v>121.0</v>
      </c>
      <c r="AK148" s="107">
        <v>126.0</v>
      </c>
      <c r="AL148" s="107">
        <v>244.0</v>
      </c>
      <c r="AM148" s="107">
        <v>177.0</v>
      </c>
      <c r="AN148" s="107">
        <v>116.0</v>
      </c>
      <c r="AO148" s="107">
        <v>200.0</v>
      </c>
      <c r="AP148" s="9"/>
      <c r="AQ148" s="25" t="s">
        <v>147</v>
      </c>
      <c r="AR148" s="25" t="s">
        <v>165</v>
      </c>
      <c r="AS148" s="9"/>
      <c r="AT148" s="25" t="s">
        <v>148</v>
      </c>
      <c r="AU148" s="109" t="s">
        <v>150</v>
      </c>
      <c r="AV148" s="106" t="s">
        <v>150</v>
      </c>
      <c r="AW148" s="14">
        <f t="shared" si="96"/>
        <v>53.975</v>
      </c>
      <c r="AX148" s="112">
        <f>average(19,23.5)</f>
        <v>21.25</v>
      </c>
      <c r="AY148" s="9"/>
      <c r="AZ148" s="12"/>
      <c r="BA148" s="12"/>
      <c r="BB148" s="12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5" t="s">
        <v>736</v>
      </c>
      <c r="B149" s="9"/>
      <c r="C149" s="8"/>
      <c r="D149" s="9"/>
      <c r="E149" s="25" t="s">
        <v>34</v>
      </c>
      <c r="F149" s="9"/>
      <c r="G149" s="25">
        <v>105.0</v>
      </c>
      <c r="H149" s="9"/>
      <c r="I149" s="25">
        <v>15.0</v>
      </c>
      <c r="J149" s="25" t="s">
        <v>267</v>
      </c>
      <c r="K149" s="116" t="s">
        <v>268</v>
      </c>
      <c r="L149" s="25" t="s">
        <v>269</v>
      </c>
      <c r="M149" s="9"/>
      <c r="N149" s="41">
        <v>13.0</v>
      </c>
      <c r="O149" s="106">
        <v>36.0</v>
      </c>
      <c r="P149" s="9"/>
      <c r="Q149" s="25" t="s">
        <v>738</v>
      </c>
      <c r="R149" s="25">
        <v>4.0</v>
      </c>
      <c r="S149" s="106" t="s">
        <v>739</v>
      </c>
      <c r="T149" s="9"/>
      <c r="U149" s="25">
        <v>3.0</v>
      </c>
      <c r="V149" s="9"/>
      <c r="W149" s="115" t="s">
        <v>150</v>
      </c>
      <c r="X149" s="16">
        <f>average(800,500,700,975,600,800,700,700,300,500)</f>
        <v>657.5</v>
      </c>
      <c r="Y149" s="107" t="s">
        <v>146</v>
      </c>
      <c r="Z149" s="107">
        <v>300.0</v>
      </c>
      <c r="AA149" s="107">
        <v>975.0</v>
      </c>
      <c r="AB149" s="115" t="s">
        <v>150</v>
      </c>
      <c r="AC149" s="115" t="s">
        <v>150</v>
      </c>
      <c r="AD149" s="115" t="s">
        <v>150</v>
      </c>
      <c r="AE149" s="115" t="s">
        <v>150</v>
      </c>
      <c r="AF149" s="115" t="s">
        <v>150</v>
      </c>
      <c r="AG149" s="16">
        <f t="shared" si="100"/>
        <v>12697.14264</v>
      </c>
      <c r="AH149" s="16">
        <f>IFERROR(__xludf.DUMMYFUNCTION("AI149*GoogleFinance(""CURRENCY:GBPUSD"")"),976.70328)</f>
        <v>976.70328</v>
      </c>
      <c r="AI149" s="108">
        <f t="shared" si="5"/>
        <v>784</v>
      </c>
      <c r="AJ149" s="107">
        <v>121.0</v>
      </c>
      <c r="AK149" s="107">
        <v>126.0</v>
      </c>
      <c r="AL149" s="107">
        <v>244.0</v>
      </c>
      <c r="AM149" s="107">
        <v>177.0</v>
      </c>
      <c r="AN149" s="107">
        <v>116.0</v>
      </c>
      <c r="AO149" s="107">
        <v>200.0</v>
      </c>
      <c r="AP149" s="9"/>
      <c r="AQ149" s="107" t="s">
        <v>182</v>
      </c>
      <c r="AR149" s="107" t="s">
        <v>182</v>
      </c>
      <c r="AS149" s="9"/>
      <c r="AT149" s="25" t="s">
        <v>149</v>
      </c>
      <c r="AU149" s="106" t="s">
        <v>150</v>
      </c>
      <c r="AV149" s="106" t="s">
        <v>150</v>
      </c>
      <c r="AW149" s="14">
        <f t="shared" si="96"/>
        <v>29.21</v>
      </c>
      <c r="AX149" s="112">
        <f>average(10,13)</f>
        <v>11.5</v>
      </c>
      <c r="AY149" s="9"/>
      <c r="AZ149" s="12"/>
      <c r="BA149" s="12"/>
      <c r="BB149" s="12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5" t="s">
        <v>740</v>
      </c>
      <c r="B150" s="9"/>
      <c r="C150" s="8"/>
      <c r="D150" s="9"/>
      <c r="E150" s="25" t="s">
        <v>53</v>
      </c>
      <c r="F150" s="9"/>
      <c r="G150" s="25">
        <v>142.0</v>
      </c>
      <c r="H150" s="9"/>
      <c r="I150" s="25">
        <v>47.0</v>
      </c>
      <c r="J150" s="25" t="s">
        <v>184</v>
      </c>
      <c r="K150" s="116" t="s">
        <v>185</v>
      </c>
      <c r="L150" s="25" t="s">
        <v>187</v>
      </c>
      <c r="M150" s="9"/>
      <c r="N150" s="41">
        <v>8.7</v>
      </c>
      <c r="O150" s="106">
        <v>300.0</v>
      </c>
      <c r="P150" s="9"/>
      <c r="Q150" s="25" t="s">
        <v>741</v>
      </c>
      <c r="R150" s="25">
        <v>2.0</v>
      </c>
      <c r="S150" s="106" t="s">
        <v>742</v>
      </c>
      <c r="T150" s="9"/>
      <c r="U150" s="25">
        <v>2.0</v>
      </c>
      <c r="V150" s="9"/>
      <c r="W150" s="115" t="s">
        <v>150</v>
      </c>
      <c r="X150" s="115" t="s">
        <v>150</v>
      </c>
      <c r="Y150" s="115" t="s">
        <v>150</v>
      </c>
      <c r="Z150" s="115" t="s">
        <v>150</v>
      </c>
      <c r="AA150" s="115" t="s">
        <v>150</v>
      </c>
      <c r="AB150" s="115" t="s">
        <v>150</v>
      </c>
      <c r="AC150" s="115" t="s">
        <v>150</v>
      </c>
      <c r="AD150" s="115" t="s">
        <v>150</v>
      </c>
      <c r="AE150" s="115" t="s">
        <v>150</v>
      </c>
      <c r="AF150" s="115" t="s">
        <v>150</v>
      </c>
      <c r="AG150" s="16">
        <f t="shared" si="100"/>
        <v>8497.318536</v>
      </c>
      <c r="AH150" s="16">
        <f>IFERROR(__xludf.DUMMYFUNCTION("AI150*GoogleFinance(""CURRENCY:GBPUSD"")"),976.70328)</f>
        <v>976.70328</v>
      </c>
      <c r="AI150" s="108">
        <f t="shared" si="5"/>
        <v>784</v>
      </c>
      <c r="AJ150" s="107">
        <v>121.0</v>
      </c>
      <c r="AK150" s="107">
        <v>126.0</v>
      </c>
      <c r="AL150" s="107">
        <v>244.0</v>
      </c>
      <c r="AM150" s="107">
        <v>177.0</v>
      </c>
      <c r="AN150" s="107">
        <v>116.0</v>
      </c>
      <c r="AO150" s="107">
        <v>200.0</v>
      </c>
      <c r="AP150" s="9"/>
      <c r="AQ150" s="107" t="s">
        <v>182</v>
      </c>
      <c r="AR150" s="107" t="s">
        <v>182</v>
      </c>
      <c r="AS150" s="9"/>
      <c r="AT150" s="25" t="s">
        <v>166</v>
      </c>
      <c r="AU150" s="14">
        <f t="shared" ref="AU150:AU152" si="101">AV150*0.45359237</f>
        <v>41.95729423</v>
      </c>
      <c r="AV150" s="112">
        <f>average(75,110)</f>
        <v>92.5</v>
      </c>
      <c r="AW150" s="106" t="s">
        <v>150</v>
      </c>
      <c r="AX150" s="106" t="s">
        <v>150</v>
      </c>
      <c r="AY150" s="9"/>
      <c r="AZ150" s="12"/>
      <c r="BA150" s="12"/>
      <c r="BB150" s="12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5" t="s">
        <v>700</v>
      </c>
      <c r="B151" s="9"/>
      <c r="C151" s="8"/>
      <c r="D151" s="9"/>
      <c r="E151" s="25" t="s">
        <v>23</v>
      </c>
      <c r="F151" s="9"/>
      <c r="G151" s="25">
        <v>54.0</v>
      </c>
      <c r="H151" s="9"/>
      <c r="I151" s="25">
        <v>65.0</v>
      </c>
      <c r="J151" s="25" t="s">
        <v>400</v>
      </c>
      <c r="K151" s="25" t="s">
        <v>401</v>
      </c>
      <c r="L151" s="25" t="s">
        <v>402</v>
      </c>
      <c r="M151" s="9"/>
      <c r="N151" s="41">
        <v>10.69</v>
      </c>
      <c r="O151" s="106">
        <v>342.0</v>
      </c>
      <c r="P151" s="9"/>
      <c r="Q151" s="25" t="s">
        <v>702</v>
      </c>
      <c r="R151" s="25">
        <v>1.0</v>
      </c>
      <c r="S151" s="106" t="s">
        <v>703</v>
      </c>
      <c r="T151" s="9"/>
      <c r="U151" s="25">
        <v>4.0</v>
      </c>
      <c r="V151" s="9"/>
      <c r="W151" s="14">
        <f>X151+AF151+AG151+AO151</f>
        <v>14249.46362</v>
      </c>
      <c r="X151" s="16">
        <f>average(500,600,800,400,800,2200,800,400,990,800)</f>
        <v>829</v>
      </c>
      <c r="Y151" s="107" t="s">
        <v>160</v>
      </c>
      <c r="Z151" s="107">
        <v>400.0</v>
      </c>
      <c r="AA151" s="107">
        <v>2200.0</v>
      </c>
      <c r="AB151" s="108">
        <f>average(AC151,AD151)</f>
        <v>4</v>
      </c>
      <c r="AC151" s="107">
        <v>4.0</v>
      </c>
      <c r="AD151" s="107">
        <v>4.0</v>
      </c>
      <c r="AE151" s="19">
        <f>IFERROR(__xludf.DUMMYFUNCTION("AB151*GoogleFinance(""CURRENCY:GBPUSD"")"),4.98318)</f>
        <v>4.98318</v>
      </c>
      <c r="AF151" s="16">
        <f>AE151*52.1775*N151</f>
        <v>2779.505558</v>
      </c>
      <c r="AG151" s="16">
        <f t="shared" si="100"/>
        <v>10440.95806</v>
      </c>
      <c r="AH151" s="16">
        <f>IFERROR(__xludf.DUMMYFUNCTION("AI151*GoogleFinance(""CURRENCY:GBPUSD"")"),976.70328)</f>
        <v>976.70328</v>
      </c>
      <c r="AI151" s="108">
        <f t="shared" si="5"/>
        <v>784</v>
      </c>
      <c r="AJ151" s="107">
        <v>121.0</v>
      </c>
      <c r="AK151" s="107">
        <v>126.0</v>
      </c>
      <c r="AL151" s="107">
        <v>244.0</v>
      </c>
      <c r="AM151" s="107">
        <v>177.0</v>
      </c>
      <c r="AN151" s="107">
        <v>116.0</v>
      </c>
      <c r="AO151" s="107">
        <v>200.0</v>
      </c>
      <c r="AP151" s="9"/>
      <c r="AQ151" s="25" t="s">
        <v>164</v>
      </c>
      <c r="AR151" s="25" t="s">
        <v>148</v>
      </c>
      <c r="AS151" s="9"/>
      <c r="AT151" s="25" t="s">
        <v>149</v>
      </c>
      <c r="AU151" s="14">
        <f t="shared" si="101"/>
        <v>9.0718474</v>
      </c>
      <c r="AV151" s="112">
        <f>average(18,22)</f>
        <v>20</v>
      </c>
      <c r="AW151" s="14">
        <f t="shared" ref="AW151:AW178" si="102">AX151*2.54</f>
        <v>25.4</v>
      </c>
      <c r="AX151" s="112">
        <f>average(10)</f>
        <v>10</v>
      </c>
      <c r="AY151" s="9"/>
      <c r="AZ151" s="12"/>
      <c r="BA151" s="12"/>
      <c r="BB151" s="12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5" t="s">
        <v>744</v>
      </c>
      <c r="B152" s="9"/>
      <c r="C152" s="8"/>
      <c r="D152" s="9"/>
      <c r="E152" s="25" t="s">
        <v>23</v>
      </c>
      <c r="F152" s="9"/>
      <c r="G152" s="25">
        <v>163.0</v>
      </c>
      <c r="H152" s="9"/>
      <c r="I152" s="25">
        <v>56.0</v>
      </c>
      <c r="J152" s="25" t="s">
        <v>400</v>
      </c>
      <c r="K152" s="25" t="s">
        <v>401</v>
      </c>
      <c r="L152" s="25" t="s">
        <v>402</v>
      </c>
      <c r="M152" s="9"/>
      <c r="N152" s="41">
        <v>12.25</v>
      </c>
      <c r="O152" s="106">
        <v>12.0</v>
      </c>
      <c r="P152" s="9"/>
      <c r="Q152" s="25" t="s">
        <v>580</v>
      </c>
      <c r="R152" s="25">
        <v>1.0</v>
      </c>
      <c r="S152" s="106" t="s">
        <v>745</v>
      </c>
      <c r="T152" s="9"/>
      <c r="U152" s="25">
        <v>4.0</v>
      </c>
      <c r="V152" s="9"/>
      <c r="W152" s="115" t="s">
        <v>150</v>
      </c>
      <c r="X152" s="115" t="s">
        <v>150</v>
      </c>
      <c r="Y152" s="115" t="s">
        <v>150</v>
      </c>
      <c r="Z152" s="115" t="s">
        <v>150</v>
      </c>
      <c r="AA152" s="115" t="s">
        <v>150</v>
      </c>
      <c r="AB152" s="115" t="s">
        <v>150</v>
      </c>
      <c r="AC152" s="115" t="s">
        <v>150</v>
      </c>
      <c r="AD152" s="115" t="s">
        <v>150</v>
      </c>
      <c r="AE152" s="115" t="s">
        <v>150</v>
      </c>
      <c r="AF152" s="115" t="s">
        <v>150</v>
      </c>
      <c r="AG152" s="16">
        <f t="shared" si="100"/>
        <v>11964.61518</v>
      </c>
      <c r="AH152" s="16">
        <f>IFERROR(__xludf.DUMMYFUNCTION("AI152*GoogleFinance(""CURRENCY:GBPUSD"")"),976.70328)</f>
        <v>976.70328</v>
      </c>
      <c r="AI152" s="108">
        <f t="shared" si="5"/>
        <v>784</v>
      </c>
      <c r="AJ152" s="107">
        <v>121.0</v>
      </c>
      <c r="AK152" s="107">
        <v>126.0</v>
      </c>
      <c r="AL152" s="107">
        <v>244.0</v>
      </c>
      <c r="AM152" s="107">
        <v>177.0</v>
      </c>
      <c r="AN152" s="107">
        <v>116.0</v>
      </c>
      <c r="AO152" s="107">
        <v>200.0</v>
      </c>
      <c r="AP152" s="9"/>
      <c r="AQ152" s="107" t="s">
        <v>182</v>
      </c>
      <c r="AR152" s="107" t="s">
        <v>182</v>
      </c>
      <c r="AS152" s="9"/>
      <c r="AT152" s="25" t="s">
        <v>149</v>
      </c>
      <c r="AU152" s="14">
        <f t="shared" si="101"/>
        <v>10.88621688</v>
      </c>
      <c r="AV152" s="106">
        <v>24.0</v>
      </c>
      <c r="AW152" s="14">
        <f t="shared" si="102"/>
        <v>26.67</v>
      </c>
      <c r="AX152" s="106">
        <v>10.5</v>
      </c>
      <c r="AY152" s="9"/>
      <c r="AZ152" s="12"/>
      <c r="BA152" s="12"/>
      <c r="BB152" s="12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5" t="s">
        <v>375</v>
      </c>
      <c r="B153" s="9"/>
      <c r="C153" s="8"/>
      <c r="D153" s="9"/>
      <c r="E153" s="25" t="s">
        <v>32</v>
      </c>
      <c r="F153" s="9"/>
      <c r="G153" s="25">
        <v>20.0</v>
      </c>
      <c r="H153" s="9"/>
      <c r="I153" s="25">
        <v>6.0</v>
      </c>
      <c r="J153" s="25" t="s">
        <v>250</v>
      </c>
      <c r="K153" s="25" t="s">
        <v>251</v>
      </c>
      <c r="L153" s="25" t="s">
        <v>252</v>
      </c>
      <c r="M153" s="9"/>
      <c r="N153" s="41">
        <v>12.53</v>
      </c>
      <c r="O153" s="106">
        <v>439.0</v>
      </c>
      <c r="P153" s="9"/>
      <c r="Q153" s="25" t="s">
        <v>377</v>
      </c>
      <c r="R153" s="25">
        <v>5.0</v>
      </c>
      <c r="S153" s="106" t="s">
        <v>378</v>
      </c>
      <c r="T153" s="9"/>
      <c r="U153" s="25">
        <v>4.0</v>
      </c>
      <c r="V153" s="9"/>
      <c r="W153" s="115" t="s">
        <v>150</v>
      </c>
      <c r="X153" s="16">
        <f>average(650,1000,150,300,600,500,200,500,250,500)</f>
        <v>465</v>
      </c>
      <c r="Y153" s="107" t="s">
        <v>146</v>
      </c>
      <c r="Z153" s="107">
        <v>150.0</v>
      </c>
      <c r="AA153" s="107">
        <v>1000.0</v>
      </c>
      <c r="AB153" s="115" t="s">
        <v>150</v>
      </c>
      <c r="AC153" s="115" t="s">
        <v>150</v>
      </c>
      <c r="AD153" s="115" t="s">
        <v>150</v>
      </c>
      <c r="AE153" s="115" t="s">
        <v>150</v>
      </c>
      <c r="AF153" s="115" t="s">
        <v>150</v>
      </c>
      <c r="AG153" s="16">
        <f t="shared" si="100"/>
        <v>12238.0921</v>
      </c>
      <c r="AH153" s="16">
        <f>IFERROR(__xludf.DUMMYFUNCTION("AI153*GoogleFinance(""CURRENCY:GBPUSD"")"),976.70328)</f>
        <v>976.70328</v>
      </c>
      <c r="AI153" s="108">
        <f t="shared" si="5"/>
        <v>784</v>
      </c>
      <c r="AJ153" s="107">
        <v>121.0</v>
      </c>
      <c r="AK153" s="107">
        <v>126.0</v>
      </c>
      <c r="AL153" s="107">
        <v>244.0</v>
      </c>
      <c r="AM153" s="107">
        <v>177.0</v>
      </c>
      <c r="AN153" s="107">
        <v>116.0</v>
      </c>
      <c r="AO153" s="107">
        <v>200.0</v>
      </c>
      <c r="AP153" s="9"/>
      <c r="AQ153" s="107" t="s">
        <v>182</v>
      </c>
      <c r="AR153" s="107" t="s">
        <v>182</v>
      </c>
      <c r="AS153" s="9"/>
      <c r="AT153" s="25" t="s">
        <v>149</v>
      </c>
      <c r="AU153" s="106" t="s">
        <v>150</v>
      </c>
      <c r="AV153" s="106" t="s">
        <v>150</v>
      </c>
      <c r="AW153" s="14">
        <f t="shared" si="102"/>
        <v>36.83</v>
      </c>
      <c r="AX153" s="112">
        <f>average(13,16)</f>
        <v>14.5</v>
      </c>
      <c r="AY153" s="9"/>
      <c r="AZ153" s="12"/>
      <c r="BA153" s="12"/>
      <c r="BB153" s="12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5" t="s">
        <v>746</v>
      </c>
      <c r="B154" s="9"/>
      <c r="C154" s="8"/>
      <c r="D154" s="9"/>
      <c r="E154" s="25" t="s">
        <v>34</v>
      </c>
      <c r="F154" s="9"/>
      <c r="G154" s="25">
        <v>53.0</v>
      </c>
      <c r="H154" s="9"/>
      <c r="I154" s="106" t="s">
        <v>150</v>
      </c>
      <c r="J154" s="106" t="s">
        <v>150</v>
      </c>
      <c r="K154" s="106" t="s">
        <v>150</v>
      </c>
      <c r="L154" s="106" t="s">
        <v>150</v>
      </c>
      <c r="M154" s="9"/>
      <c r="N154" s="41">
        <v>7.0</v>
      </c>
      <c r="O154" s="106">
        <v>3.0</v>
      </c>
      <c r="P154" s="9"/>
      <c r="Q154" s="25" t="s">
        <v>174</v>
      </c>
      <c r="R154" s="25">
        <v>1.0</v>
      </c>
      <c r="S154" s="106" t="s">
        <v>175</v>
      </c>
      <c r="T154" s="9"/>
      <c r="U154" s="25">
        <v>3.0</v>
      </c>
      <c r="V154" s="9"/>
      <c r="W154" s="115" t="s">
        <v>150</v>
      </c>
      <c r="X154" s="16">
        <f>average(1200,950,750,850,1400,650,800,850,800,650)</f>
        <v>890</v>
      </c>
      <c r="Y154" s="107" t="s">
        <v>160</v>
      </c>
      <c r="Z154" s="107">
        <v>650.0</v>
      </c>
      <c r="AA154" s="107">
        <v>1400.0</v>
      </c>
      <c r="AB154" s="115" t="s">
        <v>150</v>
      </c>
      <c r="AC154" s="115" t="s">
        <v>150</v>
      </c>
      <c r="AD154" s="115" t="s">
        <v>150</v>
      </c>
      <c r="AE154" s="115" t="s">
        <v>150</v>
      </c>
      <c r="AF154" s="115" t="s">
        <v>150</v>
      </c>
      <c r="AG154" s="16">
        <f t="shared" si="100"/>
        <v>6836.92296</v>
      </c>
      <c r="AH154" s="16">
        <f>IFERROR(__xludf.DUMMYFUNCTION("AI154*GoogleFinance(""CURRENCY:GBPUSD"")"),976.70328)</f>
        <v>976.70328</v>
      </c>
      <c r="AI154" s="108">
        <f t="shared" si="5"/>
        <v>784</v>
      </c>
      <c r="AJ154" s="107">
        <v>121.0</v>
      </c>
      <c r="AK154" s="107">
        <v>126.0</v>
      </c>
      <c r="AL154" s="107">
        <v>244.0</v>
      </c>
      <c r="AM154" s="107">
        <v>177.0</v>
      </c>
      <c r="AN154" s="107">
        <v>116.0</v>
      </c>
      <c r="AO154" s="107">
        <v>200.0</v>
      </c>
      <c r="AP154" s="9"/>
      <c r="AQ154" s="107" t="s">
        <v>182</v>
      </c>
      <c r="AR154" s="107" t="s">
        <v>182</v>
      </c>
      <c r="AS154" s="9"/>
      <c r="AT154" s="25" t="s">
        <v>149</v>
      </c>
      <c r="AU154" s="14">
        <f t="shared" ref="AU154:AU160" si="103">AV154*0.45359237</f>
        <v>9.0718474</v>
      </c>
      <c r="AV154" s="112">
        <f>average(17,23)</f>
        <v>20</v>
      </c>
      <c r="AW154" s="14">
        <f t="shared" si="102"/>
        <v>38.1</v>
      </c>
      <c r="AX154" s="112">
        <f>average(13.5,16.5)</f>
        <v>15</v>
      </c>
      <c r="AY154" s="9"/>
      <c r="AZ154" s="12"/>
      <c r="BA154" s="12"/>
      <c r="BB154" s="12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5" t="s">
        <v>578</v>
      </c>
      <c r="B155" s="9"/>
      <c r="C155" s="8"/>
      <c r="D155" s="9"/>
      <c r="E155" s="25" t="s">
        <v>43</v>
      </c>
      <c r="F155" s="9"/>
      <c r="G155" s="25">
        <v>11.0</v>
      </c>
      <c r="H155" s="9"/>
      <c r="I155" s="25">
        <v>70.0</v>
      </c>
      <c r="J155" s="25" t="s">
        <v>157</v>
      </c>
      <c r="K155" s="25" t="s">
        <v>158</v>
      </c>
      <c r="L155" s="25" t="s">
        <v>159</v>
      </c>
      <c r="M155" s="9"/>
      <c r="N155" s="41">
        <v>13.2</v>
      </c>
      <c r="O155" s="106">
        <v>97.0</v>
      </c>
      <c r="P155" s="9"/>
      <c r="Q155" s="25" t="s">
        <v>580</v>
      </c>
      <c r="R155" s="25">
        <v>1.0</v>
      </c>
      <c r="S155" s="106" t="s">
        <v>581</v>
      </c>
      <c r="T155" s="9"/>
      <c r="U155" s="25">
        <v>6.0</v>
      </c>
      <c r="V155" s="9"/>
      <c r="W155" s="14">
        <f t="shared" ref="W155:W156" si="104">X155+AF155+AG155+AO155</f>
        <v>17107.11364</v>
      </c>
      <c r="X155" s="16">
        <f>average(500,500,275,1200,400,700,500,600,750,400)</f>
        <v>582.5</v>
      </c>
      <c r="Y155" s="107" t="s">
        <v>146</v>
      </c>
      <c r="Z155" s="107">
        <v>275.0</v>
      </c>
      <c r="AA155" s="107">
        <v>1200.0</v>
      </c>
      <c r="AB155" s="108">
        <f t="shared" ref="AB155:AB156" si="105">average(AC155,AD155)</f>
        <v>4</v>
      </c>
      <c r="AC155" s="107">
        <v>4.0</v>
      </c>
      <c r="AD155" s="107">
        <v>4.0</v>
      </c>
      <c r="AE155" s="19">
        <f>IFERROR(__xludf.DUMMYFUNCTION("AB155*GoogleFinance(""CURRENCY:GBPUSD"")"),4.98318)</f>
        <v>4.98318</v>
      </c>
      <c r="AF155" s="16">
        <f t="shared" ref="AF155:AF156" si="106">AE155*52.1775*N155</f>
        <v>3432.130343</v>
      </c>
      <c r="AG155" s="16">
        <f t="shared" si="100"/>
        <v>12892.4833</v>
      </c>
      <c r="AH155" s="16">
        <f>IFERROR(__xludf.DUMMYFUNCTION("AI155*GoogleFinance(""CURRENCY:GBPUSD"")"),976.70328)</f>
        <v>976.70328</v>
      </c>
      <c r="AI155" s="108">
        <f t="shared" si="5"/>
        <v>784</v>
      </c>
      <c r="AJ155" s="107">
        <v>121.0</v>
      </c>
      <c r="AK155" s="107">
        <v>126.0</v>
      </c>
      <c r="AL155" s="107">
        <v>244.0</v>
      </c>
      <c r="AM155" s="107">
        <v>177.0</v>
      </c>
      <c r="AN155" s="107">
        <v>116.0</v>
      </c>
      <c r="AO155" s="107">
        <v>200.0</v>
      </c>
      <c r="AP155" s="9"/>
      <c r="AQ155" s="25" t="s">
        <v>164</v>
      </c>
      <c r="AR155" s="25" t="s">
        <v>165</v>
      </c>
      <c r="AS155" s="9"/>
      <c r="AT155" s="25" t="s">
        <v>149</v>
      </c>
      <c r="AU155" s="14">
        <f t="shared" si="103"/>
        <v>5.669904625</v>
      </c>
      <c r="AV155" s="112">
        <f>average(9,16)</f>
        <v>12.5</v>
      </c>
      <c r="AW155" s="14">
        <f t="shared" si="102"/>
        <v>24.765</v>
      </c>
      <c r="AX155" s="112">
        <f>average(9,10.5)</f>
        <v>9.75</v>
      </c>
      <c r="AY155" s="9"/>
      <c r="AZ155" s="12"/>
      <c r="BA155" s="12"/>
      <c r="BB155" s="12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5" t="s">
        <v>381</v>
      </c>
      <c r="B156" s="61"/>
      <c r="D156" s="61"/>
      <c r="E156" s="25" t="s">
        <v>38</v>
      </c>
      <c r="F156" s="9"/>
      <c r="G156" s="25">
        <v>16.0</v>
      </c>
      <c r="H156" s="9"/>
      <c r="I156" s="25">
        <v>45.0</v>
      </c>
      <c r="J156" s="25" t="s">
        <v>184</v>
      </c>
      <c r="K156" s="116" t="s">
        <v>185</v>
      </c>
      <c r="L156" s="25" t="s">
        <v>187</v>
      </c>
      <c r="M156" s="9"/>
      <c r="N156" s="41">
        <v>12.58</v>
      </c>
      <c r="O156" s="106">
        <v>129.0</v>
      </c>
      <c r="P156" s="9"/>
      <c r="Q156" s="25" t="s">
        <v>145</v>
      </c>
      <c r="R156" s="25">
        <v>0.0</v>
      </c>
      <c r="S156" s="106" t="s">
        <v>145</v>
      </c>
      <c r="T156" s="9"/>
      <c r="U156" s="25">
        <v>2.0</v>
      </c>
      <c r="V156" s="9"/>
      <c r="W156" s="14">
        <f t="shared" si="104"/>
        <v>17838.88083</v>
      </c>
      <c r="X156" s="16">
        <f>average(450,550,650,1000,500,750,600,700,600,700)</f>
        <v>650</v>
      </c>
      <c r="Y156" s="107" t="s">
        <v>146</v>
      </c>
      <c r="Z156" s="107">
        <v>450.0</v>
      </c>
      <c r="AA156" s="107">
        <v>1000.0</v>
      </c>
      <c r="AB156" s="108">
        <f t="shared" si="105"/>
        <v>5.75</v>
      </c>
      <c r="AC156" s="107">
        <v>4.0</v>
      </c>
      <c r="AD156" s="107">
        <v>7.5</v>
      </c>
      <c r="AE156" s="19">
        <f>IFERROR(__xludf.DUMMYFUNCTION("AB156*GoogleFinance(""CURRENCY:GBPUSD"")"),7.16332125)</f>
        <v>7.16332125</v>
      </c>
      <c r="AF156" s="16">
        <f t="shared" si="106"/>
        <v>4701.953567</v>
      </c>
      <c r="AG156" s="16">
        <f t="shared" si="100"/>
        <v>12286.92726</v>
      </c>
      <c r="AH156" s="16">
        <f>IFERROR(__xludf.DUMMYFUNCTION("AI156*GoogleFinance(""CURRENCY:GBPUSD"")"),976.70328)</f>
        <v>976.70328</v>
      </c>
      <c r="AI156" s="108">
        <f t="shared" si="5"/>
        <v>784</v>
      </c>
      <c r="AJ156" s="107">
        <v>121.0</v>
      </c>
      <c r="AK156" s="107">
        <v>126.0</v>
      </c>
      <c r="AL156" s="107">
        <v>244.0</v>
      </c>
      <c r="AM156" s="107">
        <v>177.0</v>
      </c>
      <c r="AN156" s="107">
        <v>116.0</v>
      </c>
      <c r="AO156" s="107">
        <v>200.0</v>
      </c>
      <c r="AP156" s="9"/>
      <c r="AQ156" s="107" t="s">
        <v>182</v>
      </c>
      <c r="AR156" s="13" t="s">
        <v>165</v>
      </c>
      <c r="AS156" s="9"/>
      <c r="AT156" s="25" t="s">
        <v>148</v>
      </c>
      <c r="AU156" s="14">
        <f t="shared" si="103"/>
        <v>21.54563758</v>
      </c>
      <c r="AV156" s="112">
        <f>average(35,60)</f>
        <v>47.5</v>
      </c>
      <c r="AW156" s="14">
        <f t="shared" si="102"/>
        <v>55.245</v>
      </c>
      <c r="AX156" s="112">
        <f>average(20,23.5)</f>
        <v>21.75</v>
      </c>
      <c r="AY156" s="9"/>
      <c r="AZ156" s="106" t="s">
        <v>222</v>
      </c>
      <c r="BA156" s="106" t="s">
        <v>223</v>
      </c>
      <c r="BB156" s="128" t="s">
        <v>224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5" t="s">
        <v>747</v>
      </c>
      <c r="B157" s="9"/>
      <c r="C157" s="8"/>
      <c r="D157" s="9"/>
      <c r="E157" s="25" t="s">
        <v>43</v>
      </c>
      <c r="F157" s="9"/>
      <c r="G157" s="25">
        <v>85.0</v>
      </c>
      <c r="H157" s="9"/>
      <c r="I157" s="25">
        <v>37.0</v>
      </c>
      <c r="J157" s="25" t="s">
        <v>142</v>
      </c>
      <c r="K157" s="25" t="s">
        <v>143</v>
      </c>
      <c r="L157" s="25" t="s">
        <v>144</v>
      </c>
      <c r="M157" s="9"/>
      <c r="N157" s="41">
        <v>14.25</v>
      </c>
      <c r="O157" s="106">
        <v>3.0</v>
      </c>
      <c r="P157" s="9"/>
      <c r="Q157" s="25" t="s">
        <v>145</v>
      </c>
      <c r="R157" s="25">
        <v>0.0</v>
      </c>
      <c r="S157" s="106" t="s">
        <v>145</v>
      </c>
      <c r="T157" s="9"/>
      <c r="U157" s="25">
        <v>4.0</v>
      </c>
      <c r="V157" s="9"/>
      <c r="W157" s="115" t="s">
        <v>150</v>
      </c>
      <c r="X157" s="16">
        <f>average(500,500,500,500,375,500,500,250,500,350)</f>
        <v>447.5</v>
      </c>
      <c r="Y157" s="107" t="s">
        <v>146</v>
      </c>
      <c r="Z157" s="107">
        <v>250.0</v>
      </c>
      <c r="AA157" s="107">
        <v>500.0</v>
      </c>
      <c r="AB157" s="115" t="s">
        <v>150</v>
      </c>
      <c r="AC157" s="115" t="s">
        <v>150</v>
      </c>
      <c r="AD157" s="115" t="s">
        <v>150</v>
      </c>
      <c r="AE157" s="115" t="s">
        <v>150</v>
      </c>
      <c r="AF157" s="115" t="s">
        <v>150</v>
      </c>
      <c r="AG157" s="16">
        <f t="shared" si="100"/>
        <v>13918.02174</v>
      </c>
      <c r="AH157" s="16">
        <f>IFERROR(__xludf.DUMMYFUNCTION("AI157*GoogleFinance(""CURRENCY:GBPUSD"")"),976.70328)</f>
        <v>976.70328</v>
      </c>
      <c r="AI157" s="108">
        <f t="shared" si="5"/>
        <v>784</v>
      </c>
      <c r="AJ157" s="107">
        <v>121.0</v>
      </c>
      <c r="AK157" s="107">
        <v>126.0</v>
      </c>
      <c r="AL157" s="107">
        <v>244.0</v>
      </c>
      <c r="AM157" s="107">
        <v>177.0</v>
      </c>
      <c r="AN157" s="107">
        <v>116.0</v>
      </c>
      <c r="AO157" s="107">
        <v>200.0</v>
      </c>
      <c r="AP157" s="9"/>
      <c r="AQ157" s="107" t="s">
        <v>182</v>
      </c>
      <c r="AR157" s="107" t="s">
        <v>182</v>
      </c>
      <c r="AS157" s="9"/>
      <c r="AT157" s="25" t="s">
        <v>149</v>
      </c>
      <c r="AU157" s="14">
        <f t="shared" si="103"/>
        <v>4.5359237</v>
      </c>
      <c r="AV157" s="106">
        <v>10.0</v>
      </c>
      <c r="AW157" s="14">
        <f t="shared" si="102"/>
        <v>24.13</v>
      </c>
      <c r="AX157" s="112">
        <f>average(9,10)</f>
        <v>9.5</v>
      </c>
      <c r="AY157" s="9"/>
      <c r="AZ157" s="12"/>
      <c r="BA157" s="12"/>
      <c r="BB157" s="12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5" t="s">
        <v>749</v>
      </c>
      <c r="B158" s="9"/>
      <c r="C158" s="8"/>
      <c r="D158" s="9"/>
      <c r="E158" s="25" t="s">
        <v>23</v>
      </c>
      <c r="F158" s="9"/>
      <c r="G158" s="25">
        <v>164.0</v>
      </c>
      <c r="H158" s="9"/>
      <c r="I158" s="25">
        <v>55.0</v>
      </c>
      <c r="J158" s="25" t="s">
        <v>400</v>
      </c>
      <c r="K158" s="25" t="s">
        <v>401</v>
      </c>
      <c r="L158" s="25" t="s">
        <v>402</v>
      </c>
      <c r="M158" s="9"/>
      <c r="N158" s="41">
        <v>11.0</v>
      </c>
      <c r="O158" s="106">
        <v>37.0</v>
      </c>
      <c r="P158" s="9"/>
      <c r="Q158" s="25" t="s">
        <v>145</v>
      </c>
      <c r="R158" s="25">
        <v>0.0</v>
      </c>
      <c r="S158" s="106" t="s">
        <v>145</v>
      </c>
      <c r="T158" s="9"/>
      <c r="U158" s="25">
        <v>4.0</v>
      </c>
      <c r="V158" s="9"/>
      <c r="W158" s="115" t="s">
        <v>150</v>
      </c>
      <c r="X158" s="16">
        <f>average(600,500)</f>
        <v>550</v>
      </c>
      <c r="Y158" s="107" t="s">
        <v>146</v>
      </c>
      <c r="Z158" s="107">
        <v>500.0</v>
      </c>
      <c r="AA158" s="107">
        <v>600.0</v>
      </c>
      <c r="AB158" s="115" t="s">
        <v>150</v>
      </c>
      <c r="AC158" s="115" t="s">
        <v>150</v>
      </c>
      <c r="AD158" s="115" t="s">
        <v>150</v>
      </c>
      <c r="AE158" s="115" t="s">
        <v>150</v>
      </c>
      <c r="AF158" s="115" t="s">
        <v>150</v>
      </c>
      <c r="AG158" s="16">
        <f t="shared" si="100"/>
        <v>10743.73608</v>
      </c>
      <c r="AH158" s="16">
        <f>IFERROR(__xludf.DUMMYFUNCTION("AI158*GoogleFinance(""CURRENCY:GBPUSD"")"),976.70328)</f>
        <v>976.70328</v>
      </c>
      <c r="AI158" s="108">
        <f t="shared" si="5"/>
        <v>784</v>
      </c>
      <c r="AJ158" s="107">
        <v>121.0</v>
      </c>
      <c r="AK158" s="107">
        <v>126.0</v>
      </c>
      <c r="AL158" s="107">
        <v>244.0</v>
      </c>
      <c r="AM158" s="107">
        <v>177.0</v>
      </c>
      <c r="AN158" s="107">
        <v>116.0</v>
      </c>
      <c r="AO158" s="107">
        <v>200.0</v>
      </c>
      <c r="AP158" s="9"/>
      <c r="AQ158" s="107" t="s">
        <v>182</v>
      </c>
      <c r="AR158" s="107" t="s">
        <v>182</v>
      </c>
      <c r="AS158" s="9"/>
      <c r="AT158" s="25" t="s">
        <v>149</v>
      </c>
      <c r="AU158" s="14">
        <f t="shared" si="103"/>
        <v>18.1436948</v>
      </c>
      <c r="AV158" s="112">
        <f>average(35,45)</f>
        <v>40</v>
      </c>
      <c r="AW158" s="14">
        <f t="shared" si="102"/>
        <v>24.765</v>
      </c>
      <c r="AX158" s="112">
        <f>average(10,9.5)</f>
        <v>9.75</v>
      </c>
      <c r="AY158" s="9"/>
      <c r="AZ158" s="12"/>
      <c r="BA158" s="12"/>
      <c r="BB158" s="12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5" t="s">
        <v>751</v>
      </c>
      <c r="B159" s="9"/>
      <c r="C159" s="8"/>
      <c r="D159" s="9"/>
      <c r="E159" s="25" t="s">
        <v>23</v>
      </c>
      <c r="F159" s="9"/>
      <c r="G159" s="25">
        <v>113.0</v>
      </c>
      <c r="H159" s="9"/>
      <c r="I159" s="25">
        <v>40.0</v>
      </c>
      <c r="J159" s="25" t="s">
        <v>184</v>
      </c>
      <c r="K159" s="116" t="s">
        <v>185</v>
      </c>
      <c r="L159" s="25" t="s">
        <v>187</v>
      </c>
      <c r="M159" s="9"/>
      <c r="N159" s="41">
        <v>13.17</v>
      </c>
      <c r="O159" s="106">
        <v>44.0</v>
      </c>
      <c r="P159" s="9"/>
      <c r="Q159" s="25" t="s">
        <v>145</v>
      </c>
      <c r="R159" s="25">
        <v>0.0</v>
      </c>
      <c r="S159" s="106" t="s">
        <v>145</v>
      </c>
      <c r="T159" s="9"/>
      <c r="U159" s="25">
        <v>3.0</v>
      </c>
      <c r="V159" s="9"/>
      <c r="W159" s="115" t="s">
        <v>150</v>
      </c>
      <c r="X159" s="16">
        <f>average(450,650,750,450)</f>
        <v>575</v>
      </c>
      <c r="Y159" s="107" t="s">
        <v>146</v>
      </c>
      <c r="Z159" s="107">
        <v>450.0</v>
      </c>
      <c r="AA159" s="107">
        <v>750.0</v>
      </c>
      <c r="AB159" s="115" t="s">
        <v>150</v>
      </c>
      <c r="AC159" s="115" t="s">
        <v>150</v>
      </c>
      <c r="AD159" s="115" t="s">
        <v>150</v>
      </c>
      <c r="AE159" s="115" t="s">
        <v>150</v>
      </c>
      <c r="AF159" s="115" t="s">
        <v>150</v>
      </c>
      <c r="AG159" s="16">
        <f t="shared" si="100"/>
        <v>12863.1822</v>
      </c>
      <c r="AH159" s="16">
        <f>IFERROR(__xludf.DUMMYFUNCTION("AI159*GoogleFinance(""CURRENCY:GBPUSD"")"),976.70328)</f>
        <v>976.70328</v>
      </c>
      <c r="AI159" s="108">
        <f t="shared" si="5"/>
        <v>784</v>
      </c>
      <c r="AJ159" s="107">
        <v>121.0</v>
      </c>
      <c r="AK159" s="107">
        <v>126.0</v>
      </c>
      <c r="AL159" s="107">
        <v>244.0</v>
      </c>
      <c r="AM159" s="107">
        <v>177.0</v>
      </c>
      <c r="AN159" s="107">
        <v>116.0</v>
      </c>
      <c r="AO159" s="107">
        <v>200.0</v>
      </c>
      <c r="AP159" s="9"/>
      <c r="AQ159" s="107" t="s">
        <v>182</v>
      </c>
      <c r="AR159" s="107" t="s">
        <v>182</v>
      </c>
      <c r="AS159" s="9"/>
      <c r="AT159" s="25" t="s">
        <v>149</v>
      </c>
      <c r="AU159" s="14">
        <f t="shared" si="103"/>
        <v>7.937866475</v>
      </c>
      <c r="AV159" s="106">
        <v>17.5</v>
      </c>
      <c r="AW159" s="14">
        <f t="shared" si="102"/>
        <v>38.1</v>
      </c>
      <c r="AX159" s="106">
        <v>15.0</v>
      </c>
      <c r="AY159" s="9"/>
      <c r="AZ159" s="106" t="s">
        <v>752</v>
      </c>
      <c r="BA159" s="12"/>
      <c r="BB159" s="12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5" t="s">
        <v>753</v>
      </c>
      <c r="B160" s="9"/>
      <c r="C160" s="8"/>
      <c r="D160" s="9"/>
      <c r="E160" s="25" t="s">
        <v>23</v>
      </c>
      <c r="F160" s="9"/>
      <c r="G160" s="25">
        <v>52.0</v>
      </c>
      <c r="H160" s="9"/>
      <c r="I160" s="25">
        <v>40.0</v>
      </c>
      <c r="J160" s="25" t="s">
        <v>184</v>
      </c>
      <c r="K160" s="116" t="s">
        <v>185</v>
      </c>
      <c r="L160" s="25" t="s">
        <v>187</v>
      </c>
      <c r="M160" s="9"/>
      <c r="N160" s="41">
        <v>12.16</v>
      </c>
      <c r="O160" s="106">
        <v>345.0</v>
      </c>
      <c r="P160" s="9"/>
      <c r="Q160" s="25" t="s">
        <v>145</v>
      </c>
      <c r="R160" s="25">
        <v>0.0</v>
      </c>
      <c r="S160" s="106" t="s">
        <v>145</v>
      </c>
      <c r="T160" s="9"/>
      <c r="U160" s="25">
        <v>4.0</v>
      </c>
      <c r="V160" s="9"/>
      <c r="W160" s="115" t="s">
        <v>150</v>
      </c>
      <c r="X160" s="16">
        <f>average(700,1000,800,900,795,750,900,675,800,995)</f>
        <v>831.5</v>
      </c>
      <c r="Y160" s="107" t="s">
        <v>160</v>
      </c>
      <c r="Z160" s="107">
        <v>675.0</v>
      </c>
      <c r="AA160" s="107">
        <v>1000.0</v>
      </c>
      <c r="AB160" s="115" t="s">
        <v>150</v>
      </c>
      <c r="AC160" s="115" t="s">
        <v>150</v>
      </c>
      <c r="AD160" s="115" t="s">
        <v>150</v>
      </c>
      <c r="AE160" s="115" t="s">
        <v>150</v>
      </c>
      <c r="AF160" s="115" t="s">
        <v>150</v>
      </c>
      <c r="AG160" s="16">
        <f t="shared" si="100"/>
        <v>11876.71188</v>
      </c>
      <c r="AH160" s="16">
        <f>IFERROR(__xludf.DUMMYFUNCTION("AI160*GoogleFinance(""CURRENCY:GBPUSD"")"),976.70328)</f>
        <v>976.70328</v>
      </c>
      <c r="AI160" s="108">
        <f t="shared" si="5"/>
        <v>784</v>
      </c>
      <c r="AJ160" s="107">
        <v>121.0</v>
      </c>
      <c r="AK160" s="107">
        <v>126.0</v>
      </c>
      <c r="AL160" s="107">
        <v>244.0</v>
      </c>
      <c r="AM160" s="107">
        <v>177.0</v>
      </c>
      <c r="AN160" s="107">
        <v>116.0</v>
      </c>
      <c r="AO160" s="107">
        <v>200.0</v>
      </c>
      <c r="AP160" s="9"/>
      <c r="AQ160" s="107" t="s">
        <v>182</v>
      </c>
      <c r="AR160" s="107" t="s">
        <v>182</v>
      </c>
      <c r="AS160" s="9"/>
      <c r="AT160" s="25" t="s">
        <v>148</v>
      </c>
      <c r="AU160" s="14">
        <f t="shared" si="103"/>
        <v>15.87573295</v>
      </c>
      <c r="AV160" s="112">
        <f>average(30,40)</f>
        <v>35</v>
      </c>
      <c r="AW160" s="14">
        <f t="shared" si="102"/>
        <v>45.72</v>
      </c>
      <c r="AX160" s="112">
        <f>average(17,19)</f>
        <v>18</v>
      </c>
      <c r="AY160" s="9"/>
      <c r="AZ160" s="12"/>
      <c r="BA160" s="12"/>
      <c r="BB160" s="12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5" t="s">
        <v>754</v>
      </c>
      <c r="B161" s="9"/>
      <c r="C161" s="8"/>
      <c r="D161" s="9"/>
      <c r="E161" s="25" t="s">
        <v>27</v>
      </c>
      <c r="F161" s="9"/>
      <c r="G161" s="25">
        <v>123.0</v>
      </c>
      <c r="H161" s="9"/>
      <c r="I161" s="106" t="s">
        <v>150</v>
      </c>
      <c r="J161" s="106" t="s">
        <v>150</v>
      </c>
      <c r="K161" s="106" t="s">
        <v>150</v>
      </c>
      <c r="L161" s="106" t="s">
        <v>150</v>
      </c>
      <c r="M161" s="9"/>
      <c r="N161" s="41">
        <v>9.0</v>
      </c>
      <c r="O161" s="106">
        <v>47.0</v>
      </c>
      <c r="P161" s="134"/>
      <c r="Q161" s="106" t="s">
        <v>150</v>
      </c>
      <c r="R161" s="106" t="s">
        <v>150</v>
      </c>
      <c r="S161" s="106" t="s">
        <v>150</v>
      </c>
      <c r="T161" s="9"/>
      <c r="U161" s="25">
        <v>3.0</v>
      </c>
      <c r="V161" s="9"/>
      <c r="W161" s="115" t="s">
        <v>150</v>
      </c>
      <c r="X161" s="16">
        <f>average(1100,2000,2000,1800)</f>
        <v>1725</v>
      </c>
      <c r="Y161" s="107" t="s">
        <v>372</v>
      </c>
      <c r="Z161" s="107">
        <v>1100.0</v>
      </c>
      <c r="AA161" s="107">
        <v>2000.0</v>
      </c>
      <c r="AB161" s="115" t="s">
        <v>150</v>
      </c>
      <c r="AC161" s="115" t="s">
        <v>150</v>
      </c>
      <c r="AD161" s="115" t="s">
        <v>150</v>
      </c>
      <c r="AE161" s="115" t="s">
        <v>150</v>
      </c>
      <c r="AF161" s="115" t="s">
        <v>150</v>
      </c>
      <c r="AG161" s="16">
        <f t="shared" si="100"/>
        <v>8790.32952</v>
      </c>
      <c r="AH161" s="16">
        <f>IFERROR(__xludf.DUMMYFUNCTION("AI161*GoogleFinance(""CURRENCY:GBPUSD"")"),976.70328)</f>
        <v>976.70328</v>
      </c>
      <c r="AI161" s="108">
        <f t="shared" si="5"/>
        <v>784</v>
      </c>
      <c r="AJ161" s="107">
        <v>121.0</v>
      </c>
      <c r="AK161" s="107">
        <v>126.0</v>
      </c>
      <c r="AL161" s="107">
        <v>244.0</v>
      </c>
      <c r="AM161" s="107">
        <v>177.0</v>
      </c>
      <c r="AN161" s="107">
        <v>116.0</v>
      </c>
      <c r="AO161" s="107">
        <v>200.0</v>
      </c>
      <c r="AP161" s="9"/>
      <c r="AQ161" s="107" t="s">
        <v>182</v>
      </c>
      <c r="AR161" s="107" t="s">
        <v>182</v>
      </c>
      <c r="AS161" s="9"/>
      <c r="AT161" s="25" t="s">
        <v>166</v>
      </c>
      <c r="AU161" s="106" t="s">
        <v>150</v>
      </c>
      <c r="AV161" s="106" t="s">
        <v>150</v>
      </c>
      <c r="AW161" s="14">
        <f t="shared" si="102"/>
        <v>62.23</v>
      </c>
      <c r="AX161" s="112">
        <f>average(22,27)</f>
        <v>24.5</v>
      </c>
      <c r="AY161" s="9"/>
      <c r="AZ161" s="106" t="s">
        <v>698</v>
      </c>
      <c r="BA161" s="12"/>
      <c r="BB161" s="12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5" t="s">
        <v>664</v>
      </c>
      <c r="B162" s="9"/>
      <c r="C162" s="8"/>
      <c r="D162" s="9"/>
      <c r="E162" s="25" t="s">
        <v>23</v>
      </c>
      <c r="F162" s="9"/>
      <c r="G162" s="25">
        <v>76.0</v>
      </c>
      <c r="H162" s="9"/>
      <c r="I162" s="25">
        <v>49.0</v>
      </c>
      <c r="J162" s="25" t="s">
        <v>184</v>
      </c>
      <c r="K162" s="116" t="s">
        <v>185</v>
      </c>
      <c r="L162" s="25" t="s">
        <v>187</v>
      </c>
      <c r="M162" s="9"/>
      <c r="N162" s="41">
        <v>12.05</v>
      </c>
      <c r="O162" s="106">
        <v>157.0</v>
      </c>
      <c r="P162" s="9"/>
      <c r="Q162" s="25" t="s">
        <v>174</v>
      </c>
      <c r="R162" s="25">
        <v>1.0</v>
      </c>
      <c r="S162" s="106" t="s">
        <v>175</v>
      </c>
      <c r="T162" s="9"/>
      <c r="U162" s="25">
        <v>1.0</v>
      </c>
      <c r="V162" s="9"/>
      <c r="W162" s="14">
        <f>X162+AF162+AG162+AO162</f>
        <v>17618.03307</v>
      </c>
      <c r="X162" s="16">
        <f>average(500,900,1500,1500,1000,1500,1200,1050,799,1500)</f>
        <v>1144.9</v>
      </c>
      <c r="Y162" s="107" t="s">
        <v>160</v>
      </c>
      <c r="Z162" s="107">
        <v>500.0</v>
      </c>
      <c r="AA162" s="107">
        <v>1500.0</v>
      </c>
      <c r="AB162" s="108">
        <f>average(AC162,AD162)</f>
        <v>5.75</v>
      </c>
      <c r="AC162" s="107">
        <v>4.0</v>
      </c>
      <c r="AD162" s="107">
        <v>7.5</v>
      </c>
      <c r="AE162" s="19">
        <f>IFERROR(__xludf.DUMMYFUNCTION("AB162*GoogleFinance(""CURRENCY:GBPUSD"")"),7.16332125)</f>
        <v>7.16332125</v>
      </c>
      <c r="AF162" s="16">
        <f>AE162*52.1775*N162</f>
        <v>4503.858544</v>
      </c>
      <c r="AG162" s="16">
        <f t="shared" si="100"/>
        <v>11769.27452</v>
      </c>
      <c r="AH162" s="16">
        <f>IFERROR(__xludf.DUMMYFUNCTION("AI162*GoogleFinance(""CURRENCY:GBPUSD"")"),976.70328)</f>
        <v>976.70328</v>
      </c>
      <c r="AI162" s="108">
        <f t="shared" si="5"/>
        <v>784</v>
      </c>
      <c r="AJ162" s="107">
        <v>121.0</v>
      </c>
      <c r="AK162" s="107">
        <v>126.0</v>
      </c>
      <c r="AL162" s="107">
        <v>244.0</v>
      </c>
      <c r="AM162" s="107">
        <v>177.0</v>
      </c>
      <c r="AN162" s="107">
        <v>116.0</v>
      </c>
      <c r="AO162" s="107">
        <v>200.0</v>
      </c>
      <c r="AP162" s="9"/>
      <c r="AQ162" s="25" t="s">
        <v>147</v>
      </c>
      <c r="AR162" s="25" t="s">
        <v>165</v>
      </c>
      <c r="AS162" s="9"/>
      <c r="AT162" s="25" t="s">
        <v>148</v>
      </c>
      <c r="AU162" s="14">
        <f>AV162*0.45359237</f>
        <v>14.06136347</v>
      </c>
      <c r="AV162" s="112">
        <f>average(24,38)</f>
        <v>31</v>
      </c>
      <c r="AW162" s="14">
        <f t="shared" si="102"/>
        <v>38.1</v>
      </c>
      <c r="AX162" s="112">
        <f>average(14,16)</f>
        <v>15</v>
      </c>
      <c r="AY162" s="9"/>
      <c r="AZ162" s="12"/>
      <c r="BA162" s="12"/>
      <c r="BB162" s="12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5" t="s">
        <v>755</v>
      </c>
      <c r="B163" s="61"/>
      <c r="D163" s="61"/>
      <c r="E163" s="25" t="s">
        <v>38</v>
      </c>
      <c r="F163" s="9"/>
      <c r="G163" s="25">
        <v>91.0</v>
      </c>
      <c r="H163" s="9"/>
      <c r="I163" s="25">
        <v>18.0</v>
      </c>
      <c r="J163" s="25" t="s">
        <v>267</v>
      </c>
      <c r="K163" s="116" t="s">
        <v>268</v>
      </c>
      <c r="L163" s="25" t="s">
        <v>269</v>
      </c>
      <c r="M163" s="9"/>
      <c r="N163" s="137" t="s">
        <v>150</v>
      </c>
      <c r="O163" s="106" t="s">
        <v>182</v>
      </c>
      <c r="P163" s="9"/>
      <c r="Q163" s="25" t="s">
        <v>174</v>
      </c>
      <c r="R163" s="25">
        <v>1.0</v>
      </c>
      <c r="S163" s="106" t="s">
        <v>175</v>
      </c>
      <c r="T163" s="9"/>
      <c r="U163" s="25">
        <v>3.0</v>
      </c>
      <c r="V163" s="9"/>
      <c r="W163" s="115" t="s">
        <v>150</v>
      </c>
      <c r="X163" s="16">
        <f>average(1500,700,1000,1200,1500,50,1000,300,1000,300)</f>
        <v>855</v>
      </c>
      <c r="Y163" s="107" t="s">
        <v>160</v>
      </c>
      <c r="Z163" s="107">
        <v>50.0</v>
      </c>
      <c r="AA163" s="107">
        <v>1500.0</v>
      </c>
      <c r="AB163" s="115" t="s">
        <v>150</v>
      </c>
      <c r="AC163" s="115" t="s">
        <v>150</v>
      </c>
      <c r="AD163" s="115" t="s">
        <v>150</v>
      </c>
      <c r="AE163" s="115" t="s">
        <v>150</v>
      </c>
      <c r="AF163" s="115" t="s">
        <v>150</v>
      </c>
      <c r="AG163" s="115" t="s">
        <v>150</v>
      </c>
      <c r="AH163" s="16">
        <f>IFERROR(__xludf.DUMMYFUNCTION("AI163*GoogleFinance(""CURRENCY:GBPUSD"")"),976.70328)</f>
        <v>976.70328</v>
      </c>
      <c r="AI163" s="108">
        <f t="shared" si="5"/>
        <v>784</v>
      </c>
      <c r="AJ163" s="107">
        <v>121.0</v>
      </c>
      <c r="AK163" s="107">
        <v>126.0</v>
      </c>
      <c r="AL163" s="107">
        <v>244.0</v>
      </c>
      <c r="AM163" s="107">
        <v>177.0</v>
      </c>
      <c r="AN163" s="107">
        <v>116.0</v>
      </c>
      <c r="AO163" s="107">
        <v>200.0</v>
      </c>
      <c r="AP163" s="9"/>
      <c r="AQ163" s="107" t="s">
        <v>182</v>
      </c>
      <c r="AR163" s="107" t="s">
        <v>182</v>
      </c>
      <c r="AS163" s="9"/>
      <c r="AT163" s="25" t="s">
        <v>148</v>
      </c>
      <c r="AU163" s="106" t="s">
        <v>150</v>
      </c>
      <c r="AV163" s="106" t="s">
        <v>150</v>
      </c>
      <c r="AW163" s="14">
        <f t="shared" si="102"/>
        <v>46.99</v>
      </c>
      <c r="AX163" s="112">
        <f>average(17.5,19.5)</f>
        <v>18.5</v>
      </c>
      <c r="AY163" s="9"/>
      <c r="AZ163" s="12"/>
      <c r="BA163" s="12"/>
      <c r="BB163" s="12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5" t="s">
        <v>756</v>
      </c>
      <c r="B164" s="9"/>
      <c r="C164" s="8"/>
      <c r="D164" s="9"/>
      <c r="E164" s="25" t="s">
        <v>27</v>
      </c>
      <c r="F164" s="9"/>
      <c r="G164" s="25">
        <v>161.0</v>
      </c>
      <c r="H164" s="9"/>
      <c r="I164" s="106" t="s">
        <v>150</v>
      </c>
      <c r="J164" s="106" t="s">
        <v>150</v>
      </c>
      <c r="K164" s="106" t="s">
        <v>150</v>
      </c>
      <c r="L164" s="106" t="s">
        <v>150</v>
      </c>
      <c r="M164" s="9"/>
      <c r="N164" s="41">
        <v>11.17</v>
      </c>
      <c r="O164" s="106">
        <v>42.0</v>
      </c>
      <c r="P164" s="9"/>
      <c r="Q164" s="25" t="s">
        <v>145</v>
      </c>
      <c r="R164" s="25">
        <v>0.0</v>
      </c>
      <c r="S164" s="106" t="s">
        <v>145</v>
      </c>
      <c r="T164" s="9"/>
      <c r="U164" s="25">
        <v>4.0</v>
      </c>
      <c r="V164" s="9"/>
      <c r="W164" s="115" t="s">
        <v>150</v>
      </c>
      <c r="X164" s="115" t="s">
        <v>150</v>
      </c>
      <c r="Y164" s="115" t="s">
        <v>150</v>
      </c>
      <c r="Z164" s="115" t="s">
        <v>150</v>
      </c>
      <c r="AA164" s="115" t="s">
        <v>150</v>
      </c>
      <c r="AB164" s="108">
        <f t="shared" ref="AB164:AB168" si="107">average(AC164,AD164)</f>
        <v>5.75</v>
      </c>
      <c r="AC164" s="107">
        <v>4.0</v>
      </c>
      <c r="AD164" s="107">
        <v>7.5</v>
      </c>
      <c r="AE164" s="19">
        <f>IFERROR(__xludf.DUMMYFUNCTION("AB164*GoogleFinance(""CURRENCY:GBPUSD"")"),7.16332125)</f>
        <v>7.16332125</v>
      </c>
      <c r="AF164" s="16">
        <f t="shared" ref="AF164:AF168" si="108">AE164*52.1775*N164</f>
        <v>4174.946053</v>
      </c>
      <c r="AG164" s="16">
        <f t="shared" ref="AG164:AG168" si="109">AH164*N164</f>
        <v>10909.77564</v>
      </c>
      <c r="AH164" s="16">
        <f>IFERROR(__xludf.DUMMYFUNCTION("AI164*GoogleFinance(""CURRENCY:GBPUSD"")"),976.70328)</f>
        <v>976.70328</v>
      </c>
      <c r="AI164" s="108">
        <f t="shared" si="5"/>
        <v>784</v>
      </c>
      <c r="AJ164" s="107">
        <v>121.0</v>
      </c>
      <c r="AK164" s="107">
        <v>126.0</v>
      </c>
      <c r="AL164" s="107">
        <v>244.0</v>
      </c>
      <c r="AM164" s="107">
        <v>177.0</v>
      </c>
      <c r="AN164" s="107">
        <v>116.0</v>
      </c>
      <c r="AO164" s="107">
        <v>200.0</v>
      </c>
      <c r="AP164" s="9"/>
      <c r="AQ164" s="25" t="s">
        <v>147</v>
      </c>
      <c r="AR164" s="25" t="s">
        <v>209</v>
      </c>
      <c r="AS164" s="9"/>
      <c r="AT164" s="25" t="s">
        <v>149</v>
      </c>
      <c r="AU164" s="14">
        <f>AV164*0.45359237</f>
        <v>18.1436948</v>
      </c>
      <c r="AV164" s="112">
        <f>average(35,45)</f>
        <v>40</v>
      </c>
      <c r="AW164" s="14">
        <f t="shared" si="102"/>
        <v>35.56</v>
      </c>
      <c r="AX164" s="112">
        <f>average (13,15)</f>
        <v>14</v>
      </c>
      <c r="AY164" s="9"/>
      <c r="AZ164" s="12"/>
      <c r="BA164" s="12"/>
      <c r="BB164" s="12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5" t="s">
        <v>757</v>
      </c>
      <c r="B165" s="9"/>
      <c r="C165" s="8"/>
      <c r="D165" s="9"/>
      <c r="E165" s="25" t="s">
        <v>32</v>
      </c>
      <c r="F165" s="9"/>
      <c r="G165" s="25">
        <v>153.0</v>
      </c>
      <c r="H165" s="9"/>
      <c r="I165" s="106" t="s">
        <v>150</v>
      </c>
      <c r="J165" s="106" t="s">
        <v>150</v>
      </c>
      <c r="K165" s="106" t="s">
        <v>150</v>
      </c>
      <c r="L165" s="106" t="s">
        <v>150</v>
      </c>
      <c r="M165" s="9"/>
      <c r="N165" s="41">
        <v>14.17</v>
      </c>
      <c r="O165" s="106">
        <v>7.0</v>
      </c>
      <c r="P165" s="134"/>
      <c r="Q165" s="106" t="s">
        <v>150</v>
      </c>
      <c r="R165" s="106" t="s">
        <v>150</v>
      </c>
      <c r="S165" s="106" t="s">
        <v>150</v>
      </c>
      <c r="T165" s="9"/>
      <c r="U165" s="25">
        <v>3.0</v>
      </c>
      <c r="V165" s="9"/>
      <c r="W165" s="14">
        <f t="shared" ref="W165:W168" si="110">X165+AF165+AG165+AO165</f>
        <v>18496.44762</v>
      </c>
      <c r="X165" s="16">
        <f>average(600,700,800,700,1000,1000,600,1000,550)</f>
        <v>772.2222222</v>
      </c>
      <c r="Y165" s="107" t="s">
        <v>160</v>
      </c>
      <c r="Z165" s="107">
        <v>550.0</v>
      </c>
      <c r="AA165" s="107">
        <v>1000.0</v>
      </c>
      <c r="AB165" s="108">
        <f t="shared" si="107"/>
        <v>4</v>
      </c>
      <c r="AC165" s="107">
        <v>4.0</v>
      </c>
      <c r="AD165" s="107">
        <v>4.0</v>
      </c>
      <c r="AE165" s="19">
        <f>IFERROR(__xludf.DUMMYFUNCTION("AB165*GoogleFinance(""CURRENCY:GBPUSD"")"),4.98318)</f>
        <v>4.98318</v>
      </c>
      <c r="AF165" s="16">
        <f t="shared" si="108"/>
        <v>3684.339921</v>
      </c>
      <c r="AG165" s="16">
        <f t="shared" si="109"/>
        <v>13839.88548</v>
      </c>
      <c r="AH165" s="16">
        <f>IFERROR(__xludf.DUMMYFUNCTION("AI165*GoogleFinance(""CURRENCY:GBPUSD"")"),976.70328)</f>
        <v>976.70328</v>
      </c>
      <c r="AI165" s="108">
        <f t="shared" si="5"/>
        <v>784</v>
      </c>
      <c r="AJ165" s="107">
        <v>121.0</v>
      </c>
      <c r="AK165" s="107">
        <v>126.0</v>
      </c>
      <c r="AL165" s="107">
        <v>244.0</v>
      </c>
      <c r="AM165" s="107">
        <v>177.0</v>
      </c>
      <c r="AN165" s="107">
        <v>116.0</v>
      </c>
      <c r="AO165" s="107">
        <v>200.0</v>
      </c>
      <c r="AP165" s="9"/>
      <c r="AQ165" s="25" t="s">
        <v>147</v>
      </c>
      <c r="AR165" s="25" t="s">
        <v>165</v>
      </c>
      <c r="AS165" s="9"/>
      <c r="AT165" s="25" t="s">
        <v>149</v>
      </c>
      <c r="AU165" s="109" t="s">
        <v>150</v>
      </c>
      <c r="AV165" s="106" t="s">
        <v>150</v>
      </c>
      <c r="AW165" s="14">
        <f t="shared" si="102"/>
        <v>31.75</v>
      </c>
      <c r="AX165" s="112">
        <f>average(11.5,13.5)</f>
        <v>12.5</v>
      </c>
      <c r="AY165" s="9"/>
      <c r="AZ165" s="12"/>
      <c r="BA165" s="12"/>
      <c r="BB165" s="12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5" t="s">
        <v>758</v>
      </c>
      <c r="B166" s="9"/>
      <c r="C166" s="8"/>
      <c r="D166" s="9"/>
      <c r="E166" s="25" t="s">
        <v>38</v>
      </c>
      <c r="F166" s="9"/>
      <c r="G166" s="25">
        <v>122.0</v>
      </c>
      <c r="H166" s="9"/>
      <c r="I166" s="106" t="s">
        <v>150</v>
      </c>
      <c r="J166" s="106" t="s">
        <v>150</v>
      </c>
      <c r="K166" s="106" t="s">
        <v>150</v>
      </c>
      <c r="L166" s="106" t="s">
        <v>150</v>
      </c>
      <c r="M166" s="9"/>
      <c r="N166" s="41">
        <v>11.92</v>
      </c>
      <c r="O166" s="106">
        <v>10.0</v>
      </c>
      <c r="P166" s="134"/>
      <c r="Q166" s="106" t="s">
        <v>150</v>
      </c>
      <c r="R166" s="106" t="s">
        <v>150</v>
      </c>
      <c r="S166" s="106" t="s">
        <v>150</v>
      </c>
      <c r="T166" s="9"/>
      <c r="U166" s="25">
        <v>2.0</v>
      </c>
      <c r="V166" s="9"/>
      <c r="W166" s="14">
        <f t="shared" si="110"/>
        <v>19757.5723</v>
      </c>
      <c r="X166" s="16">
        <f>average(2000,4000,800,6500,4000)</f>
        <v>3460</v>
      </c>
      <c r="Y166" s="107" t="s">
        <v>372</v>
      </c>
      <c r="Z166" s="107">
        <v>800.0</v>
      </c>
      <c r="AA166" s="107">
        <v>6500.0</v>
      </c>
      <c r="AB166" s="108">
        <f t="shared" si="107"/>
        <v>5.75</v>
      </c>
      <c r="AC166" s="107">
        <v>4.0</v>
      </c>
      <c r="AD166" s="107">
        <v>7.5</v>
      </c>
      <c r="AE166" s="19">
        <f>IFERROR(__xludf.DUMMYFUNCTION("AB166*GoogleFinance(""CURRENCY:GBPUSD"")"),7.16332125)</f>
        <v>7.16332125</v>
      </c>
      <c r="AF166" s="16">
        <f t="shared" si="108"/>
        <v>4455.269199</v>
      </c>
      <c r="AG166" s="16">
        <f t="shared" si="109"/>
        <v>11642.3031</v>
      </c>
      <c r="AH166" s="16">
        <f>IFERROR(__xludf.DUMMYFUNCTION("AI166*GoogleFinance(""CURRENCY:GBPUSD"")"),976.70328)</f>
        <v>976.70328</v>
      </c>
      <c r="AI166" s="108">
        <f t="shared" si="5"/>
        <v>784</v>
      </c>
      <c r="AJ166" s="107">
        <v>121.0</v>
      </c>
      <c r="AK166" s="107">
        <v>126.0</v>
      </c>
      <c r="AL166" s="107">
        <v>244.0</v>
      </c>
      <c r="AM166" s="107">
        <v>177.0</v>
      </c>
      <c r="AN166" s="107">
        <v>116.0</v>
      </c>
      <c r="AO166" s="107">
        <v>200.0</v>
      </c>
      <c r="AP166" s="9"/>
      <c r="AQ166" s="25" t="s">
        <v>147</v>
      </c>
      <c r="AR166" s="25" t="s">
        <v>165</v>
      </c>
      <c r="AS166" s="9"/>
      <c r="AT166" s="25" t="s">
        <v>166</v>
      </c>
      <c r="AU166" s="106" t="s">
        <v>150</v>
      </c>
      <c r="AV166" s="106" t="s">
        <v>150</v>
      </c>
      <c r="AW166" s="14">
        <f t="shared" si="102"/>
        <v>63.5</v>
      </c>
      <c r="AX166" s="112">
        <f>average(24,26)</f>
        <v>25</v>
      </c>
      <c r="AY166" s="9"/>
      <c r="AZ166" s="106" t="s">
        <v>663</v>
      </c>
      <c r="BA166" s="12"/>
      <c r="BB166" s="12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5" t="s">
        <v>45</v>
      </c>
      <c r="B167" s="9"/>
      <c r="C167" s="8"/>
      <c r="D167" s="9"/>
      <c r="E167" s="25" t="s">
        <v>34</v>
      </c>
      <c r="F167" s="9"/>
      <c r="G167" s="25">
        <v>114.0</v>
      </c>
      <c r="H167" s="9"/>
      <c r="I167" s="25">
        <v>46.0</v>
      </c>
      <c r="J167" s="25" t="s">
        <v>184</v>
      </c>
      <c r="K167" s="116" t="s">
        <v>185</v>
      </c>
      <c r="L167" s="25" t="s">
        <v>187</v>
      </c>
      <c r="M167" s="9"/>
      <c r="N167" s="41">
        <v>14.42</v>
      </c>
      <c r="O167" s="106">
        <v>125.0</v>
      </c>
      <c r="P167" s="9"/>
      <c r="Q167" s="25" t="s">
        <v>145</v>
      </c>
      <c r="R167" s="25">
        <v>0.0</v>
      </c>
      <c r="S167" s="106" t="s">
        <v>145</v>
      </c>
      <c r="T167" s="9"/>
      <c r="U167" s="25">
        <v>5.0</v>
      </c>
      <c r="V167" s="9"/>
      <c r="W167" s="14">
        <f t="shared" si="110"/>
        <v>20723.74098</v>
      </c>
      <c r="X167" s="16">
        <f>average(700,1000,2000,800,1000,500,1000,800,1500,1200)</f>
        <v>1050</v>
      </c>
      <c r="Y167" s="107" t="s">
        <v>160</v>
      </c>
      <c r="Z167" s="107">
        <v>500.0</v>
      </c>
      <c r="AA167" s="107">
        <v>2000.0</v>
      </c>
      <c r="AB167" s="108">
        <f t="shared" si="107"/>
        <v>5.75</v>
      </c>
      <c r="AC167" s="107">
        <v>4.0</v>
      </c>
      <c r="AD167" s="107">
        <v>7.5</v>
      </c>
      <c r="AE167" s="19">
        <f>IFERROR(__xludf.DUMMYFUNCTION("AB167*GoogleFinance(""CURRENCY:GBPUSD"")"),7.16332125)</f>
        <v>7.16332125</v>
      </c>
      <c r="AF167" s="16">
        <f t="shared" si="108"/>
        <v>5389.679685</v>
      </c>
      <c r="AG167" s="16">
        <f t="shared" si="109"/>
        <v>14084.0613</v>
      </c>
      <c r="AH167" s="16">
        <f>IFERROR(__xludf.DUMMYFUNCTION("AI167*GoogleFinance(""CURRENCY:GBPUSD"")"),976.70328)</f>
        <v>976.70328</v>
      </c>
      <c r="AI167" s="108">
        <f t="shared" si="5"/>
        <v>784</v>
      </c>
      <c r="AJ167" s="107">
        <v>121.0</v>
      </c>
      <c r="AK167" s="107">
        <v>126.0</v>
      </c>
      <c r="AL167" s="107">
        <v>244.0</v>
      </c>
      <c r="AM167" s="107">
        <v>177.0</v>
      </c>
      <c r="AN167" s="107">
        <v>116.0</v>
      </c>
      <c r="AO167" s="107">
        <v>200.0</v>
      </c>
      <c r="AP167" s="9"/>
      <c r="AQ167" s="25" t="s">
        <v>147</v>
      </c>
      <c r="AR167" s="25" t="s">
        <v>165</v>
      </c>
      <c r="AS167" s="9"/>
      <c r="AT167" s="25" t="s">
        <v>149</v>
      </c>
      <c r="AU167" s="14">
        <f t="shared" ref="AU167:AU168" si="111">AV167*0.45359237</f>
        <v>5.44310844</v>
      </c>
      <c r="AV167" s="112">
        <f>average(9,15)</f>
        <v>12</v>
      </c>
      <c r="AW167" s="14">
        <f t="shared" si="102"/>
        <v>25.4</v>
      </c>
      <c r="AX167" s="112">
        <f>average(10)</f>
        <v>10</v>
      </c>
      <c r="AY167" s="9"/>
      <c r="AZ167" s="12"/>
      <c r="BA167" s="12"/>
      <c r="BB167" s="12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5" t="s">
        <v>615</v>
      </c>
      <c r="B168" s="9"/>
      <c r="C168" s="8"/>
      <c r="D168" s="9"/>
      <c r="E168" s="25" t="s">
        <v>34</v>
      </c>
      <c r="F168" s="9"/>
      <c r="G168" s="25">
        <v>86.0</v>
      </c>
      <c r="H168" s="9"/>
      <c r="I168" s="25">
        <v>62.0</v>
      </c>
      <c r="J168" s="25" t="s">
        <v>400</v>
      </c>
      <c r="K168" s="25" t="s">
        <v>401</v>
      </c>
      <c r="L168" s="25" t="s">
        <v>402</v>
      </c>
      <c r="M168" s="9"/>
      <c r="N168" s="41">
        <v>12.31</v>
      </c>
      <c r="O168" s="106">
        <v>102.0</v>
      </c>
      <c r="P168" s="9"/>
      <c r="Q168" s="25" t="s">
        <v>145</v>
      </c>
      <c r="R168" s="25">
        <v>0.0</v>
      </c>
      <c r="S168" s="106" t="s">
        <v>145</v>
      </c>
      <c r="T168" s="9"/>
      <c r="U168" s="25">
        <v>5.0</v>
      </c>
      <c r="V168" s="9"/>
      <c r="W168" s="14">
        <f t="shared" si="110"/>
        <v>16563.93893</v>
      </c>
      <c r="X168" s="16">
        <f>average(1500,1200,1500,1000,1600,1000,1200,1200,450,750)</f>
        <v>1140</v>
      </c>
      <c r="Y168" s="107" t="s">
        <v>160</v>
      </c>
      <c r="Z168" s="107">
        <v>450.0</v>
      </c>
      <c r="AA168" s="107">
        <v>1600.0</v>
      </c>
      <c r="AB168" s="108">
        <f t="shared" si="107"/>
        <v>4</v>
      </c>
      <c r="AC168" s="107">
        <v>4.0</v>
      </c>
      <c r="AD168" s="107">
        <v>4.0</v>
      </c>
      <c r="AE168" s="19">
        <f>IFERROR(__xludf.DUMMYFUNCTION("AB168*GoogleFinance(""CURRENCY:GBPUSD"")"),4.98318)</f>
        <v>4.98318</v>
      </c>
      <c r="AF168" s="16">
        <f t="shared" si="108"/>
        <v>3200.721554</v>
      </c>
      <c r="AG168" s="16">
        <f t="shared" si="109"/>
        <v>12023.21738</v>
      </c>
      <c r="AH168" s="16">
        <f>IFERROR(__xludf.DUMMYFUNCTION("AI168*GoogleFinance(""CURRENCY:GBPUSD"")"),976.70328)</f>
        <v>976.70328</v>
      </c>
      <c r="AI168" s="108">
        <f t="shared" si="5"/>
        <v>784</v>
      </c>
      <c r="AJ168" s="107">
        <v>121.0</v>
      </c>
      <c r="AK168" s="107">
        <v>126.0</v>
      </c>
      <c r="AL168" s="107">
        <v>244.0</v>
      </c>
      <c r="AM168" s="107">
        <v>177.0</v>
      </c>
      <c r="AN168" s="107">
        <v>116.0</v>
      </c>
      <c r="AO168" s="107">
        <v>200.0</v>
      </c>
      <c r="AP168" s="9"/>
      <c r="AQ168" s="25" t="s">
        <v>147</v>
      </c>
      <c r="AR168" s="25" t="s">
        <v>148</v>
      </c>
      <c r="AS168" s="9"/>
      <c r="AT168" s="25" t="s">
        <v>149</v>
      </c>
      <c r="AU168" s="14">
        <f t="shared" si="111"/>
        <v>10.88621688</v>
      </c>
      <c r="AV168" s="112">
        <f>average(18,30)</f>
        <v>24</v>
      </c>
      <c r="AW168" s="14">
        <f t="shared" si="102"/>
        <v>39.37</v>
      </c>
      <c r="AX168" s="112">
        <f>average(14,17)</f>
        <v>15.5</v>
      </c>
      <c r="AY168" s="9"/>
      <c r="AZ168" s="12"/>
      <c r="BA168" s="12"/>
      <c r="BB168" s="12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5" t="s">
        <v>759</v>
      </c>
      <c r="B169" s="9"/>
      <c r="C169" s="8"/>
      <c r="D169" s="9"/>
      <c r="E169" s="25" t="s">
        <v>43</v>
      </c>
      <c r="F169" s="9"/>
      <c r="G169" s="25">
        <v>101.0</v>
      </c>
      <c r="H169" s="9"/>
      <c r="I169" s="106" t="s">
        <v>150</v>
      </c>
      <c r="J169" s="106" t="s">
        <v>150</v>
      </c>
      <c r="K169" s="106" t="s">
        <v>150</v>
      </c>
      <c r="L169" s="106" t="s">
        <v>150</v>
      </c>
      <c r="M169" s="134"/>
      <c r="N169" s="137" t="s">
        <v>150</v>
      </c>
      <c r="O169" s="106" t="s">
        <v>182</v>
      </c>
      <c r="P169" s="134"/>
      <c r="Q169" s="106" t="s">
        <v>150</v>
      </c>
      <c r="R169" s="106" t="s">
        <v>150</v>
      </c>
      <c r="S169" s="106" t="s">
        <v>150</v>
      </c>
      <c r="T169" s="9"/>
      <c r="U169" s="25">
        <v>4.0</v>
      </c>
      <c r="V169" s="9"/>
      <c r="W169" s="115" t="s">
        <v>150</v>
      </c>
      <c r="X169" s="16">
        <f>average(350,450,350,600,350,200,650,550,650,450)</f>
        <v>460</v>
      </c>
      <c r="Y169" s="107" t="s">
        <v>146</v>
      </c>
      <c r="Z169" s="107">
        <v>200.0</v>
      </c>
      <c r="AA169" s="107">
        <v>650.0</v>
      </c>
      <c r="AB169" s="115" t="s">
        <v>150</v>
      </c>
      <c r="AC169" s="115" t="s">
        <v>150</v>
      </c>
      <c r="AD169" s="115" t="s">
        <v>150</v>
      </c>
      <c r="AE169" s="115" t="s">
        <v>150</v>
      </c>
      <c r="AF169" s="115" t="s">
        <v>150</v>
      </c>
      <c r="AG169" s="115" t="s">
        <v>150</v>
      </c>
      <c r="AH169" s="16">
        <f>IFERROR(__xludf.DUMMYFUNCTION("AI169*GoogleFinance(""CURRENCY:GBPUSD"")"),976.70328)</f>
        <v>976.70328</v>
      </c>
      <c r="AI169" s="108">
        <f t="shared" si="5"/>
        <v>784</v>
      </c>
      <c r="AJ169" s="107">
        <v>121.0</v>
      </c>
      <c r="AK169" s="107">
        <v>126.0</v>
      </c>
      <c r="AL169" s="107">
        <v>244.0</v>
      </c>
      <c r="AM169" s="107">
        <v>177.0</v>
      </c>
      <c r="AN169" s="107">
        <v>116.0</v>
      </c>
      <c r="AO169" s="107">
        <v>200.0</v>
      </c>
      <c r="AP169" s="9"/>
      <c r="AQ169" s="107" t="s">
        <v>182</v>
      </c>
      <c r="AR169" s="107" t="s">
        <v>182</v>
      </c>
      <c r="AS169" s="9"/>
      <c r="AT169" s="25" t="s">
        <v>149</v>
      </c>
      <c r="AU169" s="106" t="s">
        <v>150</v>
      </c>
      <c r="AV169" s="106" t="s">
        <v>150</v>
      </c>
      <c r="AW169" s="14">
        <f t="shared" si="102"/>
        <v>25.4</v>
      </c>
      <c r="AX169" s="112">
        <f>average(9,11)</f>
        <v>10</v>
      </c>
      <c r="AY169" s="9"/>
      <c r="AZ169" s="12"/>
      <c r="BA169" s="12"/>
      <c r="BB169" s="12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5" t="s">
        <v>760</v>
      </c>
      <c r="B170" s="9"/>
      <c r="C170" s="8"/>
      <c r="D170" s="9"/>
      <c r="E170" s="25" t="s">
        <v>27</v>
      </c>
      <c r="F170" s="9"/>
      <c r="G170" s="25">
        <v>37.0</v>
      </c>
      <c r="H170" s="9"/>
      <c r="I170" s="25">
        <v>25.0</v>
      </c>
      <c r="J170" s="25" t="s">
        <v>267</v>
      </c>
      <c r="K170" s="116" t="s">
        <v>268</v>
      </c>
      <c r="L170" s="25" t="s">
        <v>269</v>
      </c>
      <c r="M170" s="9"/>
      <c r="N170" s="41">
        <v>12.5</v>
      </c>
      <c r="O170" s="106">
        <v>6.0</v>
      </c>
      <c r="P170" s="9"/>
      <c r="Q170" s="25" t="s">
        <v>145</v>
      </c>
      <c r="R170" s="25">
        <v>0.0</v>
      </c>
      <c r="S170" s="106" t="s">
        <v>145</v>
      </c>
      <c r="T170" s="9"/>
      <c r="U170" s="25">
        <v>3.0</v>
      </c>
      <c r="V170" s="9"/>
      <c r="W170" s="115" t="s">
        <v>150</v>
      </c>
      <c r="X170" s="16">
        <f>average(700,1000,900,850,1095,800,1200,1000,800,1000)</f>
        <v>934.5</v>
      </c>
      <c r="Y170" s="107" t="s">
        <v>160</v>
      </c>
      <c r="Z170" s="107">
        <v>800.0</v>
      </c>
      <c r="AA170" s="107">
        <v>1200.0</v>
      </c>
      <c r="AB170" s="115" t="s">
        <v>150</v>
      </c>
      <c r="AC170" s="115" t="s">
        <v>150</v>
      </c>
      <c r="AD170" s="115" t="s">
        <v>150</v>
      </c>
      <c r="AE170" s="115" t="s">
        <v>150</v>
      </c>
      <c r="AF170" s="115" t="s">
        <v>150</v>
      </c>
      <c r="AG170" s="16">
        <f>AH170*N170</f>
        <v>12208.791</v>
      </c>
      <c r="AH170" s="16">
        <f>IFERROR(__xludf.DUMMYFUNCTION("AI170*GoogleFinance(""CURRENCY:GBPUSD"")"),976.70328)</f>
        <v>976.70328</v>
      </c>
      <c r="AI170" s="108">
        <f t="shared" si="5"/>
        <v>784</v>
      </c>
      <c r="AJ170" s="107">
        <v>121.0</v>
      </c>
      <c r="AK170" s="107">
        <v>126.0</v>
      </c>
      <c r="AL170" s="107">
        <v>244.0</v>
      </c>
      <c r="AM170" s="107">
        <v>177.0</v>
      </c>
      <c r="AN170" s="107">
        <v>116.0</v>
      </c>
      <c r="AO170" s="107">
        <v>200.0</v>
      </c>
      <c r="AP170" s="9"/>
      <c r="AQ170" s="107" t="s">
        <v>182</v>
      </c>
      <c r="AR170" s="107" t="s">
        <v>182</v>
      </c>
      <c r="AS170" s="9"/>
      <c r="AT170" s="25" t="s">
        <v>148</v>
      </c>
      <c r="AU170" s="106" t="s">
        <v>150</v>
      </c>
      <c r="AV170" s="106" t="s">
        <v>150</v>
      </c>
      <c r="AW170" s="14">
        <f t="shared" si="102"/>
        <v>57.15</v>
      </c>
      <c r="AX170" s="112">
        <f>average(21,24)</f>
        <v>22.5</v>
      </c>
      <c r="AY170" s="9"/>
      <c r="AZ170" s="12"/>
      <c r="BA170" s="12"/>
      <c r="BB170" s="12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5" t="s">
        <v>761</v>
      </c>
      <c r="B171" s="9"/>
      <c r="C171" s="8"/>
      <c r="D171" s="9"/>
      <c r="E171" s="25" t="s">
        <v>27</v>
      </c>
      <c r="F171" s="9"/>
      <c r="G171" s="25">
        <v>32.0</v>
      </c>
      <c r="H171" s="9"/>
      <c r="I171" s="25">
        <v>21.0</v>
      </c>
      <c r="J171" s="25" t="s">
        <v>267</v>
      </c>
      <c r="K171" s="116" t="s">
        <v>268</v>
      </c>
      <c r="L171" s="25" t="s">
        <v>269</v>
      </c>
      <c r="M171" s="9"/>
      <c r="N171" s="137" t="s">
        <v>150</v>
      </c>
      <c r="O171" s="106" t="s">
        <v>182</v>
      </c>
      <c r="P171" s="9"/>
      <c r="Q171" s="25" t="s">
        <v>174</v>
      </c>
      <c r="R171" s="25">
        <v>1.0</v>
      </c>
      <c r="S171" s="106" t="s">
        <v>175</v>
      </c>
      <c r="T171" s="9"/>
      <c r="U171" s="25">
        <v>3.0</v>
      </c>
      <c r="V171" s="9"/>
      <c r="W171" s="115" t="s">
        <v>150</v>
      </c>
      <c r="X171" s="16">
        <f>average(300,400,600,600,700,600,900,495,425,600)</f>
        <v>562</v>
      </c>
      <c r="Y171" s="107" t="s">
        <v>146</v>
      </c>
      <c r="Z171" s="107">
        <v>300.0</v>
      </c>
      <c r="AA171" s="107">
        <v>900.0</v>
      </c>
      <c r="AB171" s="108">
        <f t="shared" ref="AB171:AB175" si="112">average(AC171,AD171)</f>
        <v>5.75</v>
      </c>
      <c r="AC171" s="107">
        <v>4.0</v>
      </c>
      <c r="AD171" s="107">
        <v>7.5</v>
      </c>
      <c r="AE171" s="19">
        <f>IFERROR(__xludf.DUMMYFUNCTION("AB171*GoogleFinance(""CURRENCY:GBPUSD"")"),7.16332125)</f>
        <v>7.16332125</v>
      </c>
      <c r="AF171" s="115" t="s">
        <v>150</v>
      </c>
      <c r="AG171" s="115" t="s">
        <v>150</v>
      </c>
      <c r="AH171" s="16">
        <f>IFERROR(__xludf.DUMMYFUNCTION("AI171*GoogleFinance(""CURRENCY:GBPUSD"")"),976.70328)</f>
        <v>976.70328</v>
      </c>
      <c r="AI171" s="108">
        <f t="shared" si="5"/>
        <v>784</v>
      </c>
      <c r="AJ171" s="107">
        <v>121.0</v>
      </c>
      <c r="AK171" s="107">
        <v>126.0</v>
      </c>
      <c r="AL171" s="107">
        <v>244.0</v>
      </c>
      <c r="AM171" s="107">
        <v>177.0</v>
      </c>
      <c r="AN171" s="107">
        <v>116.0</v>
      </c>
      <c r="AO171" s="107">
        <v>200.0</v>
      </c>
      <c r="AP171" s="9"/>
      <c r="AQ171" s="25" t="s">
        <v>147</v>
      </c>
      <c r="AR171" s="25" t="s">
        <v>165</v>
      </c>
      <c r="AS171" s="9"/>
      <c r="AT171" s="25" t="s">
        <v>166</v>
      </c>
      <c r="AU171" s="106" t="s">
        <v>150</v>
      </c>
      <c r="AV171" s="106" t="s">
        <v>150</v>
      </c>
      <c r="AW171" s="14">
        <f t="shared" si="102"/>
        <v>63.5</v>
      </c>
      <c r="AX171" s="112">
        <f>average(23,27)</f>
        <v>25</v>
      </c>
      <c r="AY171" s="9"/>
      <c r="AZ171" s="12"/>
      <c r="BA171" s="12"/>
      <c r="BB171" s="12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5" t="s">
        <v>26</v>
      </c>
      <c r="B172" s="9"/>
      <c r="C172" s="8"/>
      <c r="D172" s="9"/>
      <c r="E172" s="25" t="s">
        <v>27</v>
      </c>
      <c r="F172" s="9"/>
      <c r="G172" s="25">
        <v>130.0</v>
      </c>
      <c r="H172" s="9"/>
      <c r="I172" s="25">
        <v>31.0</v>
      </c>
      <c r="J172" s="25" t="s">
        <v>142</v>
      </c>
      <c r="K172" s="25" t="s">
        <v>143</v>
      </c>
      <c r="L172" s="25" t="s">
        <v>144</v>
      </c>
      <c r="M172" s="9"/>
      <c r="N172" s="41">
        <v>12.49</v>
      </c>
      <c r="O172" s="106">
        <v>172.0</v>
      </c>
      <c r="P172" s="9"/>
      <c r="Q172" s="25" t="s">
        <v>174</v>
      </c>
      <c r="R172" s="25">
        <v>1.0</v>
      </c>
      <c r="S172" s="106" t="s">
        <v>175</v>
      </c>
      <c r="T172" s="9"/>
      <c r="U172" s="25">
        <v>5.0</v>
      </c>
      <c r="V172" s="9"/>
      <c r="W172" s="14">
        <f>X172+AF172+AG172+AO172</f>
        <v>16396.5473</v>
      </c>
      <c r="X172" s="115">
        <v>750.0</v>
      </c>
      <c r="Y172" s="107" t="s">
        <v>160</v>
      </c>
      <c r="Z172" s="107">
        <v>750.0</v>
      </c>
      <c r="AA172" s="107">
        <v>750.0</v>
      </c>
      <c r="AB172" s="108">
        <f t="shared" si="112"/>
        <v>4</v>
      </c>
      <c r="AC172" s="107">
        <v>4.0</v>
      </c>
      <c r="AD172" s="107">
        <v>4.0</v>
      </c>
      <c r="AE172" s="19">
        <f>IFERROR(__xludf.DUMMYFUNCTION("AB172*GoogleFinance(""CURRENCY:GBPUSD"")"),4.98318)</f>
        <v>4.98318</v>
      </c>
      <c r="AF172" s="16">
        <f>AE172*52.1775*N172</f>
        <v>3247.523332</v>
      </c>
      <c r="AG172" s="16">
        <f>AH172*N172</f>
        <v>12199.02397</v>
      </c>
      <c r="AH172" s="16">
        <f>IFERROR(__xludf.DUMMYFUNCTION("AI172*GoogleFinance(""CURRENCY:GBPUSD"")"),976.70328)</f>
        <v>976.70328</v>
      </c>
      <c r="AI172" s="108">
        <f t="shared" si="5"/>
        <v>784</v>
      </c>
      <c r="AJ172" s="107">
        <v>121.0</v>
      </c>
      <c r="AK172" s="107">
        <v>126.0</v>
      </c>
      <c r="AL172" s="107">
        <v>244.0</v>
      </c>
      <c r="AM172" s="107">
        <v>177.0</v>
      </c>
      <c r="AN172" s="107">
        <v>116.0</v>
      </c>
      <c r="AO172" s="107">
        <v>200.0</v>
      </c>
      <c r="AP172" s="9"/>
      <c r="AQ172" s="25" t="s">
        <v>147</v>
      </c>
      <c r="AR172" s="25" t="s">
        <v>165</v>
      </c>
      <c r="AS172" s="9"/>
      <c r="AT172" s="25" t="s">
        <v>148</v>
      </c>
      <c r="AU172" s="106" t="s">
        <v>150</v>
      </c>
      <c r="AV172" s="106" t="s">
        <v>150</v>
      </c>
      <c r="AW172" s="14">
        <f t="shared" si="102"/>
        <v>45.72</v>
      </c>
      <c r="AX172" s="112">
        <f>average(17,19)</f>
        <v>18</v>
      </c>
      <c r="AY172" s="9"/>
      <c r="AZ172" s="106" t="s">
        <v>305</v>
      </c>
      <c r="BA172" s="12"/>
      <c r="BB172" s="12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5" t="s">
        <v>763</v>
      </c>
      <c r="B173" s="9"/>
      <c r="C173" s="8"/>
      <c r="D173" s="9"/>
      <c r="E173" s="25" t="s">
        <v>23</v>
      </c>
      <c r="F173" s="9"/>
      <c r="G173" s="25">
        <v>99.0</v>
      </c>
      <c r="H173" s="9"/>
      <c r="I173" s="25">
        <v>53.0</v>
      </c>
      <c r="J173" s="25" t="s">
        <v>184</v>
      </c>
      <c r="K173" s="116" t="s">
        <v>185</v>
      </c>
      <c r="L173" s="25" t="s">
        <v>187</v>
      </c>
      <c r="M173" s="9"/>
      <c r="N173" s="137" t="s">
        <v>150</v>
      </c>
      <c r="O173" s="106" t="s">
        <v>182</v>
      </c>
      <c r="P173" s="9"/>
      <c r="Q173" s="25" t="s">
        <v>145</v>
      </c>
      <c r="R173" s="25">
        <v>0.0</v>
      </c>
      <c r="S173" s="106" t="s">
        <v>145</v>
      </c>
      <c r="T173" s="9"/>
      <c r="U173" s="25">
        <v>4.0</v>
      </c>
      <c r="V173" s="9"/>
      <c r="W173" s="115" t="s">
        <v>150</v>
      </c>
      <c r="X173" s="16">
        <f>average(1250,600,950,900,575,650,825,600,1250,825)</f>
        <v>842.5</v>
      </c>
      <c r="Y173" s="107" t="s">
        <v>160</v>
      </c>
      <c r="Z173" s="107">
        <v>575.0</v>
      </c>
      <c r="AA173" s="107">
        <v>1250.0</v>
      </c>
      <c r="AB173" s="108">
        <f t="shared" si="112"/>
        <v>4</v>
      </c>
      <c r="AC173" s="107">
        <v>4.0</v>
      </c>
      <c r="AD173" s="107">
        <v>4.0</v>
      </c>
      <c r="AE173" s="19">
        <f>IFERROR(__xludf.DUMMYFUNCTION("AB173*GoogleFinance(""CURRENCY:GBPUSD"")"),4.98318)</f>
        <v>4.98318</v>
      </c>
      <c r="AF173" s="115" t="s">
        <v>150</v>
      </c>
      <c r="AG173" s="115" t="s">
        <v>150</v>
      </c>
      <c r="AH173" s="16">
        <f>IFERROR(__xludf.DUMMYFUNCTION("AI173*GoogleFinance(""CURRENCY:GBPUSD"")"),976.70328)</f>
        <v>976.70328</v>
      </c>
      <c r="AI173" s="108">
        <f t="shared" si="5"/>
        <v>784</v>
      </c>
      <c r="AJ173" s="107">
        <v>121.0</v>
      </c>
      <c r="AK173" s="107">
        <v>126.0</v>
      </c>
      <c r="AL173" s="107">
        <v>244.0</v>
      </c>
      <c r="AM173" s="107">
        <v>177.0</v>
      </c>
      <c r="AN173" s="107">
        <v>116.0</v>
      </c>
      <c r="AO173" s="107">
        <v>200.0</v>
      </c>
      <c r="AP173" s="9"/>
      <c r="AQ173" s="25" t="s">
        <v>147</v>
      </c>
      <c r="AR173" s="25" t="s">
        <v>165</v>
      </c>
      <c r="AS173" s="9"/>
      <c r="AT173" s="25" t="s">
        <v>149</v>
      </c>
      <c r="AU173" s="14">
        <f>AV173*0.45359237</f>
        <v>9.0718474</v>
      </c>
      <c r="AV173" s="106">
        <v>20.0</v>
      </c>
      <c r="AW173" s="14">
        <f t="shared" si="102"/>
        <v>38.1</v>
      </c>
      <c r="AX173" s="106">
        <v>15.0</v>
      </c>
      <c r="AY173" s="9"/>
      <c r="AZ173" s="12"/>
      <c r="BA173" s="12"/>
      <c r="BB173" s="12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5" t="s">
        <v>488</v>
      </c>
      <c r="B174" s="9"/>
      <c r="C174" s="8"/>
      <c r="D174" s="9"/>
      <c r="E174" s="25" t="s">
        <v>23</v>
      </c>
      <c r="F174" s="9"/>
      <c r="G174" s="25">
        <v>35.0</v>
      </c>
      <c r="H174" s="9"/>
      <c r="I174" s="25">
        <v>47.0</v>
      </c>
      <c r="J174" s="25" t="s">
        <v>184</v>
      </c>
      <c r="K174" s="116" t="s">
        <v>185</v>
      </c>
      <c r="L174" s="25" t="s">
        <v>187</v>
      </c>
      <c r="M174" s="9"/>
      <c r="N174" s="41">
        <v>12.8</v>
      </c>
      <c r="O174" s="106">
        <v>80.0</v>
      </c>
      <c r="P174" s="9"/>
      <c r="Q174" s="116" t="s">
        <v>492</v>
      </c>
      <c r="R174" s="25">
        <v>3.0</v>
      </c>
      <c r="S174" s="106" t="s">
        <v>493</v>
      </c>
      <c r="T174" s="9"/>
      <c r="U174" s="25">
        <v>6.0</v>
      </c>
      <c r="V174" s="9"/>
      <c r="W174" s="14">
        <f t="shared" ref="W174:W175" si="113">X174+AF174+AG174+AO174</f>
        <v>16567.42838</v>
      </c>
      <c r="X174" s="16">
        <f>average(300,600,750,550,450,400,600,275,650,800)</f>
        <v>537.5</v>
      </c>
      <c r="Y174" s="107" t="s">
        <v>146</v>
      </c>
      <c r="Z174" s="107">
        <v>275.0</v>
      </c>
      <c r="AA174" s="107">
        <v>750.0</v>
      </c>
      <c r="AB174" s="108">
        <f t="shared" si="112"/>
        <v>4</v>
      </c>
      <c r="AC174" s="107">
        <v>4.0</v>
      </c>
      <c r="AD174" s="107">
        <v>4.0</v>
      </c>
      <c r="AE174" s="19">
        <f>IFERROR(__xludf.DUMMYFUNCTION("AB174*GoogleFinance(""CURRENCY:GBPUSD"")"),4.98318)</f>
        <v>4.98318</v>
      </c>
      <c r="AF174" s="16">
        <f t="shared" ref="AF174:AF175" si="114">AE174*52.1775*N174</f>
        <v>3328.126393</v>
      </c>
      <c r="AG174" s="16">
        <f t="shared" ref="AG174:AG177" si="115">AH174*N174</f>
        <v>12501.80198</v>
      </c>
      <c r="AH174" s="16">
        <f>IFERROR(__xludf.DUMMYFUNCTION("AI174*GoogleFinance(""CURRENCY:GBPUSD"")"),976.70328)</f>
        <v>976.70328</v>
      </c>
      <c r="AI174" s="108">
        <f t="shared" si="5"/>
        <v>784</v>
      </c>
      <c r="AJ174" s="107">
        <v>121.0</v>
      </c>
      <c r="AK174" s="107">
        <v>126.0</v>
      </c>
      <c r="AL174" s="107">
        <v>244.0</v>
      </c>
      <c r="AM174" s="107">
        <v>177.0</v>
      </c>
      <c r="AN174" s="107">
        <v>116.0</v>
      </c>
      <c r="AO174" s="107">
        <v>200.0</v>
      </c>
      <c r="AP174" s="9"/>
      <c r="AQ174" s="25" t="s">
        <v>147</v>
      </c>
      <c r="AR174" s="25" t="s">
        <v>165</v>
      </c>
      <c r="AS174" s="9"/>
      <c r="AT174" s="25" t="s">
        <v>149</v>
      </c>
      <c r="AU174" s="109" t="s">
        <v>150</v>
      </c>
      <c r="AV174" s="106" t="s">
        <v>150</v>
      </c>
      <c r="AW174" s="14">
        <f t="shared" si="102"/>
        <v>26.67</v>
      </c>
      <c r="AX174" s="112">
        <f>average(10,11)</f>
        <v>10.5</v>
      </c>
      <c r="AY174" s="9"/>
      <c r="AZ174" s="12"/>
      <c r="BA174" s="12"/>
      <c r="BB174" s="12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5" t="s">
        <v>475</v>
      </c>
      <c r="B175" s="9"/>
      <c r="C175" s="8"/>
      <c r="D175" s="9"/>
      <c r="E175" s="25" t="s">
        <v>53</v>
      </c>
      <c r="F175" s="9"/>
      <c r="G175" s="25">
        <v>57.0</v>
      </c>
      <c r="H175" s="9"/>
      <c r="I175" s="25">
        <v>51.0</v>
      </c>
      <c r="J175" s="25" t="s">
        <v>184</v>
      </c>
      <c r="K175" s="116" t="s">
        <v>185</v>
      </c>
      <c r="L175" s="25" t="s">
        <v>187</v>
      </c>
      <c r="M175" s="9"/>
      <c r="N175" s="41">
        <v>12.87</v>
      </c>
      <c r="O175" s="106">
        <v>500.0</v>
      </c>
      <c r="P175" s="9"/>
      <c r="Q175" s="25" t="s">
        <v>145</v>
      </c>
      <c r="R175" s="25">
        <v>0.0</v>
      </c>
      <c r="S175" s="106" t="s">
        <v>145</v>
      </c>
      <c r="T175" s="9"/>
      <c r="U175" s="25">
        <v>2.0</v>
      </c>
      <c r="V175" s="9"/>
      <c r="W175" s="14">
        <f t="shared" si="113"/>
        <v>17031.4983</v>
      </c>
      <c r="X175" s="16">
        <f>average(1100,1100,750,750,1200,650,1100,900,600,1000)</f>
        <v>915</v>
      </c>
      <c r="Y175" s="107" t="s">
        <v>160</v>
      </c>
      <c r="Z175" s="107">
        <v>650.0</v>
      </c>
      <c r="AA175" s="107">
        <v>1200.0</v>
      </c>
      <c r="AB175" s="108">
        <f t="shared" si="112"/>
        <v>4</v>
      </c>
      <c r="AC175" s="107">
        <v>4.0</v>
      </c>
      <c r="AD175" s="107">
        <v>4.0</v>
      </c>
      <c r="AE175" s="19">
        <f>IFERROR(__xludf.DUMMYFUNCTION("AB175*GoogleFinance(""CURRENCY:GBPUSD"")"),4.98318)</f>
        <v>4.98318</v>
      </c>
      <c r="AF175" s="16">
        <f t="shared" si="114"/>
        <v>3346.327084</v>
      </c>
      <c r="AG175" s="16">
        <f t="shared" si="115"/>
        <v>12570.17121</v>
      </c>
      <c r="AH175" s="16">
        <f>IFERROR(__xludf.DUMMYFUNCTION("AI175*GoogleFinance(""CURRENCY:GBPUSD"")"),976.70328)</f>
        <v>976.70328</v>
      </c>
      <c r="AI175" s="108">
        <f t="shared" si="5"/>
        <v>784</v>
      </c>
      <c r="AJ175" s="107">
        <v>121.0</v>
      </c>
      <c r="AK175" s="107">
        <v>126.0</v>
      </c>
      <c r="AL175" s="107">
        <v>244.0</v>
      </c>
      <c r="AM175" s="107">
        <v>177.0</v>
      </c>
      <c r="AN175" s="107">
        <v>116.0</v>
      </c>
      <c r="AO175" s="107">
        <v>200.0</v>
      </c>
      <c r="AP175" s="9"/>
      <c r="AQ175" s="25" t="s">
        <v>147</v>
      </c>
      <c r="AR175" s="25" t="s">
        <v>148</v>
      </c>
      <c r="AS175" s="9"/>
      <c r="AT175" s="25" t="s">
        <v>148</v>
      </c>
      <c r="AU175" s="106" t="s">
        <v>150</v>
      </c>
      <c r="AV175" s="106" t="s">
        <v>150</v>
      </c>
      <c r="AW175" s="14">
        <f t="shared" si="102"/>
        <v>50.8</v>
      </c>
      <c r="AX175" s="112">
        <f>average(18,22)</f>
        <v>20</v>
      </c>
      <c r="AY175" s="9"/>
      <c r="AZ175" s="12"/>
      <c r="BA175" s="12"/>
      <c r="BB175" s="12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5" t="s">
        <v>764</v>
      </c>
      <c r="B176" s="9"/>
      <c r="C176" s="8"/>
      <c r="D176" s="9"/>
      <c r="E176" s="25" t="s">
        <v>23</v>
      </c>
      <c r="F176" s="9"/>
      <c r="G176" s="25">
        <v>100.0</v>
      </c>
      <c r="H176" s="9"/>
      <c r="I176" s="25">
        <v>51.0</v>
      </c>
      <c r="J176" s="25" t="s">
        <v>184</v>
      </c>
      <c r="K176" s="116" t="s">
        <v>185</v>
      </c>
      <c r="L176" s="25" t="s">
        <v>187</v>
      </c>
      <c r="M176" s="9"/>
      <c r="N176" s="41">
        <v>13.17</v>
      </c>
      <c r="O176" s="106">
        <v>44.0</v>
      </c>
      <c r="P176" s="9"/>
      <c r="Q176" s="25" t="s">
        <v>145</v>
      </c>
      <c r="R176" s="25">
        <v>0.0</v>
      </c>
      <c r="S176" s="106" t="s">
        <v>145</v>
      </c>
      <c r="T176" s="9"/>
      <c r="U176" s="25">
        <v>4.0</v>
      </c>
      <c r="V176" s="9"/>
      <c r="W176" s="115" t="s">
        <v>150</v>
      </c>
      <c r="X176" s="16">
        <f>average(600,600,650,700,650,1600,650,175,600,450)</f>
        <v>667.5</v>
      </c>
      <c r="Y176" s="107" t="s">
        <v>146</v>
      </c>
      <c r="Z176" s="107">
        <v>175.0</v>
      </c>
      <c r="AA176" s="107">
        <v>1600.0</v>
      </c>
      <c r="AB176" s="115" t="s">
        <v>150</v>
      </c>
      <c r="AC176" s="115" t="s">
        <v>150</v>
      </c>
      <c r="AD176" s="115" t="s">
        <v>150</v>
      </c>
      <c r="AE176" s="115" t="s">
        <v>150</v>
      </c>
      <c r="AF176" s="115" t="s">
        <v>150</v>
      </c>
      <c r="AG176" s="16">
        <f t="shared" si="115"/>
        <v>12863.1822</v>
      </c>
      <c r="AH176" s="16">
        <f>IFERROR(__xludf.DUMMYFUNCTION("AI176*GoogleFinance(""CURRENCY:GBPUSD"")"),976.70328)</f>
        <v>976.70328</v>
      </c>
      <c r="AI176" s="108">
        <f t="shared" si="5"/>
        <v>784</v>
      </c>
      <c r="AJ176" s="107">
        <v>121.0</v>
      </c>
      <c r="AK176" s="107">
        <v>126.0</v>
      </c>
      <c r="AL176" s="107">
        <v>244.0</v>
      </c>
      <c r="AM176" s="107">
        <v>177.0</v>
      </c>
      <c r="AN176" s="107">
        <v>116.0</v>
      </c>
      <c r="AO176" s="107">
        <v>200.0</v>
      </c>
      <c r="AP176" s="9"/>
      <c r="AQ176" s="107" t="s">
        <v>182</v>
      </c>
      <c r="AR176" s="107" t="s">
        <v>182</v>
      </c>
      <c r="AS176" s="9"/>
      <c r="AT176" s="25" t="s">
        <v>149</v>
      </c>
      <c r="AU176" s="14">
        <f>AV176*0.45359237</f>
        <v>7.937866475</v>
      </c>
      <c r="AV176" s="106">
        <v>17.5</v>
      </c>
      <c r="AW176" s="14">
        <f t="shared" si="102"/>
        <v>38.1</v>
      </c>
      <c r="AX176" s="106">
        <v>15.0</v>
      </c>
      <c r="AY176" s="9"/>
      <c r="AZ176" s="106" t="s">
        <v>765</v>
      </c>
      <c r="BA176" s="12"/>
      <c r="BB176" s="12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5" t="s">
        <v>766</v>
      </c>
      <c r="B177" s="9"/>
      <c r="C177" s="8"/>
      <c r="D177" s="9"/>
      <c r="E177" s="25" t="s">
        <v>27</v>
      </c>
      <c r="F177" s="9"/>
      <c r="G177" s="25">
        <v>92.0</v>
      </c>
      <c r="H177" s="9"/>
      <c r="I177" s="25">
        <v>46.0</v>
      </c>
      <c r="J177" s="25" t="s">
        <v>184</v>
      </c>
      <c r="K177" s="116" t="s">
        <v>185</v>
      </c>
      <c r="L177" s="25" t="s">
        <v>187</v>
      </c>
      <c r="M177" s="9"/>
      <c r="N177" s="41">
        <v>8.8</v>
      </c>
      <c r="O177" s="106">
        <v>16.0</v>
      </c>
      <c r="P177" s="9"/>
      <c r="Q177" s="25" t="s">
        <v>145</v>
      </c>
      <c r="R177" s="25">
        <v>0.0</v>
      </c>
      <c r="S177" s="106" t="s">
        <v>145</v>
      </c>
      <c r="T177" s="9"/>
      <c r="U177" s="25">
        <v>4.0</v>
      </c>
      <c r="V177" s="9"/>
      <c r="W177" s="115" t="s">
        <v>150</v>
      </c>
      <c r="X177" s="16">
        <f>average(750,750,800,750,750,750,750,750,750,750)</f>
        <v>755</v>
      </c>
      <c r="Y177" s="107" t="s">
        <v>160</v>
      </c>
      <c r="Z177" s="107">
        <v>750.0</v>
      </c>
      <c r="AA177" s="107">
        <v>800.0</v>
      </c>
      <c r="AB177" s="115" t="s">
        <v>150</v>
      </c>
      <c r="AC177" s="115" t="s">
        <v>150</v>
      </c>
      <c r="AD177" s="115" t="s">
        <v>150</v>
      </c>
      <c r="AE177" s="115" t="s">
        <v>150</v>
      </c>
      <c r="AF177" s="115" t="s">
        <v>150</v>
      </c>
      <c r="AG177" s="16">
        <f t="shared" si="115"/>
        <v>8594.988864</v>
      </c>
      <c r="AH177" s="16">
        <f>IFERROR(__xludf.DUMMYFUNCTION("AI177*GoogleFinance(""CURRENCY:GBPUSD"")"),976.70328)</f>
        <v>976.70328</v>
      </c>
      <c r="AI177" s="108">
        <f t="shared" si="5"/>
        <v>784</v>
      </c>
      <c r="AJ177" s="107">
        <v>121.0</v>
      </c>
      <c r="AK177" s="107">
        <v>126.0</v>
      </c>
      <c r="AL177" s="107">
        <v>244.0</v>
      </c>
      <c r="AM177" s="107">
        <v>177.0</v>
      </c>
      <c r="AN177" s="107">
        <v>116.0</v>
      </c>
      <c r="AO177" s="107">
        <v>200.0</v>
      </c>
      <c r="AP177" s="9"/>
      <c r="AQ177" s="107" t="s">
        <v>182</v>
      </c>
      <c r="AR177" s="107" t="s">
        <v>182</v>
      </c>
      <c r="AS177" s="9"/>
      <c r="AT177" s="25" t="s">
        <v>148</v>
      </c>
      <c r="AU177" s="106" t="s">
        <v>150</v>
      </c>
      <c r="AV177" s="106" t="s">
        <v>150</v>
      </c>
      <c r="AW177" s="14">
        <f t="shared" si="102"/>
        <v>55.88</v>
      </c>
      <c r="AX177" s="112">
        <f>average(20,24)</f>
        <v>22</v>
      </c>
      <c r="AY177" s="9"/>
      <c r="AZ177" s="12"/>
      <c r="BA177" s="12"/>
      <c r="BB177" s="12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5" t="s">
        <v>767</v>
      </c>
      <c r="B178" s="9"/>
      <c r="C178" s="8"/>
      <c r="D178" s="9"/>
      <c r="E178" s="25" t="s">
        <v>34</v>
      </c>
      <c r="F178" s="9"/>
      <c r="G178" s="25">
        <v>155.0</v>
      </c>
      <c r="H178" s="9"/>
      <c r="I178" s="106" t="s">
        <v>150</v>
      </c>
      <c r="J178" s="106" t="s">
        <v>150</v>
      </c>
      <c r="K178" s="106" t="s">
        <v>150</v>
      </c>
      <c r="L178" s="106" t="s">
        <v>150</v>
      </c>
      <c r="M178" s="134"/>
      <c r="N178" s="137" t="s">
        <v>150</v>
      </c>
      <c r="O178" s="106" t="s">
        <v>182</v>
      </c>
      <c r="P178" s="134"/>
      <c r="Q178" s="106" t="s">
        <v>150</v>
      </c>
      <c r="R178" s="106" t="s">
        <v>150</v>
      </c>
      <c r="S178" s="106" t="s">
        <v>150</v>
      </c>
      <c r="T178" s="9"/>
      <c r="U178" s="25">
        <v>2.0</v>
      </c>
      <c r="V178" s="9"/>
      <c r="W178" s="115" t="s">
        <v>150</v>
      </c>
      <c r="X178" s="16">
        <f>average(450,450,450,2000,600,1200,500,500,300)</f>
        <v>716.6666667</v>
      </c>
      <c r="Y178" s="107" t="s">
        <v>160</v>
      </c>
      <c r="Z178" s="115">
        <v>300.0</v>
      </c>
      <c r="AA178" s="115">
        <v>2000.0</v>
      </c>
      <c r="AB178" s="115" t="s">
        <v>150</v>
      </c>
      <c r="AC178" s="115" t="s">
        <v>150</v>
      </c>
      <c r="AD178" s="115" t="s">
        <v>150</v>
      </c>
      <c r="AE178" s="115" t="s">
        <v>150</v>
      </c>
      <c r="AF178" s="115" t="s">
        <v>150</v>
      </c>
      <c r="AG178" s="115" t="s">
        <v>150</v>
      </c>
      <c r="AH178" s="16">
        <f>IFERROR(__xludf.DUMMYFUNCTION("AI178*GoogleFinance(""CURRENCY:GBPUSD"")"),976.70328)</f>
        <v>976.70328</v>
      </c>
      <c r="AI178" s="108">
        <f t="shared" si="5"/>
        <v>784</v>
      </c>
      <c r="AJ178" s="107">
        <v>121.0</v>
      </c>
      <c r="AK178" s="107">
        <v>126.0</v>
      </c>
      <c r="AL178" s="107">
        <v>244.0</v>
      </c>
      <c r="AM178" s="107">
        <v>177.0</v>
      </c>
      <c r="AN178" s="107">
        <v>116.0</v>
      </c>
      <c r="AO178" s="107">
        <v>200.0</v>
      </c>
      <c r="AP178" s="9"/>
      <c r="AQ178" s="107" t="s">
        <v>182</v>
      </c>
      <c r="AR178" s="107" t="s">
        <v>182</v>
      </c>
      <c r="AS178" s="9"/>
      <c r="AT178" s="25" t="s">
        <v>148</v>
      </c>
      <c r="AU178" s="109" t="s">
        <v>150</v>
      </c>
      <c r="AV178" s="106" t="s">
        <v>150</v>
      </c>
      <c r="AW178" s="14">
        <f t="shared" si="102"/>
        <v>41.91</v>
      </c>
      <c r="AX178" s="112">
        <f>average(10,23)</f>
        <v>16.5</v>
      </c>
      <c r="AY178" s="9"/>
      <c r="AZ178" s="12"/>
      <c r="BA178" s="12"/>
      <c r="BB178" s="12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5" t="s">
        <v>585</v>
      </c>
      <c r="B179" s="9"/>
      <c r="C179" s="8"/>
      <c r="D179" s="9"/>
      <c r="E179" s="25" t="s">
        <v>43</v>
      </c>
      <c r="F179" s="9"/>
      <c r="G179" s="25">
        <v>5.0</v>
      </c>
      <c r="H179" s="9"/>
      <c r="I179" s="25">
        <v>27.0</v>
      </c>
      <c r="J179" s="25" t="s">
        <v>142</v>
      </c>
      <c r="K179" s="25" t="s">
        <v>143</v>
      </c>
      <c r="L179" s="25" t="s">
        <v>144</v>
      </c>
      <c r="M179" s="9"/>
      <c r="N179" s="41">
        <v>12.6</v>
      </c>
      <c r="O179" s="106">
        <v>63.0</v>
      </c>
      <c r="P179" s="9"/>
      <c r="Q179" s="25" t="s">
        <v>587</v>
      </c>
      <c r="R179" s="25">
        <v>4.0</v>
      </c>
      <c r="S179" s="106" t="s">
        <v>588</v>
      </c>
      <c r="T179" s="9"/>
      <c r="U179" s="25">
        <v>5.0</v>
      </c>
      <c r="V179" s="9"/>
      <c r="W179" s="14">
        <f>X179+AF179+AG179+AO179</f>
        <v>16839.58575</v>
      </c>
      <c r="X179" s="16">
        <f>average(1000,1200,700,1000,495,2000,2800,700,400,275)</f>
        <v>1057</v>
      </c>
      <c r="Y179" s="107" t="s">
        <v>160</v>
      </c>
      <c r="Z179" s="107">
        <v>275.0</v>
      </c>
      <c r="AA179" s="107">
        <v>2800.0</v>
      </c>
      <c r="AB179" s="108">
        <f>average(AC179,AD179)</f>
        <v>4</v>
      </c>
      <c r="AC179" s="107">
        <v>4.0</v>
      </c>
      <c r="AD179" s="107">
        <v>4.0</v>
      </c>
      <c r="AE179" s="19">
        <f>IFERROR(__xludf.DUMMYFUNCTION("AB179*GoogleFinance(""CURRENCY:GBPUSD"")"),4.98318)</f>
        <v>4.98318</v>
      </c>
      <c r="AF179" s="16">
        <f>AE179*52.1775*N179</f>
        <v>3276.124418</v>
      </c>
      <c r="AG179" s="16">
        <f>AH179*N179</f>
        <v>12306.46133</v>
      </c>
      <c r="AH179" s="16">
        <f>IFERROR(__xludf.DUMMYFUNCTION("AI179*GoogleFinance(""CURRENCY:GBPUSD"")"),976.70328)</f>
        <v>976.70328</v>
      </c>
      <c r="AI179" s="108">
        <f t="shared" si="5"/>
        <v>784</v>
      </c>
      <c r="AJ179" s="107">
        <v>121.0</v>
      </c>
      <c r="AK179" s="107">
        <v>126.0</v>
      </c>
      <c r="AL179" s="107">
        <v>244.0</v>
      </c>
      <c r="AM179" s="107">
        <v>177.0</v>
      </c>
      <c r="AN179" s="107">
        <v>116.0</v>
      </c>
      <c r="AO179" s="107">
        <v>200.0</v>
      </c>
      <c r="AP179" s="9"/>
      <c r="AQ179" s="25" t="s">
        <v>164</v>
      </c>
      <c r="AR179" s="25" t="s">
        <v>209</v>
      </c>
      <c r="AS179" s="9"/>
      <c r="AT179" s="25" t="s">
        <v>149</v>
      </c>
      <c r="AU179" s="14">
        <f>AV179*0.45359237</f>
        <v>2.494758035</v>
      </c>
      <c r="AV179" s="112">
        <f>average(4,7)</f>
        <v>5.5</v>
      </c>
      <c r="AW179" s="106" t="s">
        <v>150</v>
      </c>
      <c r="AX179" s="106" t="s">
        <v>150</v>
      </c>
      <c r="AY179" s="9"/>
      <c r="AZ179" s="12"/>
      <c r="BA179" s="12"/>
      <c r="BB179" s="12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2"/>
      <c r="P180" s="9"/>
      <c r="Q180" s="8"/>
      <c r="R180" s="8"/>
      <c r="S180" s="12"/>
      <c r="T180" s="9"/>
      <c r="U180" s="8"/>
      <c r="V180" s="9"/>
      <c r="W180" s="14"/>
      <c r="X180" s="16"/>
      <c r="Y180" s="18"/>
      <c r="Z180" s="18"/>
      <c r="AA180" s="18"/>
      <c r="AB180" s="18"/>
      <c r="AC180" s="18"/>
      <c r="AD180" s="18"/>
      <c r="AE180" s="19"/>
      <c r="AF180" s="16"/>
      <c r="AG180" s="16"/>
      <c r="AH180" s="16"/>
      <c r="AI180" s="18"/>
      <c r="AJ180" s="18"/>
      <c r="AK180" s="18"/>
      <c r="AL180" s="18"/>
      <c r="AM180" s="18"/>
      <c r="AN180" s="18"/>
      <c r="AO180" s="18"/>
      <c r="AP180" s="9"/>
      <c r="AQ180" s="8"/>
      <c r="AR180" s="8"/>
      <c r="AS180" s="9"/>
      <c r="AT180" s="8"/>
      <c r="AU180" s="14"/>
      <c r="AV180" s="12"/>
      <c r="AW180" s="14"/>
      <c r="AX180" s="12"/>
      <c r="AY180" s="9"/>
      <c r="AZ180" s="12"/>
      <c r="BA180" s="12"/>
      <c r="BB180" s="12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29" t="s">
        <v>768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240"/>
      <c r="M181" s="9"/>
      <c r="N181" s="8"/>
      <c r="O181" s="12"/>
      <c r="P181" s="9"/>
      <c r="Q181" s="8"/>
      <c r="R181" s="8"/>
      <c r="S181" s="8"/>
      <c r="T181" s="9"/>
      <c r="U181" s="8"/>
      <c r="V181" s="9"/>
      <c r="W181" s="14"/>
      <c r="X181" s="16"/>
      <c r="Y181" s="18"/>
      <c r="Z181" s="18"/>
      <c r="AA181" s="18"/>
      <c r="AB181" s="18"/>
      <c r="AC181" s="18"/>
      <c r="AD181" s="18"/>
      <c r="AE181" s="19"/>
      <c r="AF181" s="16"/>
      <c r="AG181" s="16"/>
      <c r="AH181" s="16"/>
      <c r="AI181" s="18"/>
      <c r="AJ181" s="18"/>
      <c r="AK181" s="18"/>
      <c r="AL181" s="18"/>
      <c r="AM181" s="18"/>
      <c r="AN181" s="18"/>
      <c r="AO181" s="18"/>
      <c r="AP181" s="9"/>
      <c r="AQ181" s="8"/>
      <c r="AR181" s="8"/>
      <c r="AS181" s="9"/>
      <c r="AT181" s="8"/>
      <c r="AU181" s="14"/>
      <c r="AV181" s="12"/>
      <c r="AW181" s="14"/>
      <c r="AX181" s="12"/>
      <c r="AY181" s="9"/>
      <c r="AZ181" s="95" t="s">
        <v>19</v>
      </c>
      <c r="BA181" s="106" t="s">
        <v>154</v>
      </c>
      <c r="BB181" s="113" t="s">
        <v>155</v>
      </c>
      <c r="BC181" s="12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61"/>
      <c r="D182" s="61"/>
      <c r="F182" s="61"/>
      <c r="H182" s="61"/>
      <c r="K182" s="8"/>
      <c r="L182" s="240"/>
      <c r="M182" s="9"/>
      <c r="N182" s="8"/>
      <c r="O182" s="12"/>
      <c r="P182" s="9"/>
      <c r="Q182" s="8"/>
      <c r="R182" s="8"/>
      <c r="T182" s="61"/>
      <c r="U182" s="8"/>
      <c r="V182" s="9"/>
      <c r="W182" s="14"/>
      <c r="X182" s="16"/>
      <c r="Y182" s="18"/>
      <c r="Z182" s="18"/>
      <c r="AA182" s="18"/>
      <c r="AB182" s="18"/>
      <c r="AC182" s="18"/>
      <c r="AD182" s="18"/>
      <c r="AE182" s="19"/>
      <c r="AF182" s="16"/>
      <c r="AG182" s="16"/>
      <c r="AH182" s="16"/>
      <c r="AI182" s="18"/>
      <c r="AJ182" s="18"/>
      <c r="AK182" s="18"/>
      <c r="AL182" s="18"/>
      <c r="AM182" s="18"/>
      <c r="AN182" s="18"/>
      <c r="AO182" s="18"/>
      <c r="AP182" s="9"/>
      <c r="AQ182" s="8"/>
      <c r="AR182" s="8"/>
      <c r="AS182" s="9"/>
      <c r="AT182" s="8"/>
      <c r="AU182" s="14"/>
      <c r="AV182" s="12"/>
      <c r="AW182" s="14"/>
      <c r="AX182" s="12"/>
      <c r="AY182" s="9"/>
      <c r="AZ182" s="95" t="s">
        <v>161</v>
      </c>
      <c r="BA182" s="106" t="s">
        <v>162</v>
      </c>
      <c r="BB182" s="113" t="s">
        <v>163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61"/>
      <c r="F183" s="61"/>
      <c r="H183" s="61"/>
      <c r="K183" s="8"/>
      <c r="L183" s="240"/>
      <c r="M183" s="9"/>
      <c r="N183" s="8"/>
      <c r="O183" s="12"/>
      <c r="P183" s="9"/>
      <c r="Q183" s="8"/>
      <c r="R183" s="8"/>
      <c r="T183" s="61"/>
      <c r="U183" s="8"/>
      <c r="V183" s="9"/>
      <c r="W183" s="14"/>
      <c r="X183" s="16"/>
      <c r="Y183" s="18"/>
      <c r="Z183" s="18"/>
      <c r="AA183" s="18"/>
      <c r="AB183" s="18"/>
      <c r="AC183" s="18"/>
      <c r="AD183" s="18"/>
      <c r="AE183" s="19"/>
      <c r="AF183" s="16"/>
      <c r="AG183" s="16"/>
      <c r="AH183" s="16"/>
      <c r="AI183" s="18"/>
      <c r="AJ183" s="18"/>
      <c r="AK183" s="18"/>
      <c r="AL183" s="18"/>
      <c r="AM183" s="18"/>
      <c r="AN183" s="18"/>
      <c r="AO183" s="18"/>
      <c r="AP183" s="9"/>
      <c r="AQ183" s="8"/>
      <c r="AR183" s="8"/>
      <c r="AS183" s="9"/>
      <c r="AT183" s="8"/>
      <c r="AU183" s="14"/>
      <c r="AV183" s="12"/>
      <c r="AW183" s="14"/>
      <c r="AX183" s="12"/>
      <c r="AY183" s="9"/>
      <c r="AZ183" s="95" t="s">
        <v>167</v>
      </c>
      <c r="BA183" s="106" t="s">
        <v>168</v>
      </c>
      <c r="BB183" s="128" t="s">
        <v>169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8"/>
      <c r="D184" s="61"/>
      <c r="F184" s="61"/>
      <c r="H184" s="61"/>
      <c r="K184" s="18"/>
      <c r="L184" s="241"/>
      <c r="M184" s="43"/>
      <c r="N184" s="18"/>
      <c r="O184" s="12"/>
      <c r="P184" s="9"/>
      <c r="Q184" s="18"/>
      <c r="R184" s="18"/>
      <c r="T184" s="61"/>
      <c r="U184" s="8"/>
      <c r="V184" s="9"/>
      <c r="W184" s="14"/>
      <c r="X184" s="16"/>
      <c r="Y184" s="18"/>
      <c r="Z184" s="18"/>
      <c r="AA184" s="18"/>
      <c r="AB184" s="18"/>
      <c r="AC184" s="18"/>
      <c r="AD184" s="18"/>
      <c r="AE184" s="19"/>
      <c r="AF184" s="16"/>
      <c r="AG184" s="16"/>
      <c r="AH184" s="16"/>
      <c r="AI184" s="18"/>
      <c r="AJ184" s="18"/>
      <c r="AK184" s="18"/>
      <c r="AL184" s="18"/>
      <c r="AM184" s="18"/>
      <c r="AN184" s="18"/>
      <c r="AO184" s="18"/>
      <c r="AP184" s="9"/>
      <c r="AQ184" s="8"/>
      <c r="AR184" s="8"/>
      <c r="AS184" s="9"/>
      <c r="AT184" s="8"/>
      <c r="AU184" s="14"/>
      <c r="AV184" s="12"/>
      <c r="AW184" s="14"/>
      <c r="AX184" s="12"/>
      <c r="AY184" s="9"/>
      <c r="AZ184" s="95" t="s">
        <v>170</v>
      </c>
      <c r="BA184" s="106" t="s">
        <v>171</v>
      </c>
      <c r="BB184" s="128" t="s">
        <v>172</v>
      </c>
      <c r="BC184" s="128" t="s">
        <v>769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61"/>
      <c r="F185" s="61"/>
      <c r="H185" s="61"/>
      <c r="K185" s="7"/>
      <c r="L185" s="240"/>
      <c r="M185" s="9"/>
      <c r="N185" s="8"/>
      <c r="O185" s="12"/>
      <c r="P185" s="9"/>
      <c r="Q185" s="8"/>
      <c r="R185" s="8"/>
      <c r="T185" s="61"/>
      <c r="U185" s="8"/>
      <c r="V185" s="9"/>
      <c r="W185" s="14"/>
      <c r="X185" s="16"/>
      <c r="Y185" s="18"/>
      <c r="Z185" s="18"/>
      <c r="AA185" s="18"/>
      <c r="AB185" s="18"/>
      <c r="AC185" s="18"/>
      <c r="AD185" s="18"/>
      <c r="AE185" s="19"/>
      <c r="AF185" s="16"/>
      <c r="AG185" s="18"/>
      <c r="AH185" s="18"/>
      <c r="AI185" s="18"/>
      <c r="AJ185" s="18"/>
      <c r="AK185" s="18"/>
      <c r="AL185" s="18"/>
      <c r="AM185" s="18"/>
      <c r="AN185" s="18"/>
      <c r="AO185" s="18"/>
      <c r="AP185" s="9"/>
      <c r="AQ185" s="8"/>
      <c r="AR185" s="8"/>
      <c r="AS185" s="9"/>
      <c r="AT185" s="8"/>
      <c r="AU185" s="14"/>
      <c r="AV185" s="12"/>
      <c r="AW185" s="14"/>
      <c r="AX185" s="12"/>
      <c r="AY185" s="9"/>
      <c r="AZ185" s="95" t="s">
        <v>176</v>
      </c>
      <c r="BA185" s="106" t="s">
        <v>177</v>
      </c>
      <c r="BB185" s="128" t="s">
        <v>178</v>
      </c>
      <c r="BC185" s="18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2"/>
      <c r="P186" s="9"/>
      <c r="Q186" s="8"/>
      <c r="R186" s="8"/>
      <c r="T186" s="61"/>
      <c r="U186" s="8"/>
      <c r="V186" s="9"/>
      <c r="W186" s="14"/>
      <c r="X186" s="16"/>
      <c r="Y186" s="18"/>
      <c r="Z186" s="18"/>
      <c r="AA186" s="18"/>
      <c r="AB186" s="18"/>
      <c r="AC186" s="18"/>
      <c r="AD186" s="18"/>
      <c r="AE186" s="19"/>
      <c r="AF186" s="16"/>
      <c r="AG186" s="18"/>
      <c r="AH186" s="18"/>
      <c r="AI186" s="18"/>
      <c r="AJ186" s="18"/>
      <c r="AK186" s="18"/>
      <c r="AL186" s="18"/>
      <c r="AM186" s="18"/>
      <c r="AN186" s="18"/>
      <c r="AO186" s="18"/>
      <c r="AP186" s="9"/>
      <c r="AQ186" s="8"/>
      <c r="AR186" s="8"/>
      <c r="AS186" s="9"/>
      <c r="AT186" s="8"/>
      <c r="AU186" s="14"/>
      <c r="AV186" s="12"/>
      <c r="AW186" s="14"/>
      <c r="AX186" s="12"/>
      <c r="AY186" s="9"/>
      <c r="AZ186" s="95" t="s">
        <v>179</v>
      </c>
      <c r="BA186" s="106" t="s">
        <v>180</v>
      </c>
      <c r="BB186" s="113" t="s">
        <v>181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2"/>
      <c r="P187" s="9"/>
      <c r="Q187" s="8"/>
      <c r="R187" s="8"/>
      <c r="T187" s="61"/>
      <c r="U187" s="8"/>
      <c r="V187" s="9"/>
      <c r="W187" s="14"/>
      <c r="X187" s="16"/>
      <c r="Y187" s="18"/>
      <c r="Z187" s="18"/>
      <c r="AA187" s="18"/>
      <c r="AB187" s="18"/>
      <c r="AC187" s="18"/>
      <c r="AD187" s="18"/>
      <c r="AE187" s="19"/>
      <c r="AF187" s="16"/>
      <c r="AG187" s="18"/>
      <c r="AH187" s="18"/>
      <c r="AI187" s="18"/>
      <c r="AJ187" s="18"/>
      <c r="AK187" s="18"/>
      <c r="AL187" s="18"/>
      <c r="AM187" s="18"/>
      <c r="AN187" s="18"/>
      <c r="AO187" s="18"/>
      <c r="AP187" s="9"/>
      <c r="AQ187" s="8"/>
      <c r="AR187" s="8"/>
      <c r="AS187" s="9"/>
      <c r="AT187" s="8"/>
      <c r="AU187" s="14"/>
      <c r="AV187" s="12"/>
      <c r="AW187" s="14"/>
      <c r="AX187" s="12"/>
      <c r="AY187" s="9"/>
      <c r="AZ187" s="95" t="s">
        <v>186</v>
      </c>
      <c r="BA187" s="106" t="s">
        <v>188</v>
      </c>
      <c r="BB187" s="113" t="s">
        <v>155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2"/>
      <c r="P188" s="9"/>
      <c r="Q188" s="8"/>
      <c r="R188" s="8"/>
      <c r="T188" s="61"/>
      <c r="U188" s="8"/>
      <c r="V188" s="9"/>
      <c r="W188" s="14"/>
      <c r="X188" s="16"/>
      <c r="Y188" s="18"/>
      <c r="Z188" s="18"/>
      <c r="AA188" s="18"/>
      <c r="AB188" s="18"/>
      <c r="AC188" s="18"/>
      <c r="AD188" s="18"/>
      <c r="AE188" s="19"/>
      <c r="AF188" s="16"/>
      <c r="AG188" s="18"/>
      <c r="AH188" s="18"/>
      <c r="AI188" s="18"/>
      <c r="AJ188" s="18"/>
      <c r="AK188" s="18"/>
      <c r="AL188" s="18"/>
      <c r="AM188" s="18"/>
      <c r="AN188" s="18"/>
      <c r="AO188" s="18"/>
      <c r="AP188" s="9"/>
      <c r="AQ188" s="8"/>
      <c r="AR188" s="8"/>
      <c r="AS188" s="9"/>
      <c r="AT188" s="8"/>
      <c r="AU188" s="14"/>
      <c r="AV188" s="12"/>
      <c r="AW188" s="14"/>
      <c r="AX188" s="12"/>
      <c r="AY188" s="9"/>
      <c r="AZ188" s="95" t="s">
        <v>189</v>
      </c>
      <c r="BA188" s="106" t="s">
        <v>190</v>
      </c>
      <c r="BB188" s="128" t="s">
        <v>191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2"/>
      <c r="P189" s="9"/>
      <c r="Q189" s="8"/>
      <c r="R189" s="8"/>
      <c r="S189" s="12"/>
      <c r="T189" s="9"/>
      <c r="U189" s="8"/>
      <c r="V189" s="9"/>
      <c r="W189" s="14"/>
      <c r="X189" s="16"/>
      <c r="Y189" s="18"/>
      <c r="Z189" s="18"/>
      <c r="AA189" s="18"/>
      <c r="AB189" s="18"/>
      <c r="AC189" s="18"/>
      <c r="AD189" s="18"/>
      <c r="AE189" s="19"/>
      <c r="AF189" s="16"/>
      <c r="AG189" s="18"/>
      <c r="AH189" s="18"/>
      <c r="AI189" s="18"/>
      <c r="AJ189" s="18"/>
      <c r="AK189" s="18"/>
      <c r="AL189" s="18"/>
      <c r="AM189" s="18"/>
      <c r="AN189" s="18"/>
      <c r="AO189" s="18"/>
      <c r="AP189" s="9"/>
      <c r="AQ189" s="8"/>
      <c r="AR189" s="8"/>
      <c r="AS189" s="9"/>
      <c r="AT189" s="8"/>
      <c r="AU189" s="14"/>
      <c r="AV189" s="12"/>
      <c r="AW189" s="14"/>
      <c r="AX189" s="12"/>
      <c r="AY189" s="9"/>
      <c r="AZ189" s="95" t="s">
        <v>204</v>
      </c>
      <c r="BA189" s="106" t="s">
        <v>205</v>
      </c>
      <c r="BB189" s="128" t="s">
        <v>206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2"/>
      <c r="P190" s="9"/>
      <c r="Q190" s="8"/>
      <c r="R190" s="8"/>
      <c r="S190" s="12"/>
      <c r="T190" s="9"/>
      <c r="U190" s="8"/>
      <c r="V190" s="9"/>
      <c r="W190" s="14"/>
      <c r="X190" s="16"/>
      <c r="Y190" s="18"/>
      <c r="Z190" s="18"/>
      <c r="AA190" s="18"/>
      <c r="AB190" s="18"/>
      <c r="AC190" s="18"/>
      <c r="AD190" s="18"/>
      <c r="AE190" s="19"/>
      <c r="AF190" s="16"/>
      <c r="AG190" s="18"/>
      <c r="AH190" s="18"/>
      <c r="AI190" s="18"/>
      <c r="AJ190" s="18"/>
      <c r="AK190" s="18"/>
      <c r="AL190" s="18"/>
      <c r="AM190" s="18"/>
      <c r="AN190" s="18"/>
      <c r="AO190" s="18"/>
      <c r="AP190" s="9"/>
      <c r="AQ190" s="8"/>
      <c r="AR190" s="8"/>
      <c r="AS190" s="9"/>
      <c r="AT190" s="8"/>
      <c r="AU190" s="14"/>
      <c r="AV190" s="12"/>
      <c r="AW190" s="14"/>
      <c r="AX190" s="12"/>
      <c r="AY190" s="9"/>
      <c r="AZ190" s="95" t="s">
        <v>213</v>
      </c>
      <c r="BA190" s="128" t="s">
        <v>214</v>
      </c>
      <c r="BB190" s="128" t="s">
        <v>221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2"/>
      <c r="P191" s="9"/>
      <c r="Q191" s="8"/>
      <c r="R191" s="8"/>
      <c r="S191" s="12"/>
      <c r="T191" s="9"/>
      <c r="U191" s="8"/>
      <c r="V191" s="9"/>
      <c r="W191" s="14"/>
      <c r="X191" s="16"/>
      <c r="Y191" s="18"/>
      <c r="Z191" s="18"/>
      <c r="AA191" s="18"/>
      <c r="AB191" s="18"/>
      <c r="AC191" s="18"/>
      <c r="AD191" s="18"/>
      <c r="AE191" s="19"/>
      <c r="AF191" s="16"/>
      <c r="AG191" s="18"/>
      <c r="AH191" s="18"/>
      <c r="AI191" s="18"/>
      <c r="AJ191" s="18"/>
      <c r="AK191" s="18"/>
      <c r="AL191" s="18"/>
      <c r="AM191" s="18"/>
      <c r="AN191" s="18"/>
      <c r="AO191" s="18"/>
      <c r="AP191" s="9"/>
      <c r="AQ191" s="8"/>
      <c r="AR191" s="8"/>
      <c r="AS191" s="9"/>
      <c r="AT191" s="8"/>
      <c r="AU191" s="14"/>
      <c r="AV191" s="12"/>
      <c r="AW191" s="14"/>
      <c r="AX191" s="12"/>
      <c r="AY191" s="9"/>
      <c r="AZ191" s="12"/>
      <c r="BA191" s="12"/>
      <c r="BB191" s="12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2"/>
      <c r="P192" s="9"/>
      <c r="Q192" s="8"/>
      <c r="R192" s="8"/>
      <c r="S192" s="12"/>
      <c r="T192" s="9"/>
      <c r="U192" s="8"/>
      <c r="V192" s="9"/>
      <c r="W192" s="14"/>
      <c r="X192" s="16"/>
      <c r="Y192" s="18"/>
      <c r="Z192" s="18"/>
      <c r="AA192" s="18"/>
      <c r="AB192" s="18"/>
      <c r="AC192" s="18"/>
      <c r="AD192" s="18"/>
      <c r="AE192" s="19"/>
      <c r="AF192" s="16"/>
      <c r="AG192" s="18"/>
      <c r="AH192" s="18"/>
      <c r="AI192" s="18"/>
      <c r="AJ192" s="18"/>
      <c r="AK192" s="18"/>
      <c r="AL192" s="18"/>
      <c r="AM192" s="18"/>
      <c r="AN192" s="18"/>
      <c r="AO192" s="18"/>
      <c r="AP192" s="9"/>
      <c r="AQ192" s="8"/>
      <c r="AR192" s="8"/>
      <c r="AS192" s="9"/>
      <c r="AT192" s="8"/>
      <c r="AU192" s="14"/>
      <c r="AV192" s="12"/>
      <c r="AW192" s="14"/>
      <c r="AX192" s="12"/>
      <c r="AY192" s="9"/>
      <c r="AZ192" s="12"/>
      <c r="BA192" s="12"/>
      <c r="BB192" s="12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2"/>
      <c r="P193" s="9"/>
      <c r="Q193" s="8"/>
      <c r="R193" s="8"/>
      <c r="S193" s="12"/>
      <c r="T193" s="9"/>
      <c r="U193" s="8"/>
      <c r="V193" s="9"/>
      <c r="W193" s="14"/>
      <c r="X193" s="16"/>
      <c r="Y193" s="18"/>
      <c r="Z193" s="18"/>
      <c r="AA193" s="18"/>
      <c r="AB193" s="18"/>
      <c r="AC193" s="18"/>
      <c r="AD193" s="18"/>
      <c r="AE193" s="19"/>
      <c r="AF193" s="16"/>
      <c r="AG193" s="18"/>
      <c r="AH193" s="18"/>
      <c r="AI193" s="18"/>
      <c r="AJ193" s="18"/>
      <c r="AK193" s="18"/>
      <c r="AL193" s="18"/>
      <c r="AM193" s="18"/>
      <c r="AN193" s="18"/>
      <c r="AO193" s="18"/>
      <c r="AP193" s="9"/>
      <c r="AQ193" s="8"/>
      <c r="AR193" s="8"/>
      <c r="AS193" s="9"/>
      <c r="AT193" s="8"/>
      <c r="AU193" s="14"/>
      <c r="AV193" s="12"/>
      <c r="AW193" s="14"/>
      <c r="AX193" s="12"/>
      <c r="AY193" s="9"/>
      <c r="AZ193" s="12"/>
      <c r="BA193" s="12"/>
      <c r="BB193" s="12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2"/>
      <c r="P194" s="9"/>
      <c r="Q194" s="8"/>
      <c r="R194" s="8"/>
      <c r="S194" s="12"/>
      <c r="T194" s="9"/>
      <c r="U194" s="8"/>
      <c r="V194" s="9"/>
      <c r="W194" s="14"/>
      <c r="X194" s="16"/>
      <c r="Y194" s="18"/>
      <c r="Z194" s="18"/>
      <c r="AA194" s="18"/>
      <c r="AB194" s="18"/>
      <c r="AC194" s="18"/>
      <c r="AD194" s="18"/>
      <c r="AE194" s="19"/>
      <c r="AF194" s="16"/>
      <c r="AG194" s="18"/>
      <c r="AH194" s="18"/>
      <c r="AI194" s="18"/>
      <c r="AJ194" s="18"/>
      <c r="AK194" s="18"/>
      <c r="AL194" s="18"/>
      <c r="AM194" s="18"/>
      <c r="AN194" s="18"/>
      <c r="AO194" s="18"/>
      <c r="AP194" s="9"/>
      <c r="AQ194" s="8"/>
      <c r="AR194" s="8"/>
      <c r="AS194" s="9"/>
      <c r="AT194" s="8"/>
      <c r="AU194" s="14"/>
      <c r="AV194" s="12"/>
      <c r="AW194" s="14"/>
      <c r="AX194" s="12"/>
      <c r="AY194" s="9"/>
      <c r="AZ194" s="12"/>
      <c r="BA194" s="12"/>
      <c r="BB194" s="12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2"/>
      <c r="P195" s="9"/>
      <c r="Q195" s="8"/>
      <c r="R195" s="8"/>
      <c r="S195" s="12"/>
      <c r="T195" s="9"/>
      <c r="U195" s="8"/>
      <c r="V195" s="9"/>
      <c r="W195" s="14"/>
      <c r="X195" s="16"/>
      <c r="Y195" s="18"/>
      <c r="Z195" s="18"/>
      <c r="AA195" s="18"/>
      <c r="AB195" s="18"/>
      <c r="AC195" s="18"/>
      <c r="AD195" s="18"/>
      <c r="AE195" s="19"/>
      <c r="AF195" s="16"/>
      <c r="AG195" s="18"/>
      <c r="AH195" s="18"/>
      <c r="AI195" s="18"/>
      <c r="AJ195" s="18"/>
      <c r="AK195" s="18"/>
      <c r="AL195" s="18"/>
      <c r="AM195" s="18"/>
      <c r="AN195" s="18"/>
      <c r="AO195" s="18"/>
      <c r="AP195" s="9"/>
      <c r="AQ195" s="8"/>
      <c r="AR195" s="8"/>
      <c r="AS195" s="9"/>
      <c r="AT195" s="8"/>
      <c r="AU195" s="14"/>
      <c r="AV195" s="12"/>
      <c r="AW195" s="14"/>
      <c r="AX195" s="12"/>
      <c r="AY195" s="9"/>
      <c r="AZ195" s="12"/>
      <c r="BA195" s="12"/>
      <c r="BB195" s="12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2"/>
      <c r="P196" s="9"/>
      <c r="Q196" s="8"/>
      <c r="R196" s="8"/>
      <c r="S196" s="12"/>
      <c r="T196" s="9"/>
      <c r="U196" s="8"/>
      <c r="V196" s="9"/>
      <c r="W196" s="14"/>
      <c r="X196" s="16"/>
      <c r="Y196" s="18"/>
      <c r="Z196" s="18"/>
      <c r="AA196" s="18"/>
      <c r="AB196" s="18"/>
      <c r="AC196" s="18"/>
      <c r="AD196" s="18"/>
      <c r="AE196" s="19"/>
      <c r="AF196" s="16"/>
      <c r="AG196" s="18"/>
      <c r="AH196" s="18"/>
      <c r="AI196" s="18"/>
      <c r="AJ196" s="18"/>
      <c r="AK196" s="18"/>
      <c r="AL196" s="18"/>
      <c r="AM196" s="18"/>
      <c r="AN196" s="18"/>
      <c r="AO196" s="18"/>
      <c r="AP196" s="9"/>
      <c r="AQ196" s="8"/>
      <c r="AR196" s="8"/>
      <c r="AS196" s="9"/>
      <c r="AT196" s="8"/>
      <c r="AU196" s="14"/>
      <c r="AV196" s="12"/>
      <c r="AW196" s="14"/>
      <c r="AX196" s="12"/>
      <c r="AY196" s="9"/>
      <c r="AZ196" s="12"/>
      <c r="BA196" s="12"/>
      <c r="BB196" s="12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2"/>
      <c r="P197" s="9"/>
      <c r="Q197" s="8"/>
      <c r="R197" s="8"/>
      <c r="S197" s="12"/>
      <c r="T197" s="9"/>
      <c r="U197" s="8"/>
      <c r="V197" s="9"/>
      <c r="W197" s="14"/>
      <c r="X197" s="16"/>
      <c r="Y197" s="18"/>
      <c r="Z197" s="18"/>
      <c r="AA197" s="18"/>
      <c r="AB197" s="18"/>
      <c r="AC197" s="18"/>
      <c r="AD197" s="18"/>
      <c r="AE197" s="19"/>
      <c r="AF197" s="16"/>
      <c r="AG197" s="18"/>
      <c r="AH197" s="18"/>
      <c r="AI197" s="18"/>
      <c r="AJ197" s="18"/>
      <c r="AK197" s="18"/>
      <c r="AL197" s="18"/>
      <c r="AM197" s="18"/>
      <c r="AN197" s="18"/>
      <c r="AO197" s="18"/>
      <c r="AP197" s="9"/>
      <c r="AQ197" s="8"/>
      <c r="AR197" s="8"/>
      <c r="AS197" s="9"/>
      <c r="AT197" s="8"/>
      <c r="AU197" s="14"/>
      <c r="AV197" s="12"/>
      <c r="AW197" s="14"/>
      <c r="AX197" s="12"/>
      <c r="AY197" s="9"/>
      <c r="AZ197" s="12"/>
      <c r="BA197" s="12"/>
      <c r="BB197" s="12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2"/>
      <c r="P198" s="9"/>
      <c r="Q198" s="8"/>
      <c r="R198" s="8"/>
      <c r="S198" s="12"/>
      <c r="T198" s="9"/>
      <c r="U198" s="8"/>
      <c r="V198" s="9"/>
      <c r="W198" s="14"/>
      <c r="X198" s="16"/>
      <c r="Y198" s="18"/>
      <c r="Z198" s="18"/>
      <c r="AA198" s="18"/>
      <c r="AB198" s="18"/>
      <c r="AC198" s="18"/>
      <c r="AD198" s="18"/>
      <c r="AE198" s="19"/>
      <c r="AF198" s="16"/>
      <c r="AG198" s="18"/>
      <c r="AH198" s="18"/>
      <c r="AI198" s="18"/>
      <c r="AJ198" s="18"/>
      <c r="AK198" s="18"/>
      <c r="AL198" s="18"/>
      <c r="AM198" s="18"/>
      <c r="AN198" s="18"/>
      <c r="AO198" s="18"/>
      <c r="AP198" s="9"/>
      <c r="AQ198" s="8"/>
      <c r="AR198" s="8"/>
      <c r="AS198" s="9"/>
      <c r="AT198" s="8"/>
      <c r="AU198" s="14"/>
      <c r="AV198" s="12"/>
      <c r="AW198" s="14"/>
      <c r="AX198" s="12"/>
      <c r="AY198" s="9"/>
      <c r="AZ198" s="12"/>
      <c r="BA198" s="12"/>
      <c r="BB198" s="12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2"/>
      <c r="P199" s="9"/>
      <c r="Q199" s="8"/>
      <c r="R199" s="8"/>
      <c r="S199" s="12"/>
      <c r="T199" s="9"/>
      <c r="U199" s="8"/>
      <c r="V199" s="9"/>
      <c r="W199" s="14"/>
      <c r="X199" s="16"/>
      <c r="Y199" s="18"/>
      <c r="Z199" s="18"/>
      <c r="AA199" s="18"/>
      <c r="AB199" s="18"/>
      <c r="AC199" s="18"/>
      <c r="AD199" s="18"/>
      <c r="AE199" s="19"/>
      <c r="AF199" s="16"/>
      <c r="AG199" s="18"/>
      <c r="AH199" s="18"/>
      <c r="AI199" s="18"/>
      <c r="AJ199" s="18"/>
      <c r="AK199" s="18"/>
      <c r="AL199" s="18"/>
      <c r="AM199" s="18"/>
      <c r="AN199" s="18"/>
      <c r="AO199" s="18"/>
      <c r="AP199" s="9"/>
      <c r="AQ199" s="8"/>
      <c r="AR199" s="8"/>
      <c r="AS199" s="9"/>
      <c r="AT199" s="8"/>
      <c r="AU199" s="14"/>
      <c r="AV199" s="12"/>
      <c r="AW199" s="14"/>
      <c r="AX199" s="12"/>
      <c r="AY199" s="9"/>
      <c r="AZ199" s="12"/>
      <c r="BA199" s="12"/>
      <c r="BB199" s="12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2"/>
      <c r="P200" s="9"/>
      <c r="Q200" s="8"/>
      <c r="R200" s="8"/>
      <c r="S200" s="12"/>
      <c r="T200" s="9"/>
      <c r="U200" s="8"/>
      <c r="V200" s="9"/>
      <c r="W200" s="14"/>
      <c r="X200" s="16"/>
      <c r="Y200" s="18"/>
      <c r="Z200" s="18"/>
      <c r="AA200" s="18"/>
      <c r="AB200" s="18"/>
      <c r="AC200" s="18"/>
      <c r="AD200" s="18"/>
      <c r="AE200" s="19"/>
      <c r="AF200" s="16"/>
      <c r="AG200" s="18"/>
      <c r="AH200" s="18"/>
      <c r="AI200" s="18"/>
      <c r="AJ200" s="18"/>
      <c r="AK200" s="18"/>
      <c r="AL200" s="18"/>
      <c r="AM200" s="18"/>
      <c r="AN200" s="18"/>
      <c r="AO200" s="18"/>
      <c r="AP200" s="9"/>
      <c r="AQ200" s="8"/>
      <c r="AR200" s="8"/>
      <c r="AS200" s="9"/>
      <c r="AT200" s="8"/>
      <c r="AU200" s="14"/>
      <c r="AV200" s="12"/>
      <c r="AW200" s="14"/>
      <c r="AX200" s="12"/>
      <c r="AY200" s="9"/>
      <c r="AZ200" s="12"/>
      <c r="BA200" s="12"/>
      <c r="BB200" s="12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2"/>
      <c r="P201" s="9"/>
      <c r="Q201" s="8"/>
      <c r="R201" s="8"/>
      <c r="S201" s="12"/>
      <c r="T201" s="9"/>
      <c r="U201" s="8"/>
      <c r="V201" s="9"/>
      <c r="W201" s="14"/>
      <c r="X201" s="16"/>
      <c r="Y201" s="18"/>
      <c r="Z201" s="18"/>
      <c r="AA201" s="18"/>
      <c r="AB201" s="18"/>
      <c r="AC201" s="18"/>
      <c r="AD201" s="18"/>
      <c r="AE201" s="19"/>
      <c r="AF201" s="16"/>
      <c r="AG201" s="18"/>
      <c r="AH201" s="18"/>
      <c r="AI201" s="18"/>
      <c r="AJ201" s="18"/>
      <c r="AK201" s="18"/>
      <c r="AL201" s="18"/>
      <c r="AM201" s="18"/>
      <c r="AN201" s="18"/>
      <c r="AO201" s="18"/>
      <c r="AP201" s="9"/>
      <c r="AQ201" s="8"/>
      <c r="AR201" s="8"/>
      <c r="AS201" s="9"/>
      <c r="AT201" s="8"/>
      <c r="AU201" s="14"/>
      <c r="AV201" s="12"/>
      <c r="AW201" s="14"/>
      <c r="AX201" s="12"/>
      <c r="AY201" s="9"/>
      <c r="AZ201" s="12"/>
      <c r="BA201" s="12"/>
      <c r="BB201" s="12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2"/>
      <c r="P202" s="9"/>
      <c r="Q202" s="8"/>
      <c r="R202" s="8"/>
      <c r="S202" s="12"/>
      <c r="T202" s="9"/>
      <c r="U202" s="8"/>
      <c r="V202" s="9"/>
      <c r="W202" s="14"/>
      <c r="X202" s="16"/>
      <c r="Y202" s="18"/>
      <c r="Z202" s="18"/>
      <c r="AA202" s="18"/>
      <c r="AB202" s="18"/>
      <c r="AC202" s="18"/>
      <c r="AD202" s="18"/>
      <c r="AE202" s="19"/>
      <c r="AF202" s="16"/>
      <c r="AG202" s="18"/>
      <c r="AH202" s="18"/>
      <c r="AI202" s="18"/>
      <c r="AJ202" s="18"/>
      <c r="AK202" s="18"/>
      <c r="AL202" s="18"/>
      <c r="AM202" s="18"/>
      <c r="AN202" s="18"/>
      <c r="AO202" s="18"/>
      <c r="AP202" s="9"/>
      <c r="AQ202" s="8"/>
      <c r="AR202" s="8"/>
      <c r="AS202" s="9"/>
      <c r="AT202" s="8"/>
      <c r="AU202" s="14"/>
      <c r="AV202" s="12"/>
      <c r="AW202" s="14"/>
      <c r="AX202" s="12"/>
      <c r="AY202" s="9"/>
      <c r="AZ202" s="12"/>
      <c r="BA202" s="12"/>
      <c r="BB202" s="12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2"/>
      <c r="P203" s="9"/>
      <c r="Q203" s="8"/>
      <c r="R203" s="8"/>
      <c r="S203" s="12"/>
      <c r="T203" s="9"/>
      <c r="U203" s="8"/>
      <c r="V203" s="9"/>
      <c r="W203" s="14"/>
      <c r="X203" s="16"/>
      <c r="Y203" s="18"/>
      <c r="Z203" s="18"/>
      <c r="AA203" s="18"/>
      <c r="AB203" s="18"/>
      <c r="AC203" s="18"/>
      <c r="AD203" s="18"/>
      <c r="AE203" s="19"/>
      <c r="AF203" s="16"/>
      <c r="AG203" s="18"/>
      <c r="AH203" s="18"/>
      <c r="AI203" s="18"/>
      <c r="AJ203" s="18"/>
      <c r="AK203" s="18"/>
      <c r="AL203" s="18"/>
      <c r="AM203" s="18"/>
      <c r="AN203" s="18"/>
      <c r="AO203" s="18"/>
      <c r="AP203" s="9"/>
      <c r="AQ203" s="8"/>
      <c r="AR203" s="8"/>
      <c r="AS203" s="9"/>
      <c r="AT203" s="8"/>
      <c r="AU203" s="14"/>
      <c r="AV203" s="12"/>
      <c r="AW203" s="14"/>
      <c r="AX203" s="12"/>
      <c r="AY203" s="9"/>
      <c r="AZ203" s="12"/>
      <c r="BA203" s="12"/>
      <c r="BB203" s="12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2"/>
      <c r="P204" s="9"/>
      <c r="Q204" s="8"/>
      <c r="R204" s="8"/>
      <c r="S204" s="12"/>
      <c r="T204" s="9"/>
      <c r="U204" s="8"/>
      <c r="V204" s="9"/>
      <c r="W204" s="14"/>
      <c r="X204" s="16"/>
      <c r="Y204" s="18"/>
      <c r="Z204" s="18"/>
      <c r="AA204" s="18"/>
      <c r="AB204" s="18"/>
      <c r="AC204" s="18"/>
      <c r="AD204" s="18"/>
      <c r="AE204" s="19"/>
      <c r="AF204" s="16"/>
      <c r="AG204" s="18"/>
      <c r="AH204" s="18"/>
      <c r="AI204" s="18"/>
      <c r="AJ204" s="18"/>
      <c r="AK204" s="18"/>
      <c r="AL204" s="18"/>
      <c r="AM204" s="18"/>
      <c r="AN204" s="18"/>
      <c r="AO204" s="18"/>
      <c r="AP204" s="9"/>
      <c r="AQ204" s="8"/>
      <c r="AR204" s="8"/>
      <c r="AS204" s="9"/>
      <c r="AT204" s="8"/>
      <c r="AU204" s="14"/>
      <c r="AV204" s="12"/>
      <c r="AW204" s="14"/>
      <c r="AX204" s="12"/>
      <c r="AY204" s="9"/>
      <c r="AZ204" s="12"/>
      <c r="BA204" s="12"/>
      <c r="BB204" s="12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2"/>
      <c r="P205" s="9"/>
      <c r="Q205" s="8"/>
      <c r="R205" s="8"/>
      <c r="S205" s="12"/>
      <c r="T205" s="9"/>
      <c r="U205" s="8"/>
      <c r="V205" s="9"/>
      <c r="W205" s="14"/>
      <c r="X205" s="16"/>
      <c r="Y205" s="18"/>
      <c r="Z205" s="18"/>
      <c r="AA205" s="18"/>
      <c r="AB205" s="18"/>
      <c r="AC205" s="18"/>
      <c r="AD205" s="18"/>
      <c r="AE205" s="19"/>
      <c r="AF205" s="16"/>
      <c r="AG205" s="18"/>
      <c r="AH205" s="18"/>
      <c r="AI205" s="18"/>
      <c r="AJ205" s="18"/>
      <c r="AK205" s="18"/>
      <c r="AL205" s="18"/>
      <c r="AM205" s="18"/>
      <c r="AN205" s="18"/>
      <c r="AO205" s="18"/>
      <c r="AP205" s="9"/>
      <c r="AQ205" s="8"/>
      <c r="AR205" s="8"/>
      <c r="AS205" s="9"/>
      <c r="AT205" s="8"/>
      <c r="AU205" s="14"/>
      <c r="AV205" s="12"/>
      <c r="AW205" s="14"/>
      <c r="AX205" s="12"/>
      <c r="AY205" s="9"/>
      <c r="AZ205" s="12"/>
      <c r="BA205" s="12"/>
      <c r="BB205" s="12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2"/>
      <c r="P206" s="9"/>
      <c r="Q206" s="8"/>
      <c r="R206" s="8"/>
      <c r="S206" s="12"/>
      <c r="T206" s="9"/>
      <c r="U206" s="8"/>
      <c r="V206" s="9"/>
      <c r="W206" s="14"/>
      <c r="X206" s="16"/>
      <c r="Y206" s="18"/>
      <c r="Z206" s="18"/>
      <c r="AA206" s="18"/>
      <c r="AB206" s="18"/>
      <c r="AC206" s="18"/>
      <c r="AD206" s="18"/>
      <c r="AE206" s="19"/>
      <c r="AF206" s="16"/>
      <c r="AG206" s="18"/>
      <c r="AH206" s="18"/>
      <c r="AI206" s="18"/>
      <c r="AJ206" s="18"/>
      <c r="AK206" s="18"/>
      <c r="AL206" s="18"/>
      <c r="AM206" s="18"/>
      <c r="AN206" s="18"/>
      <c r="AO206" s="18"/>
      <c r="AP206" s="9"/>
      <c r="AQ206" s="8"/>
      <c r="AR206" s="8"/>
      <c r="AS206" s="9"/>
      <c r="AT206" s="8"/>
      <c r="AU206" s="14"/>
      <c r="AV206" s="12"/>
      <c r="AW206" s="14"/>
      <c r="AX206" s="12"/>
      <c r="AY206" s="9"/>
      <c r="AZ206" s="12"/>
      <c r="BA206" s="12"/>
      <c r="BB206" s="12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2"/>
      <c r="P207" s="9"/>
      <c r="Q207" s="8"/>
      <c r="R207" s="8"/>
      <c r="S207" s="12"/>
      <c r="T207" s="9"/>
      <c r="U207" s="8"/>
      <c r="V207" s="9"/>
      <c r="W207" s="14"/>
      <c r="X207" s="16"/>
      <c r="Y207" s="18"/>
      <c r="Z207" s="18"/>
      <c r="AA207" s="18"/>
      <c r="AB207" s="18"/>
      <c r="AC207" s="18"/>
      <c r="AD207" s="18"/>
      <c r="AE207" s="19"/>
      <c r="AF207" s="16"/>
      <c r="AG207" s="18"/>
      <c r="AH207" s="18"/>
      <c r="AI207" s="18"/>
      <c r="AJ207" s="18"/>
      <c r="AK207" s="18"/>
      <c r="AL207" s="18"/>
      <c r="AM207" s="18"/>
      <c r="AN207" s="18"/>
      <c r="AO207" s="18"/>
      <c r="AP207" s="9"/>
      <c r="AQ207" s="8"/>
      <c r="AR207" s="8"/>
      <c r="AS207" s="9"/>
      <c r="AT207" s="8"/>
      <c r="AU207" s="14"/>
      <c r="AV207" s="12"/>
      <c r="AW207" s="14"/>
      <c r="AX207" s="12"/>
      <c r="AY207" s="9"/>
      <c r="AZ207" s="12"/>
      <c r="BA207" s="12"/>
      <c r="BB207" s="12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2"/>
      <c r="P208" s="9"/>
      <c r="Q208" s="8"/>
      <c r="R208" s="8"/>
      <c r="S208" s="12"/>
      <c r="T208" s="9"/>
      <c r="U208" s="8"/>
      <c r="V208" s="9"/>
      <c r="W208" s="14"/>
      <c r="X208" s="16"/>
      <c r="Y208" s="18"/>
      <c r="Z208" s="18"/>
      <c r="AA208" s="18"/>
      <c r="AB208" s="18"/>
      <c r="AC208" s="18"/>
      <c r="AD208" s="18"/>
      <c r="AE208" s="19"/>
      <c r="AF208" s="16"/>
      <c r="AG208" s="18"/>
      <c r="AH208" s="18"/>
      <c r="AI208" s="18"/>
      <c r="AJ208" s="18"/>
      <c r="AK208" s="18"/>
      <c r="AL208" s="18"/>
      <c r="AM208" s="18"/>
      <c r="AN208" s="18"/>
      <c r="AO208" s="18"/>
      <c r="AP208" s="9"/>
      <c r="AQ208" s="8"/>
      <c r="AR208" s="8"/>
      <c r="AS208" s="9"/>
      <c r="AT208" s="8"/>
      <c r="AU208" s="14"/>
      <c r="AV208" s="12"/>
      <c r="AW208" s="14"/>
      <c r="AX208" s="12"/>
      <c r="AY208" s="9"/>
      <c r="AZ208" s="12"/>
      <c r="BA208" s="12"/>
      <c r="BB208" s="12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2"/>
      <c r="P209" s="9"/>
      <c r="Q209" s="8"/>
      <c r="R209" s="8"/>
      <c r="S209" s="12"/>
      <c r="T209" s="9"/>
      <c r="U209" s="8"/>
      <c r="V209" s="9"/>
      <c r="W209" s="14"/>
      <c r="X209" s="16"/>
      <c r="Y209" s="18"/>
      <c r="Z209" s="18"/>
      <c r="AA209" s="18"/>
      <c r="AB209" s="18"/>
      <c r="AC209" s="18"/>
      <c r="AD209" s="18"/>
      <c r="AE209" s="19"/>
      <c r="AF209" s="16"/>
      <c r="AG209" s="18"/>
      <c r="AH209" s="18"/>
      <c r="AI209" s="18"/>
      <c r="AJ209" s="18"/>
      <c r="AK209" s="18"/>
      <c r="AL209" s="18"/>
      <c r="AM209" s="18"/>
      <c r="AN209" s="18"/>
      <c r="AO209" s="18"/>
      <c r="AP209" s="9"/>
      <c r="AQ209" s="8"/>
      <c r="AR209" s="8"/>
      <c r="AS209" s="9"/>
      <c r="AT209" s="8"/>
      <c r="AU209" s="14"/>
      <c r="AV209" s="12"/>
      <c r="AW209" s="14"/>
      <c r="AX209" s="12"/>
      <c r="AY209" s="9"/>
      <c r="AZ209" s="12"/>
      <c r="BA209" s="12"/>
      <c r="BB209" s="12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11"/>
      <c r="C1" s="13" t="s">
        <v>10</v>
      </c>
      <c r="D1" s="15"/>
      <c r="E1" s="17"/>
      <c r="F1" s="24">
        <f t="shared" ref="F1:G1" si="1">large(F5:F91,1)</f>
        <v>160</v>
      </c>
      <c r="G1" s="24">
        <f t="shared" si="1"/>
        <v>87</v>
      </c>
      <c r="H1" s="26">
        <v>26686.0</v>
      </c>
      <c r="I1" s="18"/>
      <c r="J1" s="27"/>
      <c r="K1" s="24">
        <f>large(K5:K91,1)</f>
        <v>80</v>
      </c>
      <c r="L1" s="30"/>
      <c r="M1" s="35">
        <f>large(M5:M91,1)</f>
        <v>16.5</v>
      </c>
      <c r="N1" s="19"/>
      <c r="O1" s="42">
        <f>large(O5:O91,1)</f>
        <v>9</v>
      </c>
      <c r="P1" s="44"/>
      <c r="Q1" s="42">
        <f>large(Q5:Q91,1)</f>
        <v>2680</v>
      </c>
      <c r="R1" s="16"/>
      <c r="S1" s="48">
        <f>large(S5:S91,1)</f>
        <v>1348.657931</v>
      </c>
      <c r="T1" s="16"/>
      <c r="U1" s="24">
        <f>large(U5:U91,1)</f>
        <v>3</v>
      </c>
      <c r="V1" s="18"/>
      <c r="W1" s="24">
        <f>large(W5:W91,1)</f>
        <v>3</v>
      </c>
      <c r="X1" s="18"/>
      <c r="Y1" s="27"/>
      <c r="Z1" s="50"/>
      <c r="AA1" s="50"/>
      <c r="AB1" s="50"/>
      <c r="AC1" s="50"/>
      <c r="AD1" s="50"/>
      <c r="AE1" s="27"/>
      <c r="AF1" s="50"/>
      <c r="AG1" s="16"/>
      <c r="AH1" s="18"/>
      <c r="AI1" s="16"/>
      <c r="AJ1" s="18"/>
      <c r="AK1" s="51"/>
      <c r="AL1" s="52"/>
      <c r="AM1" s="50"/>
      <c r="AN1" s="53"/>
      <c r="AO1" s="50"/>
      <c r="AP1" s="50"/>
      <c r="AQ1" s="50"/>
      <c r="AR1" s="50"/>
      <c r="AS1" s="50"/>
      <c r="AT1" s="50"/>
      <c r="AU1" s="54"/>
      <c r="AV1" s="50"/>
      <c r="AW1" s="50"/>
      <c r="AX1" s="42">
        <f>large(AX5:AX91,1)</f>
        <v>21193.26705</v>
      </c>
      <c r="AY1" s="35"/>
      <c r="AZ1" s="42"/>
      <c r="BA1" s="50"/>
      <c r="BB1" s="50"/>
      <c r="BC1" s="50"/>
      <c r="BD1" s="50"/>
      <c r="BE1" s="50"/>
      <c r="BF1" s="50"/>
      <c r="BG1" s="35"/>
      <c r="BH1" s="50"/>
      <c r="BI1" s="42"/>
      <c r="BJ1" s="27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3"/>
      <c r="BV1" s="53"/>
      <c r="BW1" s="50"/>
      <c r="BX1" s="50"/>
      <c r="BY1" s="50"/>
      <c r="BZ1" s="50"/>
      <c r="CA1" s="50"/>
    </row>
    <row r="2">
      <c r="A2" s="13" t="s">
        <v>41</v>
      </c>
      <c r="B2" s="55"/>
      <c r="C2" s="13" t="s">
        <v>44</v>
      </c>
      <c r="D2" s="27"/>
      <c r="E2" s="17"/>
      <c r="F2" s="24">
        <f t="shared" ref="F2:G2" si="2">small(F5:F80,1)</f>
        <v>1</v>
      </c>
      <c r="G2" s="24">
        <f t="shared" si="2"/>
        <v>1</v>
      </c>
      <c r="H2" s="26">
        <v>15792.0</v>
      </c>
      <c r="I2" s="18"/>
      <c r="J2" s="27"/>
      <c r="K2" s="24">
        <f>small(K5:K80,1)</f>
        <v>1</v>
      </c>
      <c r="L2" s="30"/>
      <c r="M2" s="35">
        <f>small(M5:M80,1)</f>
        <v>7.56</v>
      </c>
      <c r="N2" s="19"/>
      <c r="O2" s="42">
        <f>small(O5:O80,1)</f>
        <v>0</v>
      </c>
      <c r="P2" s="44"/>
      <c r="Q2" s="42">
        <f>small(Q5:Q80,1)</f>
        <v>287.5</v>
      </c>
      <c r="R2" s="16"/>
      <c r="S2" s="48">
        <f>small(S5:S80,1)</f>
        <v>269.7315863</v>
      </c>
      <c r="T2" s="16"/>
      <c r="U2" s="24">
        <f>small(U5:U80,1)</f>
        <v>1</v>
      </c>
      <c r="V2" s="18"/>
      <c r="W2" s="24">
        <f>small(W5:W80,1)</f>
        <v>1</v>
      </c>
      <c r="X2" s="18"/>
      <c r="Y2" s="27"/>
      <c r="Z2" s="50"/>
      <c r="AA2" s="50"/>
      <c r="AB2" s="50"/>
      <c r="AC2" s="50"/>
      <c r="AD2" s="50"/>
      <c r="AE2" s="27"/>
      <c r="AF2" s="50"/>
      <c r="AG2" s="16"/>
      <c r="AH2" s="18"/>
      <c r="AI2" s="16"/>
      <c r="AJ2" s="18"/>
      <c r="AK2" s="27"/>
      <c r="AL2" s="52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42">
        <f>small(AX5:AX80,1)</f>
        <v>12829.0162</v>
      </c>
      <c r="AY2" s="35"/>
      <c r="AZ2" s="62" t="s">
        <v>54</v>
      </c>
      <c r="BA2" s="50"/>
      <c r="BB2" s="50"/>
      <c r="BC2" s="50"/>
      <c r="BD2" s="50"/>
      <c r="BE2" s="50"/>
      <c r="BF2" s="50"/>
      <c r="BG2" s="64"/>
      <c r="BH2" s="67" t="s">
        <v>54</v>
      </c>
      <c r="BI2" s="42"/>
      <c r="BJ2" s="27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3"/>
      <c r="BV2" s="53"/>
      <c r="BW2" s="50"/>
      <c r="BX2" s="50"/>
      <c r="BY2" s="50"/>
      <c r="BZ2" s="50"/>
      <c r="CA2" s="50"/>
    </row>
    <row r="3">
      <c r="A3" s="69" t="s">
        <v>15</v>
      </c>
      <c r="B3" s="71"/>
      <c r="C3" s="73" t="s">
        <v>19</v>
      </c>
      <c r="D3" s="27"/>
      <c r="E3" s="75" t="s">
        <v>59</v>
      </c>
      <c r="F3" s="76" t="s">
        <v>60</v>
      </c>
      <c r="G3" s="76" t="s">
        <v>60</v>
      </c>
      <c r="H3" s="78" t="s">
        <v>62</v>
      </c>
      <c r="I3" s="79" t="s">
        <v>63</v>
      </c>
      <c r="J3" s="51"/>
      <c r="K3" s="76" t="s">
        <v>64</v>
      </c>
      <c r="L3" s="81" t="s">
        <v>65</v>
      </c>
      <c r="M3" s="82" t="s">
        <v>67</v>
      </c>
      <c r="N3" s="79" t="s">
        <v>68</v>
      </c>
      <c r="O3" s="76" t="s">
        <v>69</v>
      </c>
      <c r="P3" s="81" t="s">
        <v>70</v>
      </c>
      <c r="Q3" s="117" t="s">
        <v>71</v>
      </c>
      <c r="R3" s="118" t="s">
        <v>192</v>
      </c>
      <c r="S3" s="117" t="s">
        <v>193</v>
      </c>
      <c r="T3" s="118" t="s">
        <v>194</v>
      </c>
      <c r="U3" s="73" t="s">
        <v>195</v>
      </c>
      <c r="V3" s="98" t="s">
        <v>196</v>
      </c>
      <c r="W3" s="73" t="s">
        <v>197</v>
      </c>
      <c r="X3" s="98" t="s">
        <v>198</v>
      </c>
      <c r="Y3" s="51"/>
      <c r="Z3" s="73" t="s">
        <v>199</v>
      </c>
      <c r="AA3" s="119" t="s">
        <v>200</v>
      </c>
      <c r="AB3" s="119" t="s">
        <v>201</v>
      </c>
      <c r="AC3" s="73" t="s">
        <v>202</v>
      </c>
      <c r="AD3" s="119" t="s">
        <v>203</v>
      </c>
      <c r="AE3" s="71"/>
      <c r="AF3" s="73" t="s">
        <v>115</v>
      </c>
      <c r="AG3" s="97" t="s">
        <v>116</v>
      </c>
      <c r="AH3" s="98" t="s">
        <v>117</v>
      </c>
      <c r="AI3" s="97" t="s">
        <v>118</v>
      </c>
      <c r="AJ3" s="98" t="s">
        <v>119</v>
      </c>
      <c r="AK3" s="27"/>
      <c r="AL3" s="73" t="s">
        <v>120</v>
      </c>
      <c r="AM3" s="73" t="s">
        <v>121</v>
      </c>
      <c r="AN3" s="73" t="s">
        <v>122</v>
      </c>
      <c r="AO3" s="73" t="s">
        <v>85</v>
      </c>
      <c r="AP3" s="73" t="s">
        <v>86</v>
      </c>
      <c r="AQ3" s="73" t="s">
        <v>87</v>
      </c>
      <c r="AR3" s="120" t="s">
        <v>207</v>
      </c>
      <c r="AS3" s="121" t="s">
        <v>208</v>
      </c>
      <c r="AT3" s="122" t="s">
        <v>90</v>
      </c>
      <c r="AU3" s="119" t="s">
        <v>82</v>
      </c>
      <c r="AV3" s="121" t="s">
        <v>210</v>
      </c>
      <c r="AW3" s="123"/>
      <c r="AX3" s="124" t="s">
        <v>211</v>
      </c>
      <c r="AY3" s="73" t="s">
        <v>215</v>
      </c>
      <c r="AZ3" s="125" t="s">
        <v>216</v>
      </c>
      <c r="BA3" s="73" t="s">
        <v>96</v>
      </c>
      <c r="BB3" s="73" t="s">
        <v>97</v>
      </c>
      <c r="BC3" s="73" t="s">
        <v>98</v>
      </c>
      <c r="BD3" s="73" t="s">
        <v>99</v>
      </c>
      <c r="BE3" s="73" t="s">
        <v>100</v>
      </c>
      <c r="BF3" s="73" t="s">
        <v>101</v>
      </c>
      <c r="BG3" s="126" t="s">
        <v>102</v>
      </c>
      <c r="BH3" s="73" t="s">
        <v>219</v>
      </c>
      <c r="BI3" s="125" t="s">
        <v>103</v>
      </c>
      <c r="BJ3" s="127"/>
      <c r="BK3" s="125" t="s">
        <v>220</v>
      </c>
      <c r="BL3" s="125" t="s">
        <v>105</v>
      </c>
      <c r="BM3" s="73" t="s">
        <v>106</v>
      </c>
      <c r="BN3" s="73" t="s">
        <v>107</v>
      </c>
      <c r="BO3" s="73" t="s">
        <v>108</v>
      </c>
      <c r="BP3" s="73" t="s">
        <v>109</v>
      </c>
      <c r="BQ3" s="73" t="s">
        <v>110</v>
      </c>
      <c r="BR3" s="73" t="s">
        <v>111</v>
      </c>
      <c r="BS3" s="73" t="s">
        <v>112</v>
      </c>
      <c r="BT3" s="129"/>
      <c r="BU3" s="130"/>
      <c r="BV3" s="130"/>
      <c r="BW3" s="129"/>
      <c r="BX3" s="129"/>
      <c r="BY3" s="129"/>
      <c r="BZ3" s="129"/>
      <c r="CA3" s="129"/>
    </row>
    <row r="4">
      <c r="A4" s="131" t="s">
        <v>81</v>
      </c>
      <c r="B4" s="132"/>
      <c r="C4" s="135" t="s">
        <v>124</v>
      </c>
      <c r="D4" s="132"/>
      <c r="E4" s="136"/>
      <c r="F4" s="135" t="s">
        <v>228</v>
      </c>
      <c r="G4" s="135" t="s">
        <v>229</v>
      </c>
      <c r="H4" s="138"/>
      <c r="I4" s="139" t="s">
        <v>230</v>
      </c>
      <c r="J4" s="132"/>
      <c r="K4" s="135" t="s">
        <v>231</v>
      </c>
      <c r="L4" s="140" t="s">
        <v>230</v>
      </c>
      <c r="M4" s="141" t="s">
        <v>232</v>
      </c>
      <c r="N4" s="139" t="s">
        <v>233</v>
      </c>
      <c r="O4" s="135" t="s">
        <v>129</v>
      </c>
      <c r="P4" s="140" t="s">
        <v>234</v>
      </c>
      <c r="Q4" s="142" t="s">
        <v>131</v>
      </c>
      <c r="R4" s="139" t="s">
        <v>235</v>
      </c>
      <c r="S4" s="138"/>
      <c r="T4" s="139" t="s">
        <v>235</v>
      </c>
      <c r="U4" s="135" t="s">
        <v>236</v>
      </c>
      <c r="V4" s="139" t="s">
        <v>237</v>
      </c>
      <c r="W4" s="135" t="s">
        <v>238</v>
      </c>
      <c r="X4" s="139" t="s">
        <v>239</v>
      </c>
      <c r="Y4" s="15"/>
      <c r="Z4" s="135" t="s">
        <v>240</v>
      </c>
      <c r="AA4" s="143"/>
      <c r="AB4" s="143"/>
      <c r="AC4" s="135" t="s">
        <v>242</v>
      </c>
      <c r="AD4" s="13" t="s">
        <v>243</v>
      </c>
      <c r="AE4" s="132"/>
      <c r="AF4" s="144"/>
      <c r="AG4" s="145" t="s">
        <v>139</v>
      </c>
      <c r="AK4" s="132"/>
      <c r="AL4" s="135" t="s">
        <v>140</v>
      </c>
      <c r="AM4" s="144"/>
      <c r="AN4" s="144"/>
      <c r="AO4" s="144"/>
      <c r="AP4" s="144"/>
      <c r="AQ4" s="144"/>
      <c r="AR4" s="135" t="s">
        <v>127</v>
      </c>
      <c r="AS4" s="135" t="s">
        <v>128</v>
      </c>
      <c r="AT4" s="135" t="s">
        <v>128</v>
      </c>
      <c r="AU4" s="135" t="s">
        <v>123</v>
      </c>
      <c r="AV4" s="135" t="s">
        <v>150</v>
      </c>
      <c r="AW4" s="144"/>
      <c r="AX4" s="146"/>
      <c r="AY4" s="135" t="s">
        <v>230</v>
      </c>
      <c r="AZ4" s="147" t="s">
        <v>131</v>
      </c>
      <c r="BA4" s="144"/>
      <c r="BB4" s="144"/>
      <c r="BC4" s="144"/>
      <c r="BD4" s="144"/>
      <c r="BE4" s="144"/>
      <c r="BF4" s="144"/>
      <c r="BG4" s="141" t="s">
        <v>132</v>
      </c>
      <c r="BH4" s="144"/>
      <c r="BI4" s="147" t="s">
        <v>133</v>
      </c>
      <c r="BJ4" s="148"/>
      <c r="BK4" s="147" t="s">
        <v>134</v>
      </c>
      <c r="BL4" s="147" t="s">
        <v>132</v>
      </c>
      <c r="BM4" s="144"/>
      <c r="BN4" s="135" t="s">
        <v>135</v>
      </c>
      <c r="BO4" s="144"/>
      <c r="BP4" s="144"/>
      <c r="BQ4" s="144"/>
      <c r="BR4" s="144"/>
      <c r="BS4" s="135" t="s">
        <v>136</v>
      </c>
      <c r="BT4" s="144"/>
      <c r="BU4" s="149"/>
      <c r="BV4" s="149"/>
      <c r="BW4" s="144"/>
      <c r="BX4" s="144"/>
      <c r="BY4" s="144"/>
      <c r="BZ4" s="144"/>
      <c r="CA4" s="144"/>
    </row>
    <row r="5">
      <c r="A5" s="13" t="s">
        <v>31</v>
      </c>
      <c r="B5" s="27"/>
      <c r="C5" s="13" t="s">
        <v>32</v>
      </c>
      <c r="D5" s="27"/>
      <c r="E5" s="150">
        <v>3.64</v>
      </c>
      <c r="F5" s="13">
        <v>45.0</v>
      </c>
      <c r="G5" s="24">
        <f t="shared" ref="G5:G91" si="3">rank(F5,$F$5:$F$91,1)</f>
        <v>39</v>
      </c>
      <c r="H5" s="26">
        <v>20143.0</v>
      </c>
      <c r="I5" s="151">
        <v>0.48</v>
      </c>
      <c r="J5" s="27"/>
      <c r="K5" s="13">
        <v>1.0</v>
      </c>
      <c r="L5" s="152">
        <f t="shared" ref="L5:L91" si="4">(rank(K5,$K$5:$K$91,0))/87</f>
        <v>1</v>
      </c>
      <c r="M5" s="67">
        <v>12.52</v>
      </c>
      <c r="N5" s="153">
        <f t="shared" ref="N5:N91" si="5">(rank(M5,$M$5:$M$91,1))/87</f>
        <v>0.7931034483</v>
      </c>
      <c r="O5" s="13">
        <v>2.0</v>
      </c>
      <c r="P5" s="152">
        <f t="shared" ref="P5:P91" si="6">1-(O5/9)</f>
        <v>0.7777777778</v>
      </c>
      <c r="Q5" s="26">
        <v>622.5</v>
      </c>
      <c r="R5" s="153">
        <f t="shared" ref="R5:R91" si="7">(rank(Q5,$Q$5:$Q$91,0))/87</f>
        <v>0.7126436782</v>
      </c>
      <c r="S5" s="26">
        <v>324.439695</v>
      </c>
      <c r="T5" s="153">
        <f t="shared" ref="T5:T91" si="8">rank(S5,$S$5:$S$91,0)/87</f>
        <v>0.6781609195</v>
      </c>
      <c r="U5" s="13">
        <v>2.0</v>
      </c>
      <c r="V5" s="154">
        <v>0.75</v>
      </c>
      <c r="W5" s="13">
        <v>3.0</v>
      </c>
      <c r="X5" s="151">
        <v>0.0</v>
      </c>
      <c r="Y5" s="27"/>
      <c r="Z5" s="35">
        <f t="shared" ref="Z5:Z91" si="9">L5+N5+P5+0.5*(R5+T5)+V5+X5</f>
        <v>4.016283525</v>
      </c>
      <c r="AA5" s="24">
        <f t="shared" ref="AA5:AA91" si="10">rank(AC5,$AC$5:$AC$91,0)</f>
        <v>1</v>
      </c>
      <c r="AB5" s="24">
        <f t="shared" ref="AB5:AB91" si="11">rank(Z5,$Z$5:$Z$91,0)</f>
        <v>29</v>
      </c>
      <c r="AC5" s="35">
        <f t="shared" ref="AC5:AC91" si="12">L5+N5+P5+(0.5*(R5+T5+V5))</f>
        <v>3.641283525</v>
      </c>
      <c r="AD5" s="24">
        <f t="shared" ref="AD5:AD91" si="13">F5</f>
        <v>45</v>
      </c>
      <c r="AE5" s="27"/>
      <c r="AF5" s="13" t="s">
        <v>148</v>
      </c>
      <c r="AG5" s="107" t="s">
        <v>150</v>
      </c>
      <c r="AH5" s="107" t="s">
        <v>150</v>
      </c>
      <c r="AI5" s="16">
        <f>AJ5*2.54</f>
        <v>50.8</v>
      </c>
      <c r="AJ5" s="108">
        <f>average(18,22)</f>
        <v>20</v>
      </c>
      <c r="AK5" s="27"/>
      <c r="AL5" s="50"/>
      <c r="AM5" s="50"/>
      <c r="AN5" s="50"/>
      <c r="AO5" s="13" t="s">
        <v>250</v>
      </c>
      <c r="AP5" s="13" t="s">
        <v>251</v>
      </c>
      <c r="AQ5" s="13" t="s">
        <v>252</v>
      </c>
      <c r="AR5" s="13">
        <v>164.0</v>
      </c>
      <c r="AS5" s="13" t="s">
        <v>253</v>
      </c>
      <c r="AT5" s="13" t="s">
        <v>254</v>
      </c>
      <c r="AU5" s="50"/>
      <c r="AV5" s="50"/>
      <c r="AW5" s="50"/>
      <c r="AX5" s="42">
        <f t="shared" ref="AX5:AX91" si="14">AZ5+BI5+BK5+BS5</f>
        <v>16306.14869</v>
      </c>
      <c r="AY5" s="156">
        <f t="shared" ref="AY5:AY91" si="15">(rank(AX5,$AX$5:$AX$91,0))/87</f>
        <v>0.4712643678</v>
      </c>
      <c r="AZ5" s="42">
        <f>average(1050,400,550,400,700,900,175,800,750,500)</f>
        <v>622.5</v>
      </c>
      <c r="BA5" s="13" t="s">
        <v>146</v>
      </c>
      <c r="BB5" s="13">
        <v>175.0</v>
      </c>
      <c r="BC5" s="13">
        <v>1050.0</v>
      </c>
      <c r="BD5" s="24">
        <f t="shared" ref="BD5:BD10" si="16">average(BE5,BF5)</f>
        <v>4</v>
      </c>
      <c r="BE5" s="13">
        <v>4.0</v>
      </c>
      <c r="BF5" s="13">
        <v>4.0</v>
      </c>
      <c r="BG5" s="35">
        <f>IFERROR(__xludf.DUMMYFUNCTION("BD5*GoogleFinance(""CURRENCY:GBPUSD"")"),4.98318)</f>
        <v>4.98318</v>
      </c>
      <c r="BH5" s="157">
        <f t="shared" ref="BH5:BH91" si="17">BG5*52.1775</f>
        <v>260.0098745</v>
      </c>
      <c r="BI5" s="42">
        <f t="shared" ref="BI5:BI91" si="18">BG5*52.1775*M5</f>
        <v>3255.323628</v>
      </c>
      <c r="BJ5" s="158"/>
      <c r="BK5" s="42">
        <f t="shared" ref="BK5:BK92" si="19">BL5*M5</f>
        <v>12228.32507</v>
      </c>
      <c r="BL5" s="42">
        <f>IFERROR(__xludf.DUMMYFUNCTION("BM5*GoogleFinance(""CURRENCY:GBPUSD"")"),976.70328)</f>
        <v>976.70328</v>
      </c>
      <c r="BM5" s="24">
        <f t="shared" ref="BM5:BM137" si="20">sum(BN5:BR5)</f>
        <v>784</v>
      </c>
      <c r="BN5" s="13">
        <v>121.0</v>
      </c>
      <c r="BO5" s="13">
        <v>126.0</v>
      </c>
      <c r="BP5" s="13">
        <v>244.0</v>
      </c>
      <c r="BQ5" s="13">
        <v>177.0</v>
      </c>
      <c r="BR5" s="13">
        <v>116.0</v>
      </c>
      <c r="BS5" s="13">
        <v>200.0</v>
      </c>
      <c r="BT5" s="50"/>
      <c r="BU5" s="53"/>
      <c r="BV5" s="53"/>
      <c r="BW5" s="50"/>
      <c r="BX5" s="50"/>
      <c r="BY5" s="50"/>
      <c r="BZ5" s="50"/>
      <c r="CA5" s="50"/>
    </row>
    <row r="6">
      <c r="A6" s="13" t="s">
        <v>22</v>
      </c>
      <c r="B6" s="27"/>
      <c r="C6" s="13" t="s">
        <v>23</v>
      </c>
      <c r="D6" s="27"/>
      <c r="E6" s="150">
        <v>3.61</v>
      </c>
      <c r="F6" s="13">
        <v>80.0</v>
      </c>
      <c r="G6" s="24">
        <f t="shared" si="3"/>
        <v>61</v>
      </c>
      <c r="H6" s="26">
        <v>22638.0</v>
      </c>
      <c r="I6" s="151">
        <v>0.14</v>
      </c>
      <c r="J6" s="27"/>
      <c r="K6" s="13">
        <v>30.0</v>
      </c>
      <c r="L6" s="152">
        <f t="shared" si="4"/>
        <v>0.7011494253</v>
      </c>
      <c r="M6" s="67">
        <v>14.0</v>
      </c>
      <c r="N6" s="153">
        <f t="shared" si="5"/>
        <v>0.9770114943</v>
      </c>
      <c r="O6" s="13">
        <v>0.0</v>
      </c>
      <c r="P6" s="152">
        <f t="shared" si="6"/>
        <v>1</v>
      </c>
      <c r="Q6" s="26">
        <v>833.333333333333</v>
      </c>
      <c r="R6" s="153">
        <f t="shared" si="7"/>
        <v>0.4367816092</v>
      </c>
      <c r="S6" s="26">
        <v>324.439695</v>
      </c>
      <c r="T6" s="153">
        <f t="shared" si="8"/>
        <v>0.6781609195</v>
      </c>
      <c r="U6" s="13">
        <v>2.0</v>
      </c>
      <c r="V6" s="154">
        <v>0.75</v>
      </c>
      <c r="W6" s="13">
        <v>1.0</v>
      </c>
      <c r="X6" s="153">
        <f>100%</f>
        <v>1</v>
      </c>
      <c r="Y6" s="27"/>
      <c r="Z6" s="35">
        <f t="shared" si="9"/>
        <v>4.985632184</v>
      </c>
      <c r="AA6" s="24">
        <f t="shared" si="10"/>
        <v>2</v>
      </c>
      <c r="AB6" s="24">
        <f t="shared" si="11"/>
        <v>1</v>
      </c>
      <c r="AC6" s="35">
        <f t="shared" si="12"/>
        <v>3.610632184</v>
      </c>
      <c r="AD6" s="24">
        <f t="shared" si="13"/>
        <v>80</v>
      </c>
      <c r="AE6" s="27"/>
      <c r="AF6" s="13" t="s">
        <v>149</v>
      </c>
      <c r="AG6" s="16">
        <f t="shared" ref="AG6:AG8" si="21">AH6*0.45359237</f>
        <v>6.123496995</v>
      </c>
      <c r="AH6" s="108">
        <f>average(11.5,15.5)</f>
        <v>13.5</v>
      </c>
      <c r="AI6" s="107" t="s">
        <v>150</v>
      </c>
      <c r="AJ6" s="107" t="s">
        <v>150</v>
      </c>
      <c r="AK6" s="27"/>
      <c r="AL6" s="50"/>
      <c r="AM6" s="50"/>
      <c r="AN6" s="50"/>
      <c r="AO6" s="13" t="s">
        <v>142</v>
      </c>
      <c r="AP6" s="13" t="s">
        <v>143</v>
      </c>
      <c r="AQ6" s="13" t="s">
        <v>144</v>
      </c>
      <c r="AR6" s="13">
        <v>177.0</v>
      </c>
      <c r="AS6" s="13" t="s">
        <v>145</v>
      </c>
      <c r="AT6" s="13" t="s">
        <v>145</v>
      </c>
      <c r="AU6" s="50"/>
      <c r="AV6" s="50"/>
      <c r="AW6" s="50"/>
      <c r="AX6" s="42">
        <f t="shared" si="14"/>
        <v>18347.3175</v>
      </c>
      <c r="AY6" s="156">
        <f t="shared" si="15"/>
        <v>0.1149425287</v>
      </c>
      <c r="AZ6" s="42">
        <f>average(250,850,1000,950,1200,850,950,850,600)</f>
        <v>833.3333333</v>
      </c>
      <c r="BA6" s="13" t="s">
        <v>160</v>
      </c>
      <c r="BB6" s="13">
        <v>250.0</v>
      </c>
      <c r="BC6" s="13">
        <v>1200.0</v>
      </c>
      <c r="BD6" s="24">
        <f t="shared" si="16"/>
        <v>4</v>
      </c>
      <c r="BE6" s="13">
        <v>4.0</v>
      </c>
      <c r="BF6" s="13">
        <v>4.0</v>
      </c>
      <c r="BG6" s="35">
        <f>IFERROR(__xludf.DUMMYFUNCTION("BD6*GoogleFinance(""CURRENCY:GBPUSD"")"),4.98318)</f>
        <v>4.98318</v>
      </c>
      <c r="BH6" s="157">
        <f t="shared" si="17"/>
        <v>260.0098745</v>
      </c>
      <c r="BI6" s="42">
        <f t="shared" si="18"/>
        <v>3640.138242</v>
      </c>
      <c r="BJ6" s="158"/>
      <c r="BK6" s="42">
        <f t="shared" si="19"/>
        <v>13673.84592</v>
      </c>
      <c r="BL6" s="42">
        <f>IFERROR(__xludf.DUMMYFUNCTION("BM6*GoogleFinance(""CURRENCY:GBPUSD"")"),976.70328)</f>
        <v>976.70328</v>
      </c>
      <c r="BM6" s="24">
        <f t="shared" si="20"/>
        <v>784</v>
      </c>
      <c r="BN6" s="13">
        <v>121.0</v>
      </c>
      <c r="BO6" s="13">
        <v>126.0</v>
      </c>
      <c r="BP6" s="13">
        <v>244.0</v>
      </c>
      <c r="BQ6" s="13">
        <v>177.0</v>
      </c>
      <c r="BR6" s="13">
        <v>116.0</v>
      </c>
      <c r="BS6" s="13">
        <v>200.0</v>
      </c>
      <c r="BT6" s="50"/>
      <c r="BU6" s="53"/>
      <c r="BV6" s="53"/>
      <c r="BW6" s="50"/>
      <c r="BX6" s="50"/>
      <c r="BY6" s="50"/>
      <c r="BZ6" s="50"/>
      <c r="CA6" s="50"/>
    </row>
    <row r="7">
      <c r="A7" s="13" t="s">
        <v>263</v>
      </c>
      <c r="B7" s="27"/>
      <c r="C7" s="13" t="s">
        <v>27</v>
      </c>
      <c r="D7" s="27"/>
      <c r="E7" s="150">
        <v>3.54</v>
      </c>
      <c r="F7" s="13">
        <v>30.0</v>
      </c>
      <c r="G7" s="24">
        <f t="shared" si="3"/>
        <v>30</v>
      </c>
      <c r="H7" s="26">
        <v>22589.0</v>
      </c>
      <c r="I7" s="151">
        <v>0.16</v>
      </c>
      <c r="J7" s="27"/>
      <c r="K7" s="13">
        <v>19.0</v>
      </c>
      <c r="L7" s="152">
        <f t="shared" si="4"/>
        <v>0.8045977011</v>
      </c>
      <c r="M7" s="67">
        <v>12.92</v>
      </c>
      <c r="N7" s="153">
        <f t="shared" si="5"/>
        <v>0.8850574713</v>
      </c>
      <c r="O7" s="13">
        <v>0.0</v>
      </c>
      <c r="P7" s="152">
        <f t="shared" si="6"/>
        <v>1</v>
      </c>
      <c r="Q7" s="26">
        <v>617.5</v>
      </c>
      <c r="R7" s="153">
        <f t="shared" si="7"/>
        <v>0.724137931</v>
      </c>
      <c r="S7" s="26">
        <v>466.3820615625</v>
      </c>
      <c r="T7" s="153">
        <f t="shared" si="8"/>
        <v>0.2298850575</v>
      </c>
      <c r="U7" s="13">
        <v>2.0</v>
      </c>
      <c r="V7" s="154">
        <v>0.75</v>
      </c>
      <c r="W7" s="13">
        <v>2.0</v>
      </c>
      <c r="X7" s="151">
        <v>0.5</v>
      </c>
      <c r="Y7" s="27"/>
      <c r="Z7" s="35">
        <f t="shared" si="9"/>
        <v>4.416666667</v>
      </c>
      <c r="AA7" s="24">
        <f t="shared" si="10"/>
        <v>3</v>
      </c>
      <c r="AB7" s="24">
        <f t="shared" si="11"/>
        <v>11</v>
      </c>
      <c r="AC7" s="35">
        <f t="shared" si="12"/>
        <v>3.541666667</v>
      </c>
      <c r="AD7" s="24">
        <f t="shared" si="13"/>
        <v>30</v>
      </c>
      <c r="AE7" s="27"/>
      <c r="AF7" s="13" t="s">
        <v>148</v>
      </c>
      <c r="AG7" s="16">
        <f t="shared" si="21"/>
        <v>15.87573295</v>
      </c>
      <c r="AH7" s="108">
        <f>average(30,40)</f>
        <v>35</v>
      </c>
      <c r="AI7" s="16">
        <f t="shared" ref="AI7:AI17" si="22">AJ7*2.54</f>
        <v>48.26</v>
      </c>
      <c r="AJ7" s="108">
        <f>average(17.5,20.5)</f>
        <v>19</v>
      </c>
      <c r="AK7" s="27"/>
      <c r="AL7" s="50"/>
      <c r="AM7" s="50"/>
      <c r="AN7" s="50"/>
      <c r="AO7" s="13" t="s">
        <v>267</v>
      </c>
      <c r="AP7" s="159" t="s">
        <v>268</v>
      </c>
      <c r="AQ7" s="13" t="s">
        <v>269</v>
      </c>
      <c r="AR7" s="13">
        <v>28.0</v>
      </c>
      <c r="AS7" s="13" t="s">
        <v>145</v>
      </c>
      <c r="AT7" s="13" t="s">
        <v>145</v>
      </c>
      <c r="AU7" s="50"/>
      <c r="AV7" s="50"/>
      <c r="AW7" s="50"/>
      <c r="AX7" s="42">
        <f t="shared" si="14"/>
        <v>18265.53977</v>
      </c>
      <c r="AY7" s="156">
        <f t="shared" si="15"/>
        <v>0.1379310345</v>
      </c>
      <c r="AZ7" s="42">
        <f>average(375,350,500,600,500,650,300,800,900,1200)</f>
        <v>617.5</v>
      </c>
      <c r="BA7" s="13" t="s">
        <v>146</v>
      </c>
      <c r="BB7" s="13">
        <v>300.0</v>
      </c>
      <c r="BC7" s="13">
        <v>1200.0</v>
      </c>
      <c r="BD7" s="24">
        <f t="shared" si="16"/>
        <v>5.75</v>
      </c>
      <c r="BE7" s="13">
        <v>4.0</v>
      </c>
      <c r="BF7" s="13">
        <v>7.5</v>
      </c>
      <c r="BG7" s="35">
        <f>IFERROR(__xludf.DUMMYFUNCTION("BD7*GoogleFinance(""CURRENCY:GBPUSD"")"),7.16332125)</f>
        <v>7.16332125</v>
      </c>
      <c r="BH7" s="157">
        <f t="shared" si="17"/>
        <v>373.7641945</v>
      </c>
      <c r="BI7" s="42">
        <f t="shared" si="18"/>
        <v>4829.033393</v>
      </c>
      <c r="BJ7" s="158"/>
      <c r="BK7" s="42">
        <f t="shared" si="19"/>
        <v>12619.00638</v>
      </c>
      <c r="BL7" s="42">
        <f>IFERROR(__xludf.DUMMYFUNCTION("BM7*GoogleFinance(""CURRENCY:GBPUSD"")"),976.70328)</f>
        <v>976.70328</v>
      </c>
      <c r="BM7" s="24">
        <f t="shared" si="20"/>
        <v>784</v>
      </c>
      <c r="BN7" s="13">
        <v>121.0</v>
      </c>
      <c r="BO7" s="13">
        <v>126.0</v>
      </c>
      <c r="BP7" s="13">
        <v>244.0</v>
      </c>
      <c r="BQ7" s="13">
        <v>177.0</v>
      </c>
      <c r="BR7" s="13">
        <v>116.0</v>
      </c>
      <c r="BS7" s="13">
        <v>200.0</v>
      </c>
      <c r="BT7" s="50"/>
      <c r="BU7" s="53"/>
      <c r="BV7" s="53"/>
      <c r="BW7" s="50"/>
      <c r="BX7" s="50"/>
      <c r="BY7" s="50"/>
      <c r="BZ7" s="50"/>
      <c r="CA7" s="50"/>
    </row>
    <row r="8">
      <c r="A8" s="13" t="s">
        <v>25</v>
      </c>
      <c r="B8" s="27"/>
      <c r="C8" s="13" t="s">
        <v>23</v>
      </c>
      <c r="D8" s="27"/>
      <c r="E8" s="150">
        <v>3.53</v>
      </c>
      <c r="F8" s="13">
        <v>59.0</v>
      </c>
      <c r="G8" s="24">
        <f t="shared" si="3"/>
        <v>48</v>
      </c>
      <c r="H8" s="26">
        <v>21992.0</v>
      </c>
      <c r="I8" s="151">
        <v>0.22</v>
      </c>
      <c r="J8" s="27"/>
      <c r="K8" s="13">
        <v>35.0</v>
      </c>
      <c r="L8" s="152">
        <f t="shared" si="4"/>
        <v>0.6091954023</v>
      </c>
      <c r="M8" s="67">
        <v>13.84</v>
      </c>
      <c r="N8" s="153">
        <f t="shared" si="5"/>
        <v>0.9540229885</v>
      </c>
      <c r="O8" s="13">
        <v>2.0</v>
      </c>
      <c r="P8" s="152">
        <f t="shared" si="6"/>
        <v>0.7777777778</v>
      </c>
      <c r="Q8" s="26">
        <v>435.0</v>
      </c>
      <c r="R8" s="153">
        <f t="shared" si="7"/>
        <v>0.9540229885</v>
      </c>
      <c r="S8" s="26">
        <v>324.439695</v>
      </c>
      <c r="T8" s="153">
        <f t="shared" si="8"/>
        <v>0.6781609195</v>
      </c>
      <c r="U8" s="13">
        <v>2.0</v>
      </c>
      <c r="V8" s="154">
        <v>0.75</v>
      </c>
      <c r="W8" s="13">
        <v>1.0</v>
      </c>
      <c r="X8" s="153">
        <f t="shared" ref="X8:X10" si="23">100%</f>
        <v>1</v>
      </c>
      <c r="Y8" s="27"/>
      <c r="Z8" s="35">
        <f t="shared" si="9"/>
        <v>4.907088123</v>
      </c>
      <c r="AA8" s="24">
        <f t="shared" si="10"/>
        <v>4</v>
      </c>
      <c r="AB8" s="24">
        <f t="shared" si="11"/>
        <v>2</v>
      </c>
      <c r="AC8" s="35">
        <f t="shared" si="12"/>
        <v>3.532088123</v>
      </c>
      <c r="AD8" s="24">
        <f t="shared" si="13"/>
        <v>59</v>
      </c>
      <c r="AE8" s="27"/>
      <c r="AF8" s="13" t="s">
        <v>149</v>
      </c>
      <c r="AG8" s="16">
        <f t="shared" si="21"/>
        <v>6.35029318</v>
      </c>
      <c r="AH8" s="107">
        <v>14.0</v>
      </c>
      <c r="AI8" s="16">
        <f t="shared" si="22"/>
        <v>25.4</v>
      </c>
      <c r="AJ8" s="107">
        <v>10.0</v>
      </c>
      <c r="AK8" s="27"/>
      <c r="AL8" s="50"/>
      <c r="AM8" s="50"/>
      <c r="AN8" s="50"/>
      <c r="AO8" s="13" t="s">
        <v>142</v>
      </c>
      <c r="AP8" s="13" t="s">
        <v>143</v>
      </c>
      <c r="AQ8" s="13" t="s">
        <v>144</v>
      </c>
      <c r="AR8" s="13">
        <v>156.0</v>
      </c>
      <c r="AS8" s="159" t="s">
        <v>276</v>
      </c>
      <c r="AT8" s="13" t="s">
        <v>277</v>
      </c>
      <c r="AU8" s="50"/>
      <c r="AV8" s="50"/>
      <c r="AW8" s="50"/>
      <c r="AX8" s="42">
        <f t="shared" si="14"/>
        <v>17751.11006</v>
      </c>
      <c r="AY8" s="156">
        <f t="shared" si="15"/>
        <v>0.2298850575</v>
      </c>
      <c r="AZ8" s="42">
        <f>average(450,450,500,400,300,450,600,500,300,400)</f>
        <v>435</v>
      </c>
      <c r="BA8" s="13" t="s">
        <v>146</v>
      </c>
      <c r="BB8" s="13">
        <v>300.0</v>
      </c>
      <c r="BC8" s="13">
        <v>600.0</v>
      </c>
      <c r="BD8" s="24">
        <f t="shared" si="16"/>
        <v>4</v>
      </c>
      <c r="BE8" s="13">
        <v>4.0</v>
      </c>
      <c r="BF8" s="13">
        <v>4.0</v>
      </c>
      <c r="BG8" s="35">
        <f>IFERROR(__xludf.DUMMYFUNCTION("BD8*GoogleFinance(""CURRENCY:GBPUSD"")"),4.98318)</f>
        <v>4.98318</v>
      </c>
      <c r="BH8" s="157">
        <f t="shared" si="17"/>
        <v>260.0098745</v>
      </c>
      <c r="BI8" s="42">
        <f t="shared" si="18"/>
        <v>3598.536662</v>
      </c>
      <c r="BJ8" s="158"/>
      <c r="BK8" s="42">
        <f t="shared" si="19"/>
        <v>13517.5734</v>
      </c>
      <c r="BL8" s="42">
        <f>IFERROR(__xludf.DUMMYFUNCTION("BM8*GoogleFinance(""CURRENCY:GBPUSD"")"),976.70328)</f>
        <v>976.70328</v>
      </c>
      <c r="BM8" s="24">
        <f t="shared" si="20"/>
        <v>784</v>
      </c>
      <c r="BN8" s="13">
        <v>121.0</v>
      </c>
      <c r="BO8" s="13">
        <v>126.0</v>
      </c>
      <c r="BP8" s="13">
        <v>244.0</v>
      </c>
      <c r="BQ8" s="13">
        <v>177.0</v>
      </c>
      <c r="BR8" s="13">
        <v>116.0</v>
      </c>
      <c r="BS8" s="13">
        <v>200.0</v>
      </c>
      <c r="BT8" s="50"/>
      <c r="BU8" s="53"/>
      <c r="BV8" s="53"/>
      <c r="BW8" s="50"/>
      <c r="BX8" s="50"/>
      <c r="BY8" s="50"/>
      <c r="BZ8" s="50"/>
      <c r="CA8" s="50"/>
    </row>
    <row r="9">
      <c r="A9" s="13" t="s">
        <v>26</v>
      </c>
      <c r="B9" s="27"/>
      <c r="C9" s="13" t="s">
        <v>27</v>
      </c>
      <c r="D9" s="27"/>
      <c r="E9" s="150">
        <v>3.34</v>
      </c>
      <c r="F9" s="13">
        <v>130.0</v>
      </c>
      <c r="G9" s="24">
        <f t="shared" si="3"/>
        <v>81</v>
      </c>
      <c r="H9" s="26">
        <v>20224.0</v>
      </c>
      <c r="I9" s="151">
        <v>0.47</v>
      </c>
      <c r="J9" s="27"/>
      <c r="K9" s="13">
        <v>31.0</v>
      </c>
      <c r="L9" s="152">
        <f t="shared" si="4"/>
        <v>0.6896551724</v>
      </c>
      <c r="M9" s="67">
        <v>12.49</v>
      </c>
      <c r="N9" s="153">
        <f t="shared" si="5"/>
        <v>0.7701149425</v>
      </c>
      <c r="O9" s="13">
        <v>1.0</v>
      </c>
      <c r="P9" s="152">
        <f t="shared" si="6"/>
        <v>0.8888888889</v>
      </c>
      <c r="Q9" s="26">
        <v>750.0</v>
      </c>
      <c r="R9" s="153">
        <f t="shared" si="7"/>
        <v>0.5517241379</v>
      </c>
      <c r="S9" s="26">
        <v>324.439695</v>
      </c>
      <c r="T9" s="153">
        <f t="shared" si="8"/>
        <v>0.6781609195</v>
      </c>
      <c r="U9" s="13">
        <v>2.0</v>
      </c>
      <c r="V9" s="154">
        <v>0.75</v>
      </c>
      <c r="W9" s="13">
        <v>1.0</v>
      </c>
      <c r="X9" s="153">
        <f t="shared" si="23"/>
        <v>1</v>
      </c>
      <c r="Y9" s="27"/>
      <c r="Z9" s="35">
        <f t="shared" si="9"/>
        <v>4.713601533</v>
      </c>
      <c r="AA9" s="24">
        <f t="shared" si="10"/>
        <v>5</v>
      </c>
      <c r="AB9" s="24">
        <f t="shared" si="11"/>
        <v>4</v>
      </c>
      <c r="AC9" s="35">
        <f t="shared" si="12"/>
        <v>3.338601533</v>
      </c>
      <c r="AD9" s="24">
        <f t="shared" si="13"/>
        <v>130</v>
      </c>
      <c r="AE9" s="27"/>
      <c r="AF9" s="13" t="s">
        <v>148</v>
      </c>
      <c r="AG9" s="107" t="s">
        <v>150</v>
      </c>
      <c r="AH9" s="107" t="s">
        <v>150</v>
      </c>
      <c r="AI9" s="16">
        <f t="shared" si="22"/>
        <v>45.72</v>
      </c>
      <c r="AJ9" s="108">
        <f>average(17,19)</f>
        <v>18</v>
      </c>
      <c r="AK9" s="27"/>
      <c r="AL9" s="13" t="s">
        <v>305</v>
      </c>
      <c r="AM9" s="50"/>
      <c r="AN9" s="50"/>
      <c r="AO9" s="13" t="s">
        <v>142</v>
      </c>
      <c r="AP9" s="13" t="s">
        <v>143</v>
      </c>
      <c r="AQ9" s="13" t="s">
        <v>144</v>
      </c>
      <c r="AR9" s="13">
        <v>172.0</v>
      </c>
      <c r="AS9" s="13" t="s">
        <v>174</v>
      </c>
      <c r="AT9" s="13" t="s">
        <v>175</v>
      </c>
      <c r="AU9" s="50"/>
      <c r="AV9" s="50"/>
      <c r="AW9" s="50"/>
      <c r="AX9" s="42">
        <f t="shared" si="14"/>
        <v>16396.5473</v>
      </c>
      <c r="AY9" s="156">
        <f t="shared" si="15"/>
        <v>0.4597701149</v>
      </c>
      <c r="AZ9" s="62">
        <v>750.0</v>
      </c>
      <c r="BA9" s="13" t="s">
        <v>160</v>
      </c>
      <c r="BB9" s="13">
        <v>750.0</v>
      </c>
      <c r="BC9" s="13">
        <v>750.0</v>
      </c>
      <c r="BD9" s="24">
        <f t="shared" si="16"/>
        <v>4</v>
      </c>
      <c r="BE9" s="13">
        <v>4.0</v>
      </c>
      <c r="BF9" s="13">
        <v>4.0</v>
      </c>
      <c r="BG9" s="35">
        <f>IFERROR(__xludf.DUMMYFUNCTION("BD9*GoogleFinance(""CURRENCY:GBPUSD"")"),4.98318)</f>
        <v>4.98318</v>
      </c>
      <c r="BH9" s="157">
        <f t="shared" si="17"/>
        <v>260.0098745</v>
      </c>
      <c r="BI9" s="42">
        <f t="shared" si="18"/>
        <v>3247.523332</v>
      </c>
      <c r="BJ9" s="158"/>
      <c r="BK9" s="42">
        <f t="shared" si="19"/>
        <v>12199.02397</v>
      </c>
      <c r="BL9" s="42">
        <f>IFERROR(__xludf.DUMMYFUNCTION("BM9*GoogleFinance(""CURRENCY:GBPUSD"")"),976.70328)</f>
        <v>976.70328</v>
      </c>
      <c r="BM9" s="24">
        <f t="shared" si="20"/>
        <v>784</v>
      </c>
      <c r="BN9" s="13">
        <v>121.0</v>
      </c>
      <c r="BO9" s="13">
        <v>126.0</v>
      </c>
      <c r="BP9" s="13">
        <v>244.0</v>
      </c>
      <c r="BQ9" s="13">
        <v>177.0</v>
      </c>
      <c r="BR9" s="13">
        <v>116.0</v>
      </c>
      <c r="BS9" s="13">
        <v>200.0</v>
      </c>
      <c r="BT9" s="50"/>
      <c r="BU9" s="53"/>
      <c r="BV9" s="53"/>
      <c r="BW9" s="50"/>
      <c r="BX9" s="50"/>
      <c r="BY9" s="50"/>
      <c r="BZ9" s="50"/>
      <c r="CA9" s="50"/>
    </row>
    <row r="10">
      <c r="A10" s="13" t="s">
        <v>28</v>
      </c>
      <c r="B10" s="27"/>
      <c r="C10" s="13" t="s">
        <v>27</v>
      </c>
      <c r="D10" s="27"/>
      <c r="E10" s="150">
        <v>3.33</v>
      </c>
      <c r="F10" s="13">
        <v>63.0</v>
      </c>
      <c r="G10" s="24">
        <f t="shared" si="3"/>
        <v>51</v>
      </c>
      <c r="H10" s="26">
        <v>18993.0</v>
      </c>
      <c r="I10" s="151">
        <v>0.63</v>
      </c>
      <c r="J10" s="27"/>
      <c r="K10" s="13">
        <v>18.0</v>
      </c>
      <c r="L10" s="152">
        <f t="shared" si="4"/>
        <v>0.816091954</v>
      </c>
      <c r="M10" s="67">
        <v>11.66</v>
      </c>
      <c r="N10" s="153">
        <f t="shared" si="5"/>
        <v>0.5402298851</v>
      </c>
      <c r="O10" s="13">
        <v>0.0</v>
      </c>
      <c r="P10" s="152">
        <f t="shared" si="6"/>
        <v>1</v>
      </c>
      <c r="Q10" s="26">
        <v>800.0</v>
      </c>
      <c r="R10" s="153">
        <f t="shared" si="7"/>
        <v>0.5172413793</v>
      </c>
      <c r="S10" s="26">
        <v>324.439695</v>
      </c>
      <c r="T10" s="153">
        <f t="shared" si="8"/>
        <v>0.6781609195</v>
      </c>
      <c r="U10" s="13">
        <v>2.0</v>
      </c>
      <c r="V10" s="154">
        <v>0.75</v>
      </c>
      <c r="W10" s="13">
        <v>1.0</v>
      </c>
      <c r="X10" s="153">
        <f t="shared" si="23"/>
        <v>1</v>
      </c>
      <c r="Y10" s="27"/>
      <c r="Z10" s="35">
        <f t="shared" si="9"/>
        <v>4.704022989</v>
      </c>
      <c r="AA10" s="24">
        <f t="shared" si="10"/>
        <v>6</v>
      </c>
      <c r="AB10" s="24">
        <f t="shared" si="11"/>
        <v>5</v>
      </c>
      <c r="AC10" s="35">
        <f t="shared" si="12"/>
        <v>3.329022989</v>
      </c>
      <c r="AD10" s="24">
        <f t="shared" si="13"/>
        <v>63</v>
      </c>
      <c r="AE10" s="27"/>
      <c r="AF10" s="13" t="s">
        <v>148</v>
      </c>
      <c r="AG10" s="16">
        <f t="shared" ref="AG10:AG11" si="24">AH10*0.45359237</f>
        <v>13.6077711</v>
      </c>
      <c r="AH10" s="108">
        <f>average(26,34)</f>
        <v>30</v>
      </c>
      <c r="AI10" s="16">
        <f t="shared" si="22"/>
        <v>40.64</v>
      </c>
      <c r="AJ10" s="108">
        <f>average(15,17)</f>
        <v>16</v>
      </c>
      <c r="AK10" s="27"/>
      <c r="AL10" s="50"/>
      <c r="AM10" s="50"/>
      <c r="AN10" s="50"/>
      <c r="AO10" s="13" t="s">
        <v>267</v>
      </c>
      <c r="AP10" s="159" t="s">
        <v>268</v>
      </c>
      <c r="AQ10" s="13" t="s">
        <v>269</v>
      </c>
      <c r="AR10" s="13">
        <v>1199.0</v>
      </c>
      <c r="AS10" s="13" t="s">
        <v>145</v>
      </c>
      <c r="AT10" s="13" t="s">
        <v>145</v>
      </c>
      <c r="AU10" s="50"/>
      <c r="AV10" s="50"/>
      <c r="AW10" s="50"/>
      <c r="AX10" s="42">
        <f t="shared" si="14"/>
        <v>15420.07538</v>
      </c>
      <c r="AY10" s="156">
        <f t="shared" si="15"/>
        <v>0.6206896552</v>
      </c>
      <c r="AZ10" s="42">
        <f>average(600,1000,800,600,1000,1000,600,600,800,1000)</f>
        <v>800</v>
      </c>
      <c r="BA10" s="13" t="s">
        <v>160</v>
      </c>
      <c r="BB10" s="13">
        <v>600.0</v>
      </c>
      <c r="BC10" s="13">
        <v>1000.0</v>
      </c>
      <c r="BD10" s="24">
        <f t="shared" si="16"/>
        <v>4</v>
      </c>
      <c r="BE10" s="13">
        <v>4.0</v>
      </c>
      <c r="BF10" s="13">
        <v>4.0</v>
      </c>
      <c r="BG10" s="35">
        <f>IFERROR(__xludf.DUMMYFUNCTION("BD10*GoogleFinance(""CURRENCY:GBPUSD"")"),4.98318)</f>
        <v>4.98318</v>
      </c>
      <c r="BH10" s="157">
        <f t="shared" si="17"/>
        <v>260.0098745</v>
      </c>
      <c r="BI10" s="42">
        <f t="shared" si="18"/>
        <v>3031.715136</v>
      </c>
      <c r="BJ10" s="158"/>
      <c r="BK10" s="42">
        <f t="shared" si="19"/>
        <v>11388.36024</v>
      </c>
      <c r="BL10" s="42">
        <f>IFERROR(__xludf.DUMMYFUNCTION("BM10*GoogleFinance(""CURRENCY:GBPUSD"")"),976.70328)</f>
        <v>976.70328</v>
      </c>
      <c r="BM10" s="24">
        <f t="shared" si="20"/>
        <v>784</v>
      </c>
      <c r="BN10" s="13">
        <v>121.0</v>
      </c>
      <c r="BO10" s="13">
        <v>126.0</v>
      </c>
      <c r="BP10" s="13">
        <v>244.0</v>
      </c>
      <c r="BQ10" s="13">
        <v>177.0</v>
      </c>
      <c r="BR10" s="13">
        <v>116.0</v>
      </c>
      <c r="BS10" s="13">
        <v>200.0</v>
      </c>
      <c r="BT10" s="50"/>
      <c r="BU10" s="53"/>
      <c r="BV10" s="53"/>
      <c r="BW10" s="50"/>
      <c r="BX10" s="50"/>
      <c r="BY10" s="50"/>
      <c r="BZ10" s="50"/>
      <c r="CA10" s="50"/>
    </row>
    <row r="11">
      <c r="A11" s="47" t="s">
        <v>29</v>
      </c>
      <c r="B11" s="27"/>
      <c r="C11" s="47" t="s">
        <v>27</v>
      </c>
      <c r="D11" s="27"/>
      <c r="E11" s="150">
        <v>3.3</v>
      </c>
      <c r="F11" s="47">
        <v>27.0</v>
      </c>
      <c r="G11" s="24">
        <f t="shared" si="3"/>
        <v>27</v>
      </c>
      <c r="H11" s="26">
        <v>24330.0</v>
      </c>
      <c r="I11" s="151">
        <v>0.09</v>
      </c>
      <c r="J11" s="27"/>
      <c r="K11" s="47">
        <v>20.0</v>
      </c>
      <c r="L11" s="152">
        <f t="shared" si="4"/>
        <v>0.7931034483</v>
      </c>
      <c r="M11" s="56">
        <f>average(11,14)</f>
        <v>12.5</v>
      </c>
      <c r="N11" s="153">
        <f t="shared" si="5"/>
        <v>0.7816091954</v>
      </c>
      <c r="O11" s="47">
        <v>2.0</v>
      </c>
      <c r="P11" s="152">
        <f t="shared" si="6"/>
        <v>0.7777777778</v>
      </c>
      <c r="Q11" s="26">
        <v>465.0</v>
      </c>
      <c r="R11" s="153">
        <f t="shared" si="7"/>
        <v>0.9310344828</v>
      </c>
      <c r="S11" s="26">
        <v>674.328965625</v>
      </c>
      <c r="T11" s="153">
        <f t="shared" si="8"/>
        <v>0.2068965517</v>
      </c>
      <c r="U11" s="47">
        <v>2.0</v>
      </c>
      <c r="V11" s="154">
        <v>0.75</v>
      </c>
      <c r="W11" s="47">
        <v>1.0</v>
      </c>
      <c r="X11" s="169">
        <v>1.0</v>
      </c>
      <c r="Y11" s="27"/>
      <c r="Z11" s="35">
        <f t="shared" si="9"/>
        <v>4.671455939</v>
      </c>
      <c r="AA11" s="24">
        <f t="shared" si="10"/>
        <v>7</v>
      </c>
      <c r="AB11" s="24">
        <f t="shared" si="11"/>
        <v>6</v>
      </c>
      <c r="AC11" s="35">
        <f t="shared" si="12"/>
        <v>3.296455939</v>
      </c>
      <c r="AD11" s="24">
        <f t="shared" si="13"/>
        <v>27</v>
      </c>
      <c r="AE11" s="27"/>
      <c r="AF11" s="47" t="s">
        <v>149</v>
      </c>
      <c r="AG11" s="172">
        <f t="shared" si="24"/>
        <v>11.33980925</v>
      </c>
      <c r="AH11" s="173">
        <v>25.0</v>
      </c>
      <c r="AI11" s="172">
        <f t="shared" si="22"/>
        <v>36.83</v>
      </c>
      <c r="AJ11" s="174">
        <f>average(13.5,15.5)</f>
        <v>14.5</v>
      </c>
      <c r="AK11" s="27"/>
      <c r="AL11" s="47" t="s">
        <v>355</v>
      </c>
      <c r="AM11" s="129"/>
      <c r="AN11" s="129"/>
      <c r="AO11" s="47" t="s">
        <v>267</v>
      </c>
      <c r="AP11" s="175" t="s">
        <v>268</v>
      </c>
      <c r="AQ11" s="47" t="s">
        <v>269</v>
      </c>
      <c r="AR11" s="47" t="s">
        <v>182</v>
      </c>
      <c r="AS11" s="47" t="s">
        <v>356</v>
      </c>
      <c r="AT11" s="47" t="s">
        <v>357</v>
      </c>
      <c r="AU11" s="129"/>
      <c r="AV11" s="129"/>
      <c r="AW11" s="129"/>
      <c r="AX11" s="157">
        <f t="shared" si="14"/>
        <v>18063.86247</v>
      </c>
      <c r="AY11" s="156">
        <f t="shared" si="15"/>
        <v>0.1494252874</v>
      </c>
      <c r="AZ11" s="157">
        <f>average(500,250,450,600,500,500,200,800,450,400)</f>
        <v>465</v>
      </c>
      <c r="BA11" s="47" t="s">
        <v>146</v>
      </c>
      <c r="BB11" s="47">
        <v>250.0</v>
      </c>
      <c r="BC11" s="47">
        <v>800.0</v>
      </c>
      <c r="BD11" s="176" t="s">
        <v>182</v>
      </c>
      <c r="BE11" s="176" t="s">
        <v>182</v>
      </c>
      <c r="BF11" s="176" t="s">
        <v>182</v>
      </c>
      <c r="BG11" s="157">
        <f>IFERROR(__xludf.DUMMYFUNCTION("SUM(12.5*GoogleFinance(""CURRENCY:AUDUSD""))"),7.9575625)</f>
        <v>7.9575625</v>
      </c>
      <c r="BH11" s="157">
        <f t="shared" si="17"/>
        <v>415.2057173</v>
      </c>
      <c r="BI11" s="157">
        <f t="shared" si="18"/>
        <v>5190.071467</v>
      </c>
      <c r="BJ11" s="158"/>
      <c r="BK11" s="157">
        <f t="shared" si="19"/>
        <v>12208.791</v>
      </c>
      <c r="BL11" s="157">
        <f>IFERROR(__xludf.DUMMYFUNCTION("BM11*GoogleFinance(""CURRENCY:GBPUSD"")"),976.70328)</f>
        <v>976.70328</v>
      </c>
      <c r="BM11" s="177">
        <f t="shared" si="20"/>
        <v>784</v>
      </c>
      <c r="BN11" s="47">
        <v>121.0</v>
      </c>
      <c r="BO11" s="47">
        <v>126.0</v>
      </c>
      <c r="BP11" s="47">
        <v>244.0</v>
      </c>
      <c r="BQ11" s="47">
        <v>177.0</v>
      </c>
      <c r="BR11" s="47">
        <v>116.0</v>
      </c>
      <c r="BS11" s="47">
        <v>200.0</v>
      </c>
      <c r="BT11" s="47" t="s">
        <v>358</v>
      </c>
      <c r="BU11" s="178" t="s">
        <v>359</v>
      </c>
      <c r="BV11" s="178" t="s">
        <v>363</v>
      </c>
      <c r="BW11" s="178" t="s">
        <v>364</v>
      </c>
      <c r="BX11" s="129"/>
      <c r="BY11" s="129"/>
      <c r="BZ11" s="129"/>
      <c r="CA11" s="129"/>
    </row>
    <row r="12">
      <c r="A12" s="13" t="s">
        <v>366</v>
      </c>
      <c r="B12" s="27"/>
      <c r="C12" s="13" t="s">
        <v>43</v>
      </c>
      <c r="D12" s="27"/>
      <c r="E12" s="150">
        <v>3.26</v>
      </c>
      <c r="F12" s="13">
        <v>38.0</v>
      </c>
      <c r="G12" s="24">
        <f t="shared" si="3"/>
        <v>33</v>
      </c>
      <c r="H12" s="26">
        <v>21001.0</v>
      </c>
      <c r="I12" s="151">
        <v>0.36</v>
      </c>
      <c r="J12" s="27"/>
      <c r="K12" s="13">
        <v>8.0</v>
      </c>
      <c r="L12" s="152">
        <f t="shared" si="4"/>
        <v>0.9195402299</v>
      </c>
      <c r="M12" s="67">
        <v>13.0</v>
      </c>
      <c r="N12" s="153">
        <f t="shared" si="5"/>
        <v>0.8965517241</v>
      </c>
      <c r="O12" s="13">
        <v>5.0</v>
      </c>
      <c r="P12" s="152">
        <f t="shared" si="6"/>
        <v>0.4444444444</v>
      </c>
      <c r="Q12" s="26">
        <v>740.0</v>
      </c>
      <c r="R12" s="153">
        <f t="shared" si="7"/>
        <v>0.5632183908</v>
      </c>
      <c r="S12" s="26">
        <v>324.439695</v>
      </c>
      <c r="T12" s="153">
        <f t="shared" si="8"/>
        <v>0.6781609195</v>
      </c>
      <c r="U12" s="13">
        <v>2.0</v>
      </c>
      <c r="V12" s="154">
        <v>0.75</v>
      </c>
      <c r="W12" s="13">
        <v>2.0</v>
      </c>
      <c r="X12" s="151">
        <v>0.5</v>
      </c>
      <c r="Y12" s="27"/>
      <c r="Z12" s="35">
        <f t="shared" si="9"/>
        <v>4.131226054</v>
      </c>
      <c r="AA12" s="24">
        <f t="shared" si="10"/>
        <v>8</v>
      </c>
      <c r="AB12" s="24">
        <f t="shared" si="11"/>
        <v>22</v>
      </c>
      <c r="AC12" s="35">
        <f t="shared" si="12"/>
        <v>3.256226054</v>
      </c>
      <c r="AD12" s="24">
        <f t="shared" si="13"/>
        <v>38</v>
      </c>
      <c r="AE12" s="27"/>
      <c r="AF12" s="13" t="s">
        <v>149</v>
      </c>
      <c r="AG12" s="107" t="s">
        <v>150</v>
      </c>
      <c r="AH12" s="107" t="s">
        <v>150</v>
      </c>
      <c r="AI12" s="16">
        <f t="shared" si="22"/>
        <v>24.13</v>
      </c>
      <c r="AJ12" s="108">
        <f>average(8,11)</f>
        <v>9.5</v>
      </c>
      <c r="AK12" s="27"/>
      <c r="AL12" s="50"/>
      <c r="AM12" s="50"/>
      <c r="AN12" s="50"/>
      <c r="AO12" s="13" t="s">
        <v>250</v>
      </c>
      <c r="AP12" s="13" t="s">
        <v>251</v>
      </c>
      <c r="AQ12" s="13" t="s">
        <v>252</v>
      </c>
      <c r="AR12" s="13">
        <v>100.0</v>
      </c>
      <c r="AS12" s="13" t="s">
        <v>368</v>
      </c>
      <c r="AT12" s="13" t="s">
        <v>369</v>
      </c>
      <c r="AU12" s="50"/>
      <c r="AV12" s="50"/>
      <c r="AW12" s="50"/>
      <c r="AX12" s="42">
        <f t="shared" si="14"/>
        <v>17017.27101</v>
      </c>
      <c r="AY12" s="156">
        <f t="shared" si="15"/>
        <v>0.367816092</v>
      </c>
      <c r="AZ12" s="42">
        <f>average(400,650,725,700,1000,700,725,850,1000,650)</f>
        <v>740</v>
      </c>
      <c r="BA12" s="13" t="s">
        <v>160</v>
      </c>
      <c r="BB12" s="13">
        <v>400.0</v>
      </c>
      <c r="BC12" s="13">
        <v>1000.0</v>
      </c>
      <c r="BD12" s="24">
        <f t="shared" ref="BD12:BD13" si="25">average(BE12,BF12)</f>
        <v>4</v>
      </c>
      <c r="BE12" s="13">
        <v>4.0</v>
      </c>
      <c r="BF12" s="13">
        <v>4.0</v>
      </c>
      <c r="BG12" s="35">
        <f>IFERROR(__xludf.DUMMYFUNCTION("BD12*GoogleFinance(""CURRENCY:GBPUSD"")"),4.98318)</f>
        <v>4.98318</v>
      </c>
      <c r="BH12" s="157">
        <f t="shared" si="17"/>
        <v>260.0098745</v>
      </c>
      <c r="BI12" s="42">
        <f t="shared" si="18"/>
        <v>3380.128368</v>
      </c>
      <c r="BJ12" s="158"/>
      <c r="BK12" s="42">
        <f t="shared" si="19"/>
        <v>12697.14264</v>
      </c>
      <c r="BL12" s="42">
        <f>IFERROR(__xludf.DUMMYFUNCTION("BM12*GoogleFinance(""CURRENCY:GBPUSD"")"),976.70328)</f>
        <v>976.70328</v>
      </c>
      <c r="BM12" s="24">
        <f t="shared" si="20"/>
        <v>784</v>
      </c>
      <c r="BN12" s="13">
        <v>121.0</v>
      </c>
      <c r="BO12" s="13">
        <v>126.0</v>
      </c>
      <c r="BP12" s="13">
        <v>244.0</v>
      </c>
      <c r="BQ12" s="13">
        <v>177.0</v>
      </c>
      <c r="BR12" s="13">
        <v>116.0</v>
      </c>
      <c r="BS12" s="13">
        <v>200.0</v>
      </c>
      <c r="BT12" s="50"/>
      <c r="BU12" s="53"/>
      <c r="BV12" s="53"/>
      <c r="BW12" s="50"/>
      <c r="BX12" s="50"/>
      <c r="BY12" s="50"/>
      <c r="BZ12" s="50"/>
      <c r="CA12" s="50"/>
    </row>
    <row r="13">
      <c r="A13" s="13" t="s">
        <v>255</v>
      </c>
      <c r="B13" s="27"/>
      <c r="C13" s="13" t="s">
        <v>32</v>
      </c>
      <c r="D13" s="27"/>
      <c r="E13" s="150">
        <v>3.25</v>
      </c>
      <c r="F13" s="13">
        <v>60.0</v>
      </c>
      <c r="G13" s="24">
        <f t="shared" si="3"/>
        <v>49</v>
      </c>
      <c r="H13" s="26">
        <v>20395.0</v>
      </c>
      <c r="I13" s="151">
        <v>0.43</v>
      </c>
      <c r="J13" s="27"/>
      <c r="K13" s="13">
        <v>10.0</v>
      </c>
      <c r="L13" s="152">
        <f t="shared" si="4"/>
        <v>0.8965517241</v>
      </c>
      <c r="M13" s="67">
        <v>11.67</v>
      </c>
      <c r="N13" s="153">
        <f t="shared" si="5"/>
        <v>0.5517241379</v>
      </c>
      <c r="O13" s="13">
        <v>1.0</v>
      </c>
      <c r="P13" s="152">
        <f t="shared" si="6"/>
        <v>0.8888888889</v>
      </c>
      <c r="Q13" s="26">
        <v>530.0</v>
      </c>
      <c r="R13" s="153">
        <f t="shared" si="7"/>
        <v>0.8505747126</v>
      </c>
      <c r="S13" s="26">
        <v>466.3820615625</v>
      </c>
      <c r="T13" s="153">
        <f t="shared" si="8"/>
        <v>0.2298850575</v>
      </c>
      <c r="U13" s="13">
        <v>2.0</v>
      </c>
      <c r="V13" s="154">
        <v>0.75</v>
      </c>
      <c r="W13" s="13">
        <v>3.0</v>
      </c>
      <c r="X13" s="151">
        <v>0.0</v>
      </c>
      <c r="Y13" s="27"/>
      <c r="Z13" s="35">
        <f t="shared" si="9"/>
        <v>3.627394636</v>
      </c>
      <c r="AA13" s="24">
        <f t="shared" si="10"/>
        <v>9</v>
      </c>
      <c r="AB13" s="24">
        <f t="shared" si="11"/>
        <v>52</v>
      </c>
      <c r="AC13" s="35">
        <f t="shared" si="12"/>
        <v>3.252394636</v>
      </c>
      <c r="AD13" s="24">
        <f t="shared" si="13"/>
        <v>60</v>
      </c>
      <c r="AE13" s="27"/>
      <c r="AF13" s="13" t="s">
        <v>148</v>
      </c>
      <c r="AG13" s="107" t="s">
        <v>150</v>
      </c>
      <c r="AH13" s="107" t="s">
        <v>150</v>
      </c>
      <c r="AI13" s="16">
        <f t="shared" si="22"/>
        <v>46.99</v>
      </c>
      <c r="AJ13" s="108">
        <f>average(17,20)</f>
        <v>18.5</v>
      </c>
      <c r="AK13" s="27"/>
      <c r="AL13" s="50"/>
      <c r="AM13" s="50"/>
      <c r="AN13" s="50"/>
      <c r="AO13" s="13" t="s">
        <v>250</v>
      </c>
      <c r="AP13" s="13" t="s">
        <v>251</v>
      </c>
      <c r="AQ13" s="13" t="s">
        <v>252</v>
      </c>
      <c r="AR13" s="13">
        <v>11.0</v>
      </c>
      <c r="AS13" s="13" t="s">
        <v>174</v>
      </c>
      <c r="AT13" s="13" t="s">
        <v>175</v>
      </c>
      <c r="AU13" s="50"/>
      <c r="AV13" s="50"/>
      <c r="AW13" s="50"/>
      <c r="AX13" s="42">
        <f t="shared" si="14"/>
        <v>16489.95543</v>
      </c>
      <c r="AY13" s="156">
        <f t="shared" si="15"/>
        <v>0.4252873563</v>
      </c>
      <c r="AZ13" s="42">
        <f>average(500,1000,500,250,750,350,600,400,500,450)</f>
        <v>530</v>
      </c>
      <c r="BA13" s="13" t="s">
        <v>146</v>
      </c>
      <c r="BB13" s="13">
        <v>250.0</v>
      </c>
      <c r="BC13" s="13">
        <v>1000.0</v>
      </c>
      <c r="BD13" s="24">
        <f t="shared" si="25"/>
        <v>5.75</v>
      </c>
      <c r="BE13" s="13">
        <v>4.0</v>
      </c>
      <c r="BF13" s="13">
        <v>7.5</v>
      </c>
      <c r="BG13" s="35">
        <f>IFERROR(__xludf.DUMMYFUNCTION("BD13*GoogleFinance(""CURRENCY:GBPUSD"")"),7.16332125)</f>
        <v>7.16332125</v>
      </c>
      <c r="BH13" s="157">
        <f t="shared" si="17"/>
        <v>373.7641945</v>
      </c>
      <c r="BI13" s="42">
        <f t="shared" si="18"/>
        <v>4361.82815</v>
      </c>
      <c r="BJ13" s="158"/>
      <c r="BK13" s="42">
        <f t="shared" si="19"/>
        <v>11398.12728</v>
      </c>
      <c r="BL13" s="42">
        <f>IFERROR(__xludf.DUMMYFUNCTION("BM13*GoogleFinance(""CURRENCY:GBPUSD"")"),976.70328)</f>
        <v>976.70328</v>
      </c>
      <c r="BM13" s="24">
        <f t="shared" si="20"/>
        <v>784</v>
      </c>
      <c r="BN13" s="13">
        <v>121.0</v>
      </c>
      <c r="BO13" s="13">
        <v>126.0</v>
      </c>
      <c r="BP13" s="13">
        <v>244.0</v>
      </c>
      <c r="BQ13" s="13">
        <v>177.0</v>
      </c>
      <c r="BR13" s="13">
        <v>116.0</v>
      </c>
      <c r="BS13" s="13">
        <v>200.0</v>
      </c>
      <c r="BT13" s="50"/>
      <c r="BU13" s="53"/>
      <c r="BV13" s="53"/>
      <c r="BW13" s="50"/>
      <c r="BX13" s="50"/>
      <c r="BY13" s="50"/>
      <c r="BZ13" s="50"/>
      <c r="CA13" s="50"/>
    </row>
    <row r="14">
      <c r="A14" s="47" t="s">
        <v>375</v>
      </c>
      <c r="B14" s="27"/>
      <c r="C14" s="47" t="s">
        <v>32</v>
      </c>
      <c r="D14" s="27"/>
      <c r="E14" s="150">
        <v>3.22</v>
      </c>
      <c r="F14" s="47">
        <v>20.0</v>
      </c>
      <c r="G14" s="24">
        <f t="shared" si="3"/>
        <v>20</v>
      </c>
      <c r="H14" s="26">
        <v>21006.0</v>
      </c>
      <c r="I14" s="151">
        <v>0.34</v>
      </c>
      <c r="J14" s="27"/>
      <c r="K14" s="47">
        <v>6.0</v>
      </c>
      <c r="L14" s="152">
        <f t="shared" si="4"/>
        <v>0.9425287356</v>
      </c>
      <c r="M14" s="180">
        <v>12.53</v>
      </c>
      <c r="N14" s="153">
        <f t="shared" si="5"/>
        <v>0.8045977011</v>
      </c>
      <c r="O14" s="47">
        <v>5.0</v>
      </c>
      <c r="P14" s="152">
        <f t="shared" si="6"/>
        <v>0.4444444444</v>
      </c>
      <c r="Q14" s="26">
        <v>465.0</v>
      </c>
      <c r="R14" s="153">
        <f t="shared" si="7"/>
        <v>0.9310344828</v>
      </c>
      <c r="S14" s="26">
        <v>404.597379375</v>
      </c>
      <c r="T14" s="153">
        <f t="shared" si="8"/>
        <v>0.632183908</v>
      </c>
      <c r="U14" s="47">
        <v>1.0</v>
      </c>
      <c r="V14" s="154">
        <v>0.5</v>
      </c>
      <c r="W14" s="47">
        <v>1.0</v>
      </c>
      <c r="X14" s="169">
        <v>1.0</v>
      </c>
      <c r="Y14" s="27"/>
      <c r="Z14" s="35">
        <f t="shared" si="9"/>
        <v>4.473180077</v>
      </c>
      <c r="AA14" s="24">
        <f t="shared" si="10"/>
        <v>11</v>
      </c>
      <c r="AB14" s="24">
        <f t="shared" si="11"/>
        <v>8</v>
      </c>
      <c r="AC14" s="35">
        <f t="shared" si="12"/>
        <v>3.223180077</v>
      </c>
      <c r="AD14" s="24">
        <f t="shared" si="13"/>
        <v>20</v>
      </c>
      <c r="AE14" s="27"/>
      <c r="AF14" s="47" t="s">
        <v>149</v>
      </c>
      <c r="AG14" s="174">
        <f>SUM(8+12.3)/2</f>
        <v>10.15</v>
      </c>
      <c r="AH14" s="173">
        <v>22.0</v>
      </c>
      <c r="AI14" s="172">
        <f t="shared" si="22"/>
        <v>36.83</v>
      </c>
      <c r="AJ14" s="174">
        <f>average(13,16)</f>
        <v>14.5</v>
      </c>
      <c r="AK14" s="27"/>
      <c r="AL14" s="129"/>
      <c r="AM14" s="129"/>
      <c r="AN14" s="129"/>
      <c r="AO14" s="47" t="s">
        <v>250</v>
      </c>
      <c r="AP14" s="47" t="s">
        <v>251</v>
      </c>
      <c r="AQ14" s="47" t="s">
        <v>252</v>
      </c>
      <c r="AR14" s="47">
        <v>439.0</v>
      </c>
      <c r="AS14" s="47" t="s">
        <v>377</v>
      </c>
      <c r="AT14" s="47" t="s">
        <v>378</v>
      </c>
      <c r="AU14" s="129"/>
      <c r="AV14" s="129"/>
      <c r="AW14" s="129"/>
      <c r="AX14" s="157">
        <f t="shared" si="14"/>
        <v>16024.60868</v>
      </c>
      <c r="AY14" s="156">
        <f t="shared" si="15"/>
        <v>0.5172413793</v>
      </c>
      <c r="AZ14" s="157">
        <f>average(650,1000,150,300,600,500,200,500,250,500)</f>
        <v>465</v>
      </c>
      <c r="BA14" s="47" t="s">
        <v>146</v>
      </c>
      <c r="BB14" s="47">
        <v>150.0</v>
      </c>
      <c r="BC14" s="47">
        <v>1000.0</v>
      </c>
      <c r="BD14" s="176" t="s">
        <v>182</v>
      </c>
      <c r="BE14" s="176" t="s">
        <v>182</v>
      </c>
      <c r="BF14" s="176" t="s">
        <v>182</v>
      </c>
      <c r="BG14" s="157">
        <f>IFERROR(__xludf.DUMMYFUNCTION("SUM(7.5*GoogleFinance(""CURRENCY:AUDUSD""))"),4.7745375)</f>
        <v>4.7745375</v>
      </c>
      <c r="BH14" s="157">
        <f t="shared" si="17"/>
        <v>249.1234304</v>
      </c>
      <c r="BI14" s="157">
        <f t="shared" si="18"/>
        <v>3121.516583</v>
      </c>
      <c r="BJ14" s="158"/>
      <c r="BK14" s="157">
        <f t="shared" si="19"/>
        <v>12238.0921</v>
      </c>
      <c r="BL14" s="157">
        <f>IFERROR(__xludf.DUMMYFUNCTION("BM14*GoogleFinance(""CURRENCY:GBPUSD"")"),976.70328)</f>
        <v>976.70328</v>
      </c>
      <c r="BM14" s="177">
        <f t="shared" si="20"/>
        <v>784</v>
      </c>
      <c r="BN14" s="47">
        <v>121.0</v>
      </c>
      <c r="BO14" s="47">
        <v>126.0</v>
      </c>
      <c r="BP14" s="47">
        <v>244.0</v>
      </c>
      <c r="BQ14" s="47">
        <v>177.0</v>
      </c>
      <c r="BR14" s="47">
        <v>116.0</v>
      </c>
      <c r="BS14" s="47">
        <v>200.0</v>
      </c>
      <c r="BT14" s="129"/>
      <c r="BU14" s="178" t="s">
        <v>379</v>
      </c>
      <c r="BV14" s="178" t="s">
        <v>380</v>
      </c>
      <c r="BW14" s="129"/>
      <c r="BX14" s="129"/>
      <c r="BY14" s="129"/>
      <c r="BZ14" s="129"/>
      <c r="CA14" s="129"/>
    </row>
    <row r="15">
      <c r="A15" s="13" t="s">
        <v>381</v>
      </c>
      <c r="B15" s="181"/>
      <c r="C15" s="13" t="s">
        <v>38</v>
      </c>
      <c r="D15" s="27"/>
      <c r="E15" s="150">
        <v>3.22</v>
      </c>
      <c r="F15" s="13">
        <v>16.0</v>
      </c>
      <c r="G15" s="24">
        <f t="shared" si="3"/>
        <v>16</v>
      </c>
      <c r="H15" s="26">
        <v>22049.0</v>
      </c>
      <c r="I15" s="151">
        <v>0.2</v>
      </c>
      <c r="J15" s="27"/>
      <c r="K15" s="13">
        <v>45.0</v>
      </c>
      <c r="L15" s="152">
        <f t="shared" si="4"/>
        <v>0.4482758621</v>
      </c>
      <c r="M15" s="67">
        <v>12.58</v>
      </c>
      <c r="N15" s="153">
        <f t="shared" si="5"/>
        <v>0.8275862069</v>
      </c>
      <c r="O15" s="13">
        <v>0.0</v>
      </c>
      <c r="P15" s="152">
        <f t="shared" si="6"/>
        <v>1</v>
      </c>
      <c r="Q15" s="26">
        <v>650.0</v>
      </c>
      <c r="R15" s="153">
        <f t="shared" si="7"/>
        <v>0.6666666667</v>
      </c>
      <c r="S15" s="26">
        <v>466.3820615625</v>
      </c>
      <c r="T15" s="153">
        <f t="shared" si="8"/>
        <v>0.2298850575</v>
      </c>
      <c r="U15" s="47">
        <v>3.0</v>
      </c>
      <c r="V15" s="154">
        <v>1.0</v>
      </c>
      <c r="W15" s="47">
        <v>1.0</v>
      </c>
      <c r="X15" s="153">
        <f t="shared" ref="X15:X16" si="26">100%</f>
        <v>1</v>
      </c>
      <c r="Y15" s="27"/>
      <c r="Z15" s="35">
        <f t="shared" si="9"/>
        <v>4.724137931</v>
      </c>
      <c r="AA15" s="24">
        <f t="shared" si="10"/>
        <v>10</v>
      </c>
      <c r="AB15" s="24">
        <f t="shared" si="11"/>
        <v>3</v>
      </c>
      <c r="AC15" s="35">
        <f t="shared" si="12"/>
        <v>3.224137931</v>
      </c>
      <c r="AD15" s="24">
        <f t="shared" si="13"/>
        <v>16</v>
      </c>
      <c r="AE15" s="27"/>
      <c r="AF15" s="13" t="s">
        <v>148</v>
      </c>
      <c r="AG15" s="16">
        <f t="shared" ref="AG15:AG16" si="27">AH15*0.45359237</f>
        <v>21.54563758</v>
      </c>
      <c r="AH15" s="108">
        <f>average(35,60)</f>
        <v>47.5</v>
      </c>
      <c r="AI15" s="16">
        <f t="shared" si="22"/>
        <v>55.245</v>
      </c>
      <c r="AJ15" s="108">
        <f>average(20,23.5)</f>
        <v>21.75</v>
      </c>
      <c r="AK15" s="27"/>
      <c r="AL15" s="13" t="s">
        <v>222</v>
      </c>
      <c r="AM15" s="13" t="s">
        <v>223</v>
      </c>
      <c r="AN15" s="128" t="s">
        <v>224</v>
      </c>
      <c r="AO15" s="13" t="s">
        <v>184</v>
      </c>
      <c r="AP15" s="159" t="s">
        <v>185</v>
      </c>
      <c r="AQ15" s="13" t="s">
        <v>187</v>
      </c>
      <c r="AR15" s="13">
        <v>129.0</v>
      </c>
      <c r="AS15" s="13" t="s">
        <v>145</v>
      </c>
      <c r="AT15" s="13" t="s">
        <v>145</v>
      </c>
      <c r="AU15" s="64"/>
      <c r="AV15" s="50"/>
      <c r="AW15" s="50"/>
      <c r="AX15" s="42">
        <f t="shared" si="14"/>
        <v>17838.88083</v>
      </c>
      <c r="AY15" s="156">
        <f t="shared" si="15"/>
        <v>0.1954022989</v>
      </c>
      <c r="AZ15" s="42">
        <f>average(450,550,650,1000,500,750,600,700,600,700)</f>
        <v>650</v>
      </c>
      <c r="BA15" s="13" t="s">
        <v>146</v>
      </c>
      <c r="BB15" s="13">
        <v>450.0</v>
      </c>
      <c r="BC15" s="13">
        <v>1000.0</v>
      </c>
      <c r="BD15" s="24">
        <f t="shared" ref="BD15:BD18" si="28">average(BE15,BF15)</f>
        <v>5.75</v>
      </c>
      <c r="BE15" s="13">
        <v>4.0</v>
      </c>
      <c r="BF15" s="13">
        <v>7.5</v>
      </c>
      <c r="BG15" s="35">
        <f>IFERROR(__xludf.DUMMYFUNCTION("BD15*GoogleFinance(""CURRENCY:GBPUSD"")"),7.16332125)</f>
        <v>7.16332125</v>
      </c>
      <c r="BH15" s="157">
        <f t="shared" si="17"/>
        <v>373.7641945</v>
      </c>
      <c r="BI15" s="42">
        <f t="shared" si="18"/>
        <v>4701.953567</v>
      </c>
      <c r="BJ15" s="158"/>
      <c r="BK15" s="42">
        <f t="shared" si="19"/>
        <v>12286.92726</v>
      </c>
      <c r="BL15" s="42">
        <f>IFERROR(__xludf.DUMMYFUNCTION("BM15*GoogleFinance(""CURRENCY:GBPUSD"")"),976.70328)</f>
        <v>976.70328</v>
      </c>
      <c r="BM15" s="24">
        <f t="shared" si="20"/>
        <v>784</v>
      </c>
      <c r="BN15" s="13">
        <v>121.0</v>
      </c>
      <c r="BO15" s="13">
        <v>126.0</v>
      </c>
      <c r="BP15" s="13">
        <v>244.0</v>
      </c>
      <c r="BQ15" s="13">
        <v>177.0</v>
      </c>
      <c r="BR15" s="13">
        <v>116.0</v>
      </c>
      <c r="BS15" s="13">
        <v>200.0</v>
      </c>
      <c r="BT15" s="50"/>
      <c r="BU15" s="53"/>
      <c r="BV15" s="53"/>
      <c r="BW15" s="50"/>
      <c r="BX15" s="50"/>
      <c r="BY15" s="50"/>
      <c r="BZ15" s="50"/>
      <c r="CA15" s="50"/>
    </row>
    <row r="16">
      <c r="A16" s="13" t="s">
        <v>46</v>
      </c>
      <c r="B16" s="27"/>
      <c r="C16" s="13" t="s">
        <v>34</v>
      </c>
      <c r="D16" s="27"/>
      <c r="E16" s="150">
        <v>3.21</v>
      </c>
      <c r="F16" s="13">
        <v>62.0</v>
      </c>
      <c r="G16" s="24">
        <f t="shared" si="3"/>
        <v>50</v>
      </c>
      <c r="H16" s="26">
        <v>22031.0</v>
      </c>
      <c r="I16" s="151">
        <v>0.21</v>
      </c>
      <c r="J16" s="27"/>
      <c r="K16" s="13">
        <v>68.0</v>
      </c>
      <c r="L16" s="152">
        <f t="shared" si="4"/>
        <v>0.1494252874</v>
      </c>
      <c r="M16" s="67">
        <v>13.92</v>
      </c>
      <c r="N16" s="153">
        <f t="shared" si="5"/>
        <v>0.9655172414</v>
      </c>
      <c r="O16" s="13">
        <v>1.0</v>
      </c>
      <c r="P16" s="152">
        <f t="shared" si="6"/>
        <v>0.8888888889</v>
      </c>
      <c r="Q16" s="26">
        <v>350.0</v>
      </c>
      <c r="R16" s="153">
        <f t="shared" si="7"/>
        <v>0.9770114943</v>
      </c>
      <c r="S16" s="26">
        <v>324.439695</v>
      </c>
      <c r="T16" s="153">
        <f t="shared" si="8"/>
        <v>0.6781609195</v>
      </c>
      <c r="U16" s="13">
        <v>2.0</v>
      </c>
      <c r="V16" s="154">
        <v>0.75</v>
      </c>
      <c r="W16" s="13">
        <v>1.0</v>
      </c>
      <c r="X16" s="153">
        <f t="shared" si="26"/>
        <v>1</v>
      </c>
      <c r="Y16" s="27"/>
      <c r="Z16" s="35">
        <f t="shared" si="9"/>
        <v>4.581417625</v>
      </c>
      <c r="AA16" s="24">
        <f t="shared" si="10"/>
        <v>12</v>
      </c>
      <c r="AB16" s="24">
        <f t="shared" si="11"/>
        <v>7</v>
      </c>
      <c r="AC16" s="35">
        <f t="shared" si="12"/>
        <v>3.206417625</v>
      </c>
      <c r="AD16" s="24">
        <f t="shared" si="13"/>
        <v>62</v>
      </c>
      <c r="AE16" s="27"/>
      <c r="AF16" s="13" t="s">
        <v>149</v>
      </c>
      <c r="AG16" s="16">
        <f t="shared" si="27"/>
        <v>6.80388555</v>
      </c>
      <c r="AH16" s="108">
        <f>average(12,18)</f>
        <v>15</v>
      </c>
      <c r="AI16" s="16">
        <f t="shared" si="22"/>
        <v>26.67</v>
      </c>
      <c r="AJ16" s="108">
        <f>average(10,11)</f>
        <v>10.5</v>
      </c>
      <c r="AK16" s="27"/>
      <c r="AL16" s="50"/>
      <c r="AM16" s="50"/>
      <c r="AN16" s="50"/>
      <c r="AO16" s="13" t="s">
        <v>400</v>
      </c>
      <c r="AP16" s="13" t="s">
        <v>401</v>
      </c>
      <c r="AQ16" s="13" t="s">
        <v>402</v>
      </c>
      <c r="AR16" s="13">
        <v>91.0</v>
      </c>
      <c r="AS16" s="159" t="s">
        <v>403</v>
      </c>
      <c r="AT16" s="13" t="s">
        <v>404</v>
      </c>
      <c r="AU16" s="50"/>
      <c r="AV16" s="50"/>
      <c r="AW16" s="50"/>
      <c r="AX16" s="42">
        <f t="shared" si="14"/>
        <v>17765.04711</v>
      </c>
      <c r="AY16" s="156">
        <f t="shared" si="15"/>
        <v>0.2183908046</v>
      </c>
      <c r="AZ16" s="42">
        <f>average(475,400,250,475,175,300,175,400,550,300)</f>
        <v>350</v>
      </c>
      <c r="BA16" s="13" t="s">
        <v>146</v>
      </c>
      <c r="BB16" s="13">
        <v>175.0</v>
      </c>
      <c r="BC16" s="13">
        <v>550.0</v>
      </c>
      <c r="BD16" s="24">
        <f t="shared" si="28"/>
        <v>4</v>
      </c>
      <c r="BE16" s="13">
        <v>4.0</v>
      </c>
      <c r="BF16" s="13">
        <v>4.0</v>
      </c>
      <c r="BG16" s="35">
        <f>IFERROR(__xludf.DUMMYFUNCTION("BD16*GoogleFinance(""CURRENCY:GBPUSD"")"),4.98318)</f>
        <v>4.98318</v>
      </c>
      <c r="BH16" s="157">
        <f t="shared" si="17"/>
        <v>260.0098745</v>
      </c>
      <c r="BI16" s="42">
        <f t="shared" si="18"/>
        <v>3619.337452</v>
      </c>
      <c r="BJ16" s="158"/>
      <c r="BK16" s="42">
        <f t="shared" si="19"/>
        <v>13595.70966</v>
      </c>
      <c r="BL16" s="42">
        <f>IFERROR(__xludf.DUMMYFUNCTION("BM16*GoogleFinance(""CURRENCY:GBPUSD"")"),976.70328)</f>
        <v>976.70328</v>
      </c>
      <c r="BM16" s="24">
        <f t="shared" si="20"/>
        <v>784</v>
      </c>
      <c r="BN16" s="13">
        <v>121.0</v>
      </c>
      <c r="BO16" s="13">
        <v>126.0</v>
      </c>
      <c r="BP16" s="13">
        <v>244.0</v>
      </c>
      <c r="BQ16" s="13">
        <v>177.0</v>
      </c>
      <c r="BR16" s="13">
        <v>116.0</v>
      </c>
      <c r="BS16" s="13">
        <v>200.0</v>
      </c>
      <c r="BT16" s="50"/>
      <c r="BU16" s="53"/>
      <c r="BV16" s="53"/>
      <c r="BW16" s="50"/>
      <c r="BX16" s="50"/>
      <c r="BY16" s="50"/>
      <c r="BZ16" s="50"/>
      <c r="CA16" s="50"/>
    </row>
    <row r="17">
      <c r="A17" s="13" t="s">
        <v>141</v>
      </c>
      <c r="B17" s="27"/>
      <c r="C17" s="13" t="s">
        <v>43</v>
      </c>
      <c r="D17" s="27"/>
      <c r="E17" s="150">
        <v>3.2</v>
      </c>
      <c r="F17" s="13">
        <v>139.0</v>
      </c>
      <c r="G17" s="24">
        <f t="shared" si="3"/>
        <v>84</v>
      </c>
      <c r="H17" s="26">
        <v>18333.0</v>
      </c>
      <c r="I17" s="151">
        <v>0.72</v>
      </c>
      <c r="J17" s="27"/>
      <c r="K17" s="13">
        <v>37.0</v>
      </c>
      <c r="L17" s="152">
        <f t="shared" si="4"/>
        <v>0.5632183908</v>
      </c>
      <c r="M17" s="67">
        <v>11.42</v>
      </c>
      <c r="N17" s="153">
        <f t="shared" si="5"/>
        <v>0.4712643678</v>
      </c>
      <c r="O17" s="13">
        <v>0.0</v>
      </c>
      <c r="P17" s="152">
        <f t="shared" si="6"/>
        <v>1</v>
      </c>
      <c r="Q17" s="26">
        <v>510.0</v>
      </c>
      <c r="R17" s="153">
        <f t="shared" si="7"/>
        <v>0.8965517241</v>
      </c>
      <c r="S17" s="26">
        <v>324.439695</v>
      </c>
      <c r="T17" s="153">
        <f t="shared" si="8"/>
        <v>0.6781609195</v>
      </c>
      <c r="U17" s="13">
        <v>2.0</v>
      </c>
      <c r="V17" s="154">
        <v>0.75</v>
      </c>
      <c r="W17" s="13">
        <v>2.0</v>
      </c>
      <c r="X17" s="151">
        <v>0.5</v>
      </c>
      <c r="Y17" s="181"/>
      <c r="Z17" s="35">
        <f t="shared" si="9"/>
        <v>4.07183908</v>
      </c>
      <c r="AA17" s="24">
        <f t="shared" si="10"/>
        <v>13</v>
      </c>
      <c r="AB17" s="24">
        <f t="shared" si="11"/>
        <v>26</v>
      </c>
      <c r="AC17" s="35">
        <f t="shared" si="12"/>
        <v>3.19683908</v>
      </c>
      <c r="AD17" s="24">
        <f t="shared" si="13"/>
        <v>139</v>
      </c>
      <c r="AE17" s="27"/>
      <c r="AF17" s="13" t="s">
        <v>149</v>
      </c>
      <c r="AG17" s="115" t="s">
        <v>150</v>
      </c>
      <c r="AH17" s="107" t="s">
        <v>150</v>
      </c>
      <c r="AI17" s="16">
        <f t="shared" si="22"/>
        <v>26.035</v>
      </c>
      <c r="AJ17" s="108">
        <f>average(9,11.5)</f>
        <v>10.25</v>
      </c>
      <c r="AK17" s="27"/>
      <c r="AL17" s="50"/>
      <c r="AM17" s="50"/>
      <c r="AN17" s="50"/>
      <c r="AO17" s="13" t="s">
        <v>142</v>
      </c>
      <c r="AP17" s="13" t="s">
        <v>143</v>
      </c>
      <c r="AQ17" s="13" t="s">
        <v>144</v>
      </c>
      <c r="AR17" s="13">
        <v>21.0</v>
      </c>
      <c r="AS17" s="13" t="s">
        <v>145</v>
      </c>
      <c r="AT17" s="13" t="s">
        <v>145</v>
      </c>
      <c r="AU17" s="50"/>
      <c r="AV17" s="50"/>
      <c r="AW17" s="50"/>
      <c r="AX17" s="42">
        <f t="shared" si="14"/>
        <v>14833.26422</v>
      </c>
      <c r="AY17" s="156">
        <f t="shared" si="15"/>
        <v>0.7126436782</v>
      </c>
      <c r="AZ17" s="42">
        <f>average(350,350,200,400,400,350,800,750,750,750)</f>
        <v>510</v>
      </c>
      <c r="BA17" s="13" t="s">
        <v>146</v>
      </c>
      <c r="BB17" s="13">
        <v>200.0</v>
      </c>
      <c r="BC17" s="13">
        <v>800.0</v>
      </c>
      <c r="BD17" s="24">
        <f t="shared" si="28"/>
        <v>4</v>
      </c>
      <c r="BE17" s="13">
        <v>4.0</v>
      </c>
      <c r="BF17" s="13">
        <v>4.0</v>
      </c>
      <c r="BG17" s="35">
        <f>IFERROR(__xludf.DUMMYFUNCTION("BD17*GoogleFinance(""CURRENCY:GBPUSD"")"),4.98318)</f>
        <v>4.98318</v>
      </c>
      <c r="BH17" s="157">
        <f t="shared" si="17"/>
        <v>260.0098745</v>
      </c>
      <c r="BI17" s="42">
        <f t="shared" si="18"/>
        <v>2969.312766</v>
      </c>
      <c r="BJ17" s="158"/>
      <c r="BK17" s="42">
        <f t="shared" si="19"/>
        <v>11153.95146</v>
      </c>
      <c r="BL17" s="42">
        <f>IFERROR(__xludf.DUMMYFUNCTION("BM17*GoogleFinance(""CURRENCY:GBPUSD"")"),976.70328)</f>
        <v>976.70328</v>
      </c>
      <c r="BM17" s="24">
        <f t="shared" si="20"/>
        <v>784</v>
      </c>
      <c r="BN17" s="13">
        <v>121.0</v>
      </c>
      <c r="BO17" s="13">
        <v>126.0</v>
      </c>
      <c r="BP17" s="13">
        <v>244.0</v>
      </c>
      <c r="BQ17" s="13">
        <v>177.0</v>
      </c>
      <c r="BR17" s="13">
        <v>116.0</v>
      </c>
      <c r="BS17" s="13">
        <v>200.0</v>
      </c>
      <c r="BT17" s="50"/>
      <c r="BU17" s="53"/>
      <c r="BV17" s="53"/>
      <c r="BW17" s="50"/>
      <c r="BX17" s="50"/>
      <c r="BY17" s="50"/>
      <c r="BZ17" s="50"/>
      <c r="CA17" s="50"/>
    </row>
    <row r="18">
      <c r="A18" s="13" t="s">
        <v>421</v>
      </c>
      <c r="B18" s="27"/>
      <c r="C18" s="13" t="s">
        <v>53</v>
      </c>
      <c r="D18" s="27"/>
      <c r="E18" s="150">
        <v>3.19</v>
      </c>
      <c r="F18" s="13">
        <v>9.0</v>
      </c>
      <c r="G18" s="24">
        <f t="shared" si="3"/>
        <v>9</v>
      </c>
      <c r="H18" s="26">
        <v>20113.0</v>
      </c>
      <c r="I18" s="151">
        <v>0.49</v>
      </c>
      <c r="J18" s="27"/>
      <c r="K18" s="13">
        <v>49.0</v>
      </c>
      <c r="L18" s="152">
        <f t="shared" si="4"/>
        <v>0.367816092</v>
      </c>
      <c r="M18" s="67">
        <v>12.63</v>
      </c>
      <c r="N18" s="153">
        <f t="shared" si="5"/>
        <v>0.8505747126</v>
      </c>
      <c r="O18" s="13">
        <v>2.0</v>
      </c>
      <c r="P18" s="152">
        <f t="shared" si="6"/>
        <v>0.7777777778</v>
      </c>
      <c r="Q18" s="26">
        <v>422.5</v>
      </c>
      <c r="R18" s="153">
        <f t="shared" si="7"/>
        <v>0.9655172414</v>
      </c>
      <c r="S18" s="26">
        <v>324.439695</v>
      </c>
      <c r="T18" s="153">
        <f t="shared" si="8"/>
        <v>0.6781609195</v>
      </c>
      <c r="U18" s="13">
        <v>2.0</v>
      </c>
      <c r="V18" s="154">
        <v>0.75</v>
      </c>
      <c r="W18" s="13">
        <v>3.0</v>
      </c>
      <c r="X18" s="151">
        <v>0.0</v>
      </c>
      <c r="Y18" s="27"/>
      <c r="Z18" s="35">
        <f t="shared" si="9"/>
        <v>3.568007663</v>
      </c>
      <c r="AA18" s="24">
        <f t="shared" si="10"/>
        <v>14</v>
      </c>
      <c r="AB18" s="24">
        <f t="shared" si="11"/>
        <v>54</v>
      </c>
      <c r="AC18" s="35">
        <f t="shared" si="12"/>
        <v>3.193007663</v>
      </c>
      <c r="AD18" s="24">
        <f t="shared" si="13"/>
        <v>9</v>
      </c>
      <c r="AE18" s="27"/>
      <c r="AF18" s="13" t="s">
        <v>149</v>
      </c>
      <c r="AG18" s="16">
        <f t="shared" ref="AG18:AG20" si="29">AH18*0.45359237</f>
        <v>10.88621688</v>
      </c>
      <c r="AH18" s="108">
        <f>average(16,32)</f>
        <v>24</v>
      </c>
      <c r="AI18" s="107" t="s">
        <v>150</v>
      </c>
      <c r="AJ18" s="107" t="s">
        <v>150</v>
      </c>
      <c r="AK18" s="27"/>
      <c r="AL18" s="50"/>
      <c r="AM18" s="50"/>
      <c r="AN18" s="50"/>
      <c r="AO18" s="13" t="s">
        <v>184</v>
      </c>
      <c r="AP18" s="159" t="s">
        <v>185</v>
      </c>
      <c r="AQ18" s="13" t="s">
        <v>187</v>
      </c>
      <c r="AR18" s="13">
        <v>265.0</v>
      </c>
      <c r="AS18" s="13" t="s">
        <v>429</v>
      </c>
      <c r="AT18" s="13" t="s">
        <v>430</v>
      </c>
      <c r="AU18" s="50"/>
      <c r="AV18" s="50"/>
      <c r="AW18" s="50"/>
      <c r="AX18" s="42">
        <f t="shared" si="14"/>
        <v>16242.18714</v>
      </c>
      <c r="AY18" s="156">
        <f t="shared" si="15"/>
        <v>0.4942528736</v>
      </c>
      <c r="AZ18" s="42">
        <f>average(400,200,450,250,500,750,700,500,350,125)</f>
        <v>422.5</v>
      </c>
      <c r="BA18" s="13" t="s">
        <v>146</v>
      </c>
      <c r="BB18" s="13">
        <v>125.0</v>
      </c>
      <c r="BC18" s="13">
        <v>750.0</v>
      </c>
      <c r="BD18" s="24">
        <f t="shared" si="28"/>
        <v>4</v>
      </c>
      <c r="BE18" s="13">
        <v>4.0</v>
      </c>
      <c r="BF18" s="13">
        <v>4.0</v>
      </c>
      <c r="BG18" s="35">
        <f>IFERROR(__xludf.DUMMYFUNCTION("BD18*GoogleFinance(""CURRENCY:GBPUSD"")"),4.98318)</f>
        <v>4.98318</v>
      </c>
      <c r="BH18" s="157">
        <f t="shared" si="17"/>
        <v>260.0098745</v>
      </c>
      <c r="BI18" s="42">
        <f t="shared" si="18"/>
        <v>3283.924714</v>
      </c>
      <c r="BJ18" s="158"/>
      <c r="BK18" s="42">
        <f t="shared" si="19"/>
        <v>12335.76243</v>
      </c>
      <c r="BL18" s="42">
        <f>IFERROR(__xludf.DUMMYFUNCTION("BM18*GoogleFinance(""CURRENCY:GBPUSD"")"),976.70328)</f>
        <v>976.70328</v>
      </c>
      <c r="BM18" s="24">
        <f t="shared" si="20"/>
        <v>784</v>
      </c>
      <c r="BN18" s="13">
        <v>121.0</v>
      </c>
      <c r="BO18" s="13">
        <v>126.0</v>
      </c>
      <c r="BP18" s="13">
        <v>244.0</v>
      </c>
      <c r="BQ18" s="13">
        <v>177.0</v>
      </c>
      <c r="BR18" s="13">
        <v>116.0</v>
      </c>
      <c r="BS18" s="13">
        <v>200.0</v>
      </c>
      <c r="BT18" s="50"/>
      <c r="BU18" s="53"/>
      <c r="BV18" s="53"/>
      <c r="BW18" s="50"/>
      <c r="BX18" s="50"/>
      <c r="BY18" s="50"/>
      <c r="BZ18" s="50"/>
      <c r="CA18" s="50"/>
    </row>
    <row r="19">
      <c r="A19" s="47" t="s">
        <v>435</v>
      </c>
      <c r="B19" s="27"/>
      <c r="C19" s="47" t="s">
        <v>23</v>
      </c>
      <c r="D19" s="27"/>
      <c r="E19" s="150">
        <v>3.19</v>
      </c>
      <c r="F19" s="47">
        <v>12.0</v>
      </c>
      <c r="G19" s="24">
        <f t="shared" si="3"/>
        <v>12</v>
      </c>
      <c r="H19" s="26">
        <v>20087.0</v>
      </c>
      <c r="I19" s="151">
        <v>0.51</v>
      </c>
      <c r="J19" s="27"/>
      <c r="K19" s="47">
        <v>12.0</v>
      </c>
      <c r="L19" s="152">
        <f t="shared" si="4"/>
        <v>0.8735632184</v>
      </c>
      <c r="M19" s="180">
        <v>11.81</v>
      </c>
      <c r="N19" s="153">
        <f t="shared" si="5"/>
        <v>0.5632183908</v>
      </c>
      <c r="O19" s="47">
        <v>2.0</v>
      </c>
      <c r="P19" s="152">
        <f t="shared" si="6"/>
        <v>0.7777777778</v>
      </c>
      <c r="Q19" s="26">
        <v>714.5</v>
      </c>
      <c r="R19" s="153">
        <f t="shared" si="7"/>
        <v>0.5747126437</v>
      </c>
      <c r="S19" s="26">
        <v>404.597379375</v>
      </c>
      <c r="T19" s="153">
        <f t="shared" si="8"/>
        <v>0.632183908</v>
      </c>
      <c r="U19" s="47">
        <v>2.0</v>
      </c>
      <c r="V19" s="154">
        <v>0.75</v>
      </c>
      <c r="W19" s="47">
        <v>2.0</v>
      </c>
      <c r="X19" s="169">
        <v>0.5</v>
      </c>
      <c r="Y19" s="27"/>
      <c r="Z19" s="35">
        <f t="shared" si="9"/>
        <v>4.068007663</v>
      </c>
      <c r="AA19" s="24">
        <f t="shared" si="10"/>
        <v>14</v>
      </c>
      <c r="AB19" s="24">
        <f t="shared" si="11"/>
        <v>27</v>
      </c>
      <c r="AC19" s="35">
        <f t="shared" si="12"/>
        <v>3.193007663</v>
      </c>
      <c r="AD19" s="24">
        <f t="shared" si="13"/>
        <v>12</v>
      </c>
      <c r="AE19" s="27"/>
      <c r="AF19" s="47" t="s">
        <v>149</v>
      </c>
      <c r="AG19" s="172">
        <f t="shared" si="29"/>
        <v>7.030681735</v>
      </c>
      <c r="AH19" s="174">
        <f>SUM(11+20)/2</f>
        <v>15.5</v>
      </c>
      <c r="AI19" s="172">
        <f>AJ19*2.54</f>
        <v>33.02</v>
      </c>
      <c r="AJ19" s="174">
        <f>average(12,14)</f>
        <v>13</v>
      </c>
      <c r="AK19" s="27"/>
      <c r="AL19" s="129"/>
      <c r="AM19" s="129"/>
      <c r="AN19" s="129"/>
      <c r="AO19" s="47" t="s">
        <v>267</v>
      </c>
      <c r="AP19" s="175" t="s">
        <v>268</v>
      </c>
      <c r="AQ19" s="47" t="s">
        <v>269</v>
      </c>
      <c r="AR19" s="47">
        <v>232.0</v>
      </c>
      <c r="AS19" s="47" t="s">
        <v>443</v>
      </c>
      <c r="AT19" s="47" t="s">
        <v>444</v>
      </c>
      <c r="AU19" s="129"/>
      <c r="AV19" s="129"/>
      <c r="AW19" s="129"/>
      <c r="AX19" s="157">
        <f t="shared" si="14"/>
        <v>15391.51345</v>
      </c>
      <c r="AY19" s="156">
        <f t="shared" si="15"/>
        <v>0.6436781609</v>
      </c>
      <c r="AZ19" s="157">
        <f>average(550,595,200,1300,400,1600,350,450,1300,400)</f>
        <v>714.5</v>
      </c>
      <c r="BA19" s="47" t="s">
        <v>160</v>
      </c>
      <c r="BB19" s="47">
        <v>200.0</v>
      </c>
      <c r="BC19" s="47">
        <v>1600.0</v>
      </c>
      <c r="BD19" s="176" t="s">
        <v>182</v>
      </c>
      <c r="BE19" s="176" t="s">
        <v>182</v>
      </c>
      <c r="BF19" s="176" t="s">
        <v>182</v>
      </c>
      <c r="BG19" s="157">
        <f>IFERROR(__xludf.DUMMYFUNCTION("SUM(7.5*GoogleFinance(""CURRENCY:AUDUSD""))"),4.7745375)</f>
        <v>4.7745375</v>
      </c>
      <c r="BH19" s="157">
        <f t="shared" si="17"/>
        <v>249.1234304</v>
      </c>
      <c r="BI19" s="157">
        <f t="shared" si="18"/>
        <v>2942.147713</v>
      </c>
      <c r="BJ19" s="158"/>
      <c r="BK19" s="157">
        <f t="shared" si="19"/>
        <v>11534.86574</v>
      </c>
      <c r="BL19" s="157">
        <f>IFERROR(__xludf.DUMMYFUNCTION("BM19*GoogleFinance(""CURRENCY:GBPUSD"")"),976.70328)</f>
        <v>976.70328</v>
      </c>
      <c r="BM19" s="177">
        <f t="shared" si="20"/>
        <v>784</v>
      </c>
      <c r="BN19" s="47">
        <v>121.0</v>
      </c>
      <c r="BO19" s="47">
        <v>126.0</v>
      </c>
      <c r="BP19" s="47">
        <v>244.0</v>
      </c>
      <c r="BQ19" s="47">
        <v>177.0</v>
      </c>
      <c r="BR19" s="47">
        <v>116.0</v>
      </c>
      <c r="BS19" s="47">
        <v>200.0</v>
      </c>
      <c r="BT19" s="129"/>
      <c r="BU19" s="178" t="s">
        <v>446</v>
      </c>
      <c r="BV19" s="178" t="s">
        <v>447</v>
      </c>
      <c r="BW19" s="129"/>
      <c r="BX19" s="129"/>
      <c r="BY19" s="129"/>
      <c r="BZ19" s="129"/>
      <c r="CA19" s="129"/>
    </row>
    <row r="20">
      <c r="A20" s="47" t="s">
        <v>42</v>
      </c>
      <c r="B20" s="27"/>
      <c r="C20" s="47" t="s">
        <v>43</v>
      </c>
      <c r="D20" s="27"/>
      <c r="E20" s="150">
        <v>3.15</v>
      </c>
      <c r="F20" s="47">
        <v>14.0</v>
      </c>
      <c r="G20" s="24">
        <f t="shared" si="3"/>
        <v>14</v>
      </c>
      <c r="H20" s="26">
        <v>26250.0</v>
      </c>
      <c r="I20" s="151">
        <v>0.02</v>
      </c>
      <c r="J20" s="27"/>
      <c r="K20" s="47">
        <v>67.0</v>
      </c>
      <c r="L20" s="152">
        <f t="shared" si="4"/>
        <v>0.1609195402</v>
      </c>
      <c r="M20" s="56">
        <f>average(15,18)</f>
        <v>16.5</v>
      </c>
      <c r="N20" s="153">
        <f t="shared" si="5"/>
        <v>1</v>
      </c>
      <c r="O20" s="47">
        <v>1.0</v>
      </c>
      <c r="P20" s="152">
        <f t="shared" si="6"/>
        <v>0.8888888889</v>
      </c>
      <c r="Q20" s="26">
        <v>587.5</v>
      </c>
      <c r="R20" s="153">
        <f t="shared" si="7"/>
        <v>0.7816091954</v>
      </c>
      <c r="S20" s="26">
        <v>324.439695</v>
      </c>
      <c r="T20" s="153">
        <f t="shared" si="8"/>
        <v>0.6781609195</v>
      </c>
      <c r="U20" s="47">
        <v>2.0</v>
      </c>
      <c r="V20" s="154">
        <v>0.75</v>
      </c>
      <c r="W20" s="47">
        <v>3.0</v>
      </c>
      <c r="X20" s="169">
        <v>0.0</v>
      </c>
      <c r="Y20" s="27"/>
      <c r="Z20" s="35">
        <f t="shared" si="9"/>
        <v>3.529693487</v>
      </c>
      <c r="AA20" s="24">
        <f t="shared" si="10"/>
        <v>16</v>
      </c>
      <c r="AB20" s="24">
        <f t="shared" si="11"/>
        <v>55</v>
      </c>
      <c r="AC20" s="35">
        <f t="shared" si="12"/>
        <v>3.154693487</v>
      </c>
      <c r="AD20" s="24">
        <f t="shared" si="13"/>
        <v>14</v>
      </c>
      <c r="AE20" s="27"/>
      <c r="AF20" s="47" t="s">
        <v>149</v>
      </c>
      <c r="AG20" s="172">
        <f t="shared" si="29"/>
        <v>2.494758035</v>
      </c>
      <c r="AH20" s="173">
        <v>5.5</v>
      </c>
      <c r="AI20" s="173">
        <v>13.0</v>
      </c>
      <c r="AJ20" s="173">
        <v>5.0</v>
      </c>
      <c r="AK20" s="27"/>
      <c r="AL20" s="47" t="s">
        <v>456</v>
      </c>
      <c r="AM20" s="129"/>
      <c r="AN20" s="129"/>
      <c r="AO20" s="47" t="s">
        <v>400</v>
      </c>
      <c r="AP20" s="47" t="s">
        <v>401</v>
      </c>
      <c r="AQ20" s="47" t="s">
        <v>402</v>
      </c>
      <c r="AR20" s="47" t="s">
        <v>182</v>
      </c>
      <c r="AS20" s="47" t="s">
        <v>457</v>
      </c>
      <c r="AT20" s="47" t="s">
        <v>458</v>
      </c>
      <c r="AU20" s="129"/>
      <c r="AV20" s="129"/>
      <c r="AW20" s="129"/>
      <c r="AX20" s="157">
        <f t="shared" si="14"/>
        <v>21193.26705</v>
      </c>
      <c r="AY20" s="156">
        <f t="shared" si="15"/>
        <v>0.01149425287</v>
      </c>
      <c r="AZ20" s="157">
        <f>average(850,200,500,400,650,300,700,450,325,1500)</f>
        <v>587.5</v>
      </c>
      <c r="BA20" s="47" t="s">
        <v>146</v>
      </c>
      <c r="BB20" s="47">
        <v>200.0</v>
      </c>
      <c r="BC20" s="47">
        <v>1500.0</v>
      </c>
      <c r="BD20" s="177">
        <f t="shared" ref="BD20:BD27" si="30">average(BE20,BF20)</f>
        <v>4</v>
      </c>
      <c r="BE20" s="47">
        <v>4.0</v>
      </c>
      <c r="BF20" s="47">
        <v>4.0</v>
      </c>
      <c r="BG20" s="56">
        <f>IFERROR(__xludf.DUMMYFUNCTION("BD20*GoogleFinance(""CURRENCY:GBPUSD"")"),4.98318)</f>
        <v>4.98318</v>
      </c>
      <c r="BH20" s="157">
        <f t="shared" si="17"/>
        <v>260.0098745</v>
      </c>
      <c r="BI20" s="157">
        <f t="shared" si="18"/>
        <v>4290.162928</v>
      </c>
      <c r="BJ20" s="158"/>
      <c r="BK20" s="157">
        <f t="shared" si="19"/>
        <v>16115.60412</v>
      </c>
      <c r="BL20" s="157">
        <f>IFERROR(__xludf.DUMMYFUNCTION("BM20*GoogleFinance(""CURRENCY:GBPUSD"")"),976.70328)</f>
        <v>976.70328</v>
      </c>
      <c r="BM20" s="177">
        <f t="shared" si="20"/>
        <v>784</v>
      </c>
      <c r="BN20" s="47">
        <v>121.0</v>
      </c>
      <c r="BO20" s="47">
        <v>126.0</v>
      </c>
      <c r="BP20" s="47">
        <v>244.0</v>
      </c>
      <c r="BQ20" s="47">
        <v>177.0</v>
      </c>
      <c r="BR20" s="47">
        <v>116.0</v>
      </c>
      <c r="BS20" s="47">
        <v>200.0</v>
      </c>
      <c r="BT20" s="47" t="s">
        <v>358</v>
      </c>
      <c r="BU20" s="178" t="s">
        <v>465</v>
      </c>
      <c r="BV20" s="178" t="s">
        <v>468</v>
      </c>
      <c r="BW20" s="129"/>
      <c r="BX20" s="129"/>
      <c r="BY20" s="129"/>
      <c r="BZ20" s="129"/>
      <c r="CA20" s="129"/>
    </row>
    <row r="21">
      <c r="A21" s="13" t="s">
        <v>259</v>
      </c>
      <c r="B21" s="27"/>
      <c r="C21" s="13" t="s">
        <v>23</v>
      </c>
      <c r="D21" s="27"/>
      <c r="E21" s="150">
        <v>3.11</v>
      </c>
      <c r="F21" s="13">
        <v>121.0</v>
      </c>
      <c r="G21" s="24">
        <f t="shared" si="3"/>
        <v>77</v>
      </c>
      <c r="H21" s="26">
        <v>17892.0</v>
      </c>
      <c r="I21" s="151">
        <v>0.76</v>
      </c>
      <c r="J21" s="27"/>
      <c r="K21" s="13">
        <v>34.0</v>
      </c>
      <c r="L21" s="152">
        <f t="shared" si="4"/>
        <v>0.6436781609</v>
      </c>
      <c r="M21" s="67">
        <v>11.05</v>
      </c>
      <c r="N21" s="153">
        <f t="shared" si="5"/>
        <v>0.4022988506</v>
      </c>
      <c r="O21" s="13">
        <v>0.0</v>
      </c>
      <c r="P21" s="152">
        <f t="shared" si="6"/>
        <v>1</v>
      </c>
      <c r="Q21" s="26">
        <v>640.0</v>
      </c>
      <c r="R21" s="153">
        <f t="shared" si="7"/>
        <v>0.7011494253</v>
      </c>
      <c r="S21" s="26">
        <v>324.439695</v>
      </c>
      <c r="T21" s="153">
        <f t="shared" si="8"/>
        <v>0.6781609195</v>
      </c>
      <c r="U21" s="13">
        <v>2.0</v>
      </c>
      <c r="V21" s="154">
        <v>0.75</v>
      </c>
      <c r="W21" s="13">
        <v>2.0</v>
      </c>
      <c r="X21" s="151">
        <v>0.5</v>
      </c>
      <c r="Y21" s="27"/>
      <c r="Z21" s="35">
        <f t="shared" si="9"/>
        <v>3.985632184</v>
      </c>
      <c r="AA21" s="24">
        <f t="shared" si="10"/>
        <v>17</v>
      </c>
      <c r="AB21" s="24">
        <f t="shared" si="11"/>
        <v>30</v>
      </c>
      <c r="AC21" s="35">
        <f t="shared" si="12"/>
        <v>3.110632184</v>
      </c>
      <c r="AD21" s="24">
        <f t="shared" si="13"/>
        <v>121</v>
      </c>
      <c r="AE21" s="27"/>
      <c r="AF21" s="13" t="s">
        <v>149</v>
      </c>
      <c r="AG21" s="107" t="s">
        <v>150</v>
      </c>
      <c r="AH21" s="107" t="s">
        <v>150</v>
      </c>
      <c r="AI21" s="16">
        <f t="shared" ref="AI21:AI24" si="31">AJ21*2.54</f>
        <v>26.67</v>
      </c>
      <c r="AJ21" s="108">
        <f>average(10,11)</f>
        <v>10.5</v>
      </c>
      <c r="AK21" s="27"/>
      <c r="AL21" s="50"/>
      <c r="AM21" s="50"/>
      <c r="AN21" s="50"/>
      <c r="AO21" s="13" t="s">
        <v>142</v>
      </c>
      <c r="AP21" s="13" t="s">
        <v>143</v>
      </c>
      <c r="AQ21" s="13" t="s">
        <v>144</v>
      </c>
      <c r="AR21" s="13">
        <v>241.0</v>
      </c>
      <c r="AS21" s="13" t="s">
        <v>145</v>
      </c>
      <c r="AT21" s="13" t="s">
        <v>145</v>
      </c>
      <c r="AU21" s="50"/>
      <c r="AV21" s="50"/>
      <c r="AW21" s="50"/>
      <c r="AX21" s="42">
        <f t="shared" si="14"/>
        <v>14505.68036</v>
      </c>
      <c r="AY21" s="156">
        <f t="shared" si="15"/>
        <v>0.7471264368</v>
      </c>
      <c r="AZ21" s="42">
        <f>average(200,650,900,500,650,650,600,800,650,800)</f>
        <v>640</v>
      </c>
      <c r="BA21" s="13" t="s">
        <v>146</v>
      </c>
      <c r="BB21" s="13">
        <v>200.0</v>
      </c>
      <c r="BC21" s="13">
        <v>900.0</v>
      </c>
      <c r="BD21" s="24">
        <f t="shared" si="30"/>
        <v>4</v>
      </c>
      <c r="BE21" s="13">
        <v>4.0</v>
      </c>
      <c r="BF21" s="13">
        <v>4.0</v>
      </c>
      <c r="BG21" s="35">
        <f>IFERROR(__xludf.DUMMYFUNCTION("BD21*GoogleFinance(""CURRENCY:GBPUSD"")"),4.98318)</f>
        <v>4.98318</v>
      </c>
      <c r="BH21" s="157">
        <f t="shared" si="17"/>
        <v>260.0098745</v>
      </c>
      <c r="BI21" s="42">
        <f t="shared" si="18"/>
        <v>2873.109113</v>
      </c>
      <c r="BJ21" s="158"/>
      <c r="BK21" s="42">
        <f t="shared" si="19"/>
        <v>10792.57124</v>
      </c>
      <c r="BL21" s="42">
        <f>IFERROR(__xludf.DUMMYFUNCTION("BM21*GoogleFinance(""CURRENCY:GBPUSD"")"),976.70328)</f>
        <v>976.70328</v>
      </c>
      <c r="BM21" s="24">
        <f t="shared" si="20"/>
        <v>784</v>
      </c>
      <c r="BN21" s="13">
        <v>121.0</v>
      </c>
      <c r="BO21" s="13">
        <v>126.0</v>
      </c>
      <c r="BP21" s="13">
        <v>244.0</v>
      </c>
      <c r="BQ21" s="13">
        <v>177.0</v>
      </c>
      <c r="BR21" s="13">
        <v>116.0</v>
      </c>
      <c r="BS21" s="13">
        <v>200.0</v>
      </c>
      <c r="BT21" s="50"/>
      <c r="BU21" s="53"/>
      <c r="BV21" s="53"/>
      <c r="BW21" s="50"/>
      <c r="BX21" s="50"/>
      <c r="BY21" s="50"/>
      <c r="BZ21" s="50"/>
      <c r="CA21" s="50"/>
    </row>
    <row r="22">
      <c r="A22" s="13" t="s">
        <v>475</v>
      </c>
      <c r="B22" s="27"/>
      <c r="C22" s="13" t="s">
        <v>53</v>
      </c>
      <c r="D22" s="27"/>
      <c r="E22" s="150">
        <v>3.11</v>
      </c>
      <c r="F22" s="13">
        <v>57.0</v>
      </c>
      <c r="G22" s="24">
        <f t="shared" si="3"/>
        <v>46</v>
      </c>
      <c r="H22" s="26">
        <v>20976.0</v>
      </c>
      <c r="I22" s="151">
        <v>0.38</v>
      </c>
      <c r="J22" s="27"/>
      <c r="K22" s="13">
        <v>51.0</v>
      </c>
      <c r="L22" s="152">
        <f t="shared" si="4"/>
        <v>0.3448275862</v>
      </c>
      <c r="M22" s="67">
        <v>12.87</v>
      </c>
      <c r="N22" s="153">
        <f t="shared" si="5"/>
        <v>0.8735632184</v>
      </c>
      <c r="O22" s="13">
        <v>0.0</v>
      </c>
      <c r="P22" s="152">
        <f t="shared" si="6"/>
        <v>1</v>
      </c>
      <c r="Q22" s="26">
        <v>915.0</v>
      </c>
      <c r="R22" s="153">
        <f t="shared" si="7"/>
        <v>0.3563218391</v>
      </c>
      <c r="S22" s="26">
        <v>324.439695</v>
      </c>
      <c r="T22" s="153">
        <f t="shared" si="8"/>
        <v>0.6781609195</v>
      </c>
      <c r="U22" s="13">
        <v>2.0</v>
      </c>
      <c r="V22" s="154">
        <v>0.75</v>
      </c>
      <c r="W22" s="13">
        <v>2.0</v>
      </c>
      <c r="X22" s="151">
        <v>0.5</v>
      </c>
      <c r="Y22" s="27"/>
      <c r="Z22" s="35">
        <f t="shared" si="9"/>
        <v>3.985632184</v>
      </c>
      <c r="AA22" s="24">
        <f t="shared" si="10"/>
        <v>17</v>
      </c>
      <c r="AB22" s="24">
        <f t="shared" si="11"/>
        <v>30</v>
      </c>
      <c r="AC22" s="35">
        <f t="shared" si="12"/>
        <v>3.110632184</v>
      </c>
      <c r="AD22" s="24">
        <f t="shared" si="13"/>
        <v>57</v>
      </c>
      <c r="AE22" s="27"/>
      <c r="AF22" s="13" t="s">
        <v>148</v>
      </c>
      <c r="AG22" s="107" t="s">
        <v>150</v>
      </c>
      <c r="AH22" s="107" t="s">
        <v>150</v>
      </c>
      <c r="AI22" s="16">
        <f t="shared" si="31"/>
        <v>50.8</v>
      </c>
      <c r="AJ22" s="108">
        <f>average(18,22)</f>
        <v>20</v>
      </c>
      <c r="AK22" s="27"/>
      <c r="AL22" s="50"/>
      <c r="AM22" s="50"/>
      <c r="AN22" s="50"/>
      <c r="AO22" s="13" t="s">
        <v>184</v>
      </c>
      <c r="AP22" s="159" t="s">
        <v>185</v>
      </c>
      <c r="AQ22" s="13" t="s">
        <v>187</v>
      </c>
      <c r="AR22" s="13">
        <v>500.0</v>
      </c>
      <c r="AS22" s="13" t="s">
        <v>145</v>
      </c>
      <c r="AT22" s="13" t="s">
        <v>145</v>
      </c>
      <c r="AU22" s="50"/>
      <c r="AV22" s="50"/>
      <c r="AW22" s="50"/>
      <c r="AX22" s="42">
        <f t="shared" si="14"/>
        <v>17031.4983</v>
      </c>
      <c r="AY22" s="156">
        <f t="shared" si="15"/>
        <v>0.3563218391</v>
      </c>
      <c r="AZ22" s="42">
        <f>average(1100,1100,750,750,1200,650,1100,900,600,1000)</f>
        <v>915</v>
      </c>
      <c r="BA22" s="13" t="s">
        <v>160</v>
      </c>
      <c r="BB22" s="13">
        <v>650.0</v>
      </c>
      <c r="BC22" s="13">
        <v>1200.0</v>
      </c>
      <c r="BD22" s="24">
        <f t="shared" si="30"/>
        <v>4</v>
      </c>
      <c r="BE22" s="13">
        <v>4.0</v>
      </c>
      <c r="BF22" s="13">
        <v>4.0</v>
      </c>
      <c r="BG22" s="35">
        <f>IFERROR(__xludf.DUMMYFUNCTION("BD22*GoogleFinance(""CURRENCY:GBPUSD"")"),4.98318)</f>
        <v>4.98318</v>
      </c>
      <c r="BH22" s="157">
        <f t="shared" si="17"/>
        <v>260.0098745</v>
      </c>
      <c r="BI22" s="42">
        <f t="shared" si="18"/>
        <v>3346.327084</v>
      </c>
      <c r="BJ22" s="158"/>
      <c r="BK22" s="42">
        <f t="shared" si="19"/>
        <v>12570.17121</v>
      </c>
      <c r="BL22" s="42">
        <f>IFERROR(__xludf.DUMMYFUNCTION("BM22*GoogleFinance(""CURRENCY:GBPUSD"")"),976.70328)</f>
        <v>976.70328</v>
      </c>
      <c r="BM22" s="24">
        <f t="shared" si="20"/>
        <v>784</v>
      </c>
      <c r="BN22" s="13">
        <v>121.0</v>
      </c>
      <c r="BO22" s="13">
        <v>126.0</v>
      </c>
      <c r="BP22" s="13">
        <v>244.0</v>
      </c>
      <c r="BQ22" s="13">
        <v>177.0</v>
      </c>
      <c r="BR22" s="13">
        <v>116.0</v>
      </c>
      <c r="BS22" s="13">
        <v>200.0</v>
      </c>
      <c r="BT22" s="50"/>
      <c r="BU22" s="53"/>
      <c r="BV22" s="53"/>
      <c r="BW22" s="50"/>
      <c r="BX22" s="50"/>
      <c r="BY22" s="50"/>
      <c r="BZ22" s="50"/>
      <c r="CA22" s="50"/>
    </row>
    <row r="23">
      <c r="A23" s="13" t="s">
        <v>483</v>
      </c>
      <c r="B23" s="27"/>
      <c r="C23" s="13" t="s">
        <v>27</v>
      </c>
      <c r="D23" s="27"/>
      <c r="E23" s="150">
        <v>3.09</v>
      </c>
      <c r="F23" s="13">
        <v>29.0</v>
      </c>
      <c r="G23" s="24">
        <f t="shared" si="3"/>
        <v>29</v>
      </c>
      <c r="H23" s="26">
        <v>21946.0</v>
      </c>
      <c r="I23" s="151">
        <v>0.24</v>
      </c>
      <c r="J23" s="27"/>
      <c r="K23" s="13">
        <v>13.0</v>
      </c>
      <c r="L23" s="152">
        <f t="shared" si="4"/>
        <v>0.8620689655</v>
      </c>
      <c r="M23" s="67">
        <v>12.54</v>
      </c>
      <c r="N23" s="153">
        <f t="shared" si="5"/>
        <v>0.816091954</v>
      </c>
      <c r="O23" s="13">
        <v>4.0</v>
      </c>
      <c r="P23" s="152">
        <f t="shared" si="6"/>
        <v>0.5555555556</v>
      </c>
      <c r="Q23" s="26">
        <v>615.0</v>
      </c>
      <c r="R23" s="153">
        <f t="shared" si="7"/>
        <v>0.7356321839</v>
      </c>
      <c r="S23" s="26">
        <v>466.3820615625</v>
      </c>
      <c r="T23" s="153">
        <f t="shared" si="8"/>
        <v>0.2298850575</v>
      </c>
      <c r="U23" s="13">
        <v>2.0</v>
      </c>
      <c r="V23" s="154">
        <v>0.75</v>
      </c>
      <c r="W23" s="13">
        <v>1.0</v>
      </c>
      <c r="X23" s="153">
        <f t="shared" ref="X23:X24" si="32">100%</f>
        <v>1</v>
      </c>
      <c r="Y23" s="27"/>
      <c r="Z23" s="35">
        <f t="shared" si="9"/>
        <v>4.466475096</v>
      </c>
      <c r="AA23" s="24">
        <f t="shared" si="10"/>
        <v>19</v>
      </c>
      <c r="AB23" s="24">
        <f t="shared" si="11"/>
        <v>9</v>
      </c>
      <c r="AC23" s="35">
        <f t="shared" si="12"/>
        <v>3.091475096</v>
      </c>
      <c r="AD23" s="24">
        <f t="shared" si="13"/>
        <v>29</v>
      </c>
      <c r="AE23" s="27"/>
      <c r="AF23" s="13" t="s">
        <v>148</v>
      </c>
      <c r="AG23" s="16">
        <f>AH23*0.45359237</f>
        <v>20.41165665</v>
      </c>
      <c r="AH23" s="108">
        <f>average(40,50)</f>
        <v>45</v>
      </c>
      <c r="AI23" s="16">
        <f t="shared" si="31"/>
        <v>49.53</v>
      </c>
      <c r="AJ23" s="108">
        <f>average(19,20)</f>
        <v>19.5</v>
      </c>
      <c r="AK23" s="27"/>
      <c r="AL23" s="50"/>
      <c r="AM23" s="50"/>
      <c r="AN23" s="50"/>
      <c r="AO23" s="13" t="s">
        <v>267</v>
      </c>
      <c r="AP23" s="159" t="s">
        <v>268</v>
      </c>
      <c r="AQ23" s="13" t="s">
        <v>269</v>
      </c>
      <c r="AR23" s="13">
        <v>194.0</v>
      </c>
      <c r="AS23" s="13" t="s">
        <v>485</v>
      </c>
      <c r="AT23" s="13" t="s">
        <v>486</v>
      </c>
      <c r="AU23" s="50"/>
      <c r="AV23" s="50"/>
      <c r="AW23" s="50"/>
      <c r="AX23" s="42">
        <f t="shared" si="14"/>
        <v>17749.86213</v>
      </c>
      <c r="AY23" s="156">
        <f t="shared" si="15"/>
        <v>0.2413793103</v>
      </c>
      <c r="AZ23" s="42">
        <f>average(950,350,1500,500,450,650,400,450,400,500)</f>
        <v>615</v>
      </c>
      <c r="BA23" s="13" t="s">
        <v>146</v>
      </c>
      <c r="BB23" s="13">
        <v>450.0</v>
      </c>
      <c r="BC23" s="13">
        <v>1500.0</v>
      </c>
      <c r="BD23" s="24">
        <f t="shared" si="30"/>
        <v>5.75</v>
      </c>
      <c r="BE23" s="13">
        <v>4.0</v>
      </c>
      <c r="BF23" s="13">
        <v>7.5</v>
      </c>
      <c r="BG23" s="35">
        <f>IFERROR(__xludf.DUMMYFUNCTION("BD23*GoogleFinance(""CURRENCY:GBPUSD"")"),7.16332125)</f>
        <v>7.16332125</v>
      </c>
      <c r="BH23" s="157">
        <f t="shared" si="17"/>
        <v>373.7641945</v>
      </c>
      <c r="BI23" s="42">
        <f t="shared" si="18"/>
        <v>4687.002999</v>
      </c>
      <c r="BJ23" s="158"/>
      <c r="BK23" s="42">
        <f t="shared" si="19"/>
        <v>12247.85913</v>
      </c>
      <c r="BL23" s="42">
        <f>IFERROR(__xludf.DUMMYFUNCTION("BM23*GoogleFinance(""CURRENCY:GBPUSD"")"),976.70328)</f>
        <v>976.70328</v>
      </c>
      <c r="BM23" s="24">
        <f t="shared" si="20"/>
        <v>784</v>
      </c>
      <c r="BN23" s="13">
        <v>121.0</v>
      </c>
      <c r="BO23" s="13">
        <v>126.0</v>
      </c>
      <c r="BP23" s="13">
        <v>244.0</v>
      </c>
      <c r="BQ23" s="13">
        <v>177.0</v>
      </c>
      <c r="BR23" s="13">
        <v>116.0</v>
      </c>
      <c r="BS23" s="13">
        <v>200.0</v>
      </c>
      <c r="BT23" s="50"/>
      <c r="BU23" s="53"/>
      <c r="BV23" s="53"/>
      <c r="BW23" s="50"/>
      <c r="BX23" s="50"/>
      <c r="BY23" s="50"/>
      <c r="BZ23" s="50"/>
      <c r="CA23" s="50"/>
    </row>
    <row r="24">
      <c r="A24" s="13" t="s">
        <v>488</v>
      </c>
      <c r="B24" s="27"/>
      <c r="C24" s="13" t="s">
        <v>23</v>
      </c>
      <c r="D24" s="27"/>
      <c r="E24" s="150">
        <v>3.08</v>
      </c>
      <c r="F24" s="13">
        <v>35.0</v>
      </c>
      <c r="G24" s="24">
        <f t="shared" si="3"/>
        <v>32</v>
      </c>
      <c r="H24" s="26">
        <v>20490.0</v>
      </c>
      <c r="I24" s="151">
        <v>0.41</v>
      </c>
      <c r="J24" s="27"/>
      <c r="K24" s="13">
        <v>47.0</v>
      </c>
      <c r="L24" s="152">
        <f t="shared" si="4"/>
        <v>0.4137931034</v>
      </c>
      <c r="M24" s="67">
        <v>12.8</v>
      </c>
      <c r="N24" s="153">
        <f t="shared" si="5"/>
        <v>0.8620689655</v>
      </c>
      <c r="O24" s="13">
        <v>3.0</v>
      </c>
      <c r="P24" s="152">
        <f t="shared" si="6"/>
        <v>0.6666666667</v>
      </c>
      <c r="Q24" s="26">
        <v>537.5</v>
      </c>
      <c r="R24" s="153">
        <f t="shared" si="7"/>
        <v>0.8390804598</v>
      </c>
      <c r="S24" s="26">
        <v>324.439695</v>
      </c>
      <c r="T24" s="153">
        <f t="shared" si="8"/>
        <v>0.6781609195</v>
      </c>
      <c r="U24" s="13">
        <v>2.0</v>
      </c>
      <c r="V24" s="154">
        <v>0.75</v>
      </c>
      <c r="W24" s="13">
        <v>1.0</v>
      </c>
      <c r="X24" s="153">
        <f t="shared" si="32"/>
        <v>1</v>
      </c>
      <c r="Y24" s="27"/>
      <c r="Z24" s="35">
        <f t="shared" si="9"/>
        <v>4.451149425</v>
      </c>
      <c r="AA24" s="24">
        <f t="shared" si="10"/>
        <v>20</v>
      </c>
      <c r="AB24" s="24">
        <f t="shared" si="11"/>
        <v>10</v>
      </c>
      <c r="AC24" s="35">
        <f t="shared" si="12"/>
        <v>3.076149425</v>
      </c>
      <c r="AD24" s="24">
        <f t="shared" si="13"/>
        <v>35</v>
      </c>
      <c r="AE24" s="27"/>
      <c r="AF24" s="13" t="s">
        <v>149</v>
      </c>
      <c r="AG24" s="115" t="s">
        <v>150</v>
      </c>
      <c r="AH24" s="107" t="s">
        <v>150</v>
      </c>
      <c r="AI24" s="16">
        <f t="shared" si="31"/>
        <v>26.67</v>
      </c>
      <c r="AJ24" s="108">
        <f>average(10,11)</f>
        <v>10.5</v>
      </c>
      <c r="AK24" s="27"/>
      <c r="AL24" s="50"/>
      <c r="AM24" s="50"/>
      <c r="AN24" s="50"/>
      <c r="AO24" s="13" t="s">
        <v>184</v>
      </c>
      <c r="AP24" s="159" t="s">
        <v>185</v>
      </c>
      <c r="AQ24" s="13" t="s">
        <v>187</v>
      </c>
      <c r="AR24" s="13">
        <v>80.0</v>
      </c>
      <c r="AS24" s="159" t="s">
        <v>492</v>
      </c>
      <c r="AT24" s="13" t="s">
        <v>493</v>
      </c>
      <c r="AU24" s="50"/>
      <c r="AV24" s="50"/>
      <c r="AW24" s="50"/>
      <c r="AX24" s="42">
        <f t="shared" si="14"/>
        <v>16567.42838</v>
      </c>
      <c r="AY24" s="156">
        <f t="shared" si="15"/>
        <v>0.4022988506</v>
      </c>
      <c r="AZ24" s="42">
        <f>average(300,600,750,550,450,400,600,275,650,800)</f>
        <v>537.5</v>
      </c>
      <c r="BA24" s="13" t="s">
        <v>146</v>
      </c>
      <c r="BB24" s="13">
        <v>275.0</v>
      </c>
      <c r="BC24" s="13">
        <v>750.0</v>
      </c>
      <c r="BD24" s="24">
        <f t="shared" si="30"/>
        <v>4</v>
      </c>
      <c r="BE24" s="13">
        <v>4.0</v>
      </c>
      <c r="BF24" s="13">
        <v>4.0</v>
      </c>
      <c r="BG24" s="35">
        <f>IFERROR(__xludf.DUMMYFUNCTION("BD24*GoogleFinance(""CURRENCY:GBPUSD"")"),4.98318)</f>
        <v>4.98318</v>
      </c>
      <c r="BH24" s="157">
        <f t="shared" si="17"/>
        <v>260.0098745</v>
      </c>
      <c r="BI24" s="42">
        <f t="shared" si="18"/>
        <v>3328.126393</v>
      </c>
      <c r="BJ24" s="158"/>
      <c r="BK24" s="42">
        <f t="shared" si="19"/>
        <v>12501.80198</v>
      </c>
      <c r="BL24" s="42">
        <f>IFERROR(__xludf.DUMMYFUNCTION("BM24*GoogleFinance(""CURRENCY:GBPUSD"")"),976.70328)</f>
        <v>976.70328</v>
      </c>
      <c r="BM24" s="24">
        <f t="shared" si="20"/>
        <v>784</v>
      </c>
      <c r="BN24" s="13">
        <v>121.0</v>
      </c>
      <c r="BO24" s="13">
        <v>126.0</v>
      </c>
      <c r="BP24" s="13">
        <v>244.0</v>
      </c>
      <c r="BQ24" s="13">
        <v>177.0</v>
      </c>
      <c r="BR24" s="13">
        <v>116.0</v>
      </c>
      <c r="BS24" s="13">
        <v>200.0</v>
      </c>
      <c r="BT24" s="50"/>
      <c r="BU24" s="53"/>
      <c r="BV24" s="53"/>
      <c r="BW24" s="50"/>
      <c r="BX24" s="50"/>
      <c r="BY24" s="50"/>
      <c r="BZ24" s="50"/>
      <c r="CA24" s="50"/>
    </row>
    <row r="25">
      <c r="A25" s="13" t="s">
        <v>312</v>
      </c>
      <c r="B25" s="27"/>
      <c r="C25" s="13" t="s">
        <v>23</v>
      </c>
      <c r="D25" s="27"/>
      <c r="E25" s="150">
        <v>3.07</v>
      </c>
      <c r="F25" s="13">
        <v>134.0</v>
      </c>
      <c r="G25" s="24">
        <f t="shared" si="3"/>
        <v>83</v>
      </c>
      <c r="H25" s="26">
        <v>22107.0</v>
      </c>
      <c r="I25" s="151">
        <v>0.17</v>
      </c>
      <c r="J25" s="27"/>
      <c r="K25" s="13">
        <v>40.0</v>
      </c>
      <c r="L25" s="152">
        <f t="shared" si="4"/>
        <v>0.5402298851</v>
      </c>
      <c r="M25" s="67">
        <v>13.51</v>
      </c>
      <c r="N25" s="153">
        <f t="shared" si="5"/>
        <v>0.9310344828</v>
      </c>
      <c r="O25" s="13">
        <v>2.0</v>
      </c>
      <c r="P25" s="152">
        <f t="shared" si="6"/>
        <v>0.7777777778</v>
      </c>
      <c r="Q25" s="26">
        <v>1058.33333333333</v>
      </c>
      <c r="R25" s="153">
        <f t="shared" si="7"/>
        <v>0.2183908046</v>
      </c>
      <c r="S25" s="26">
        <v>324.439695</v>
      </c>
      <c r="T25" s="153">
        <f t="shared" si="8"/>
        <v>0.6781609195</v>
      </c>
      <c r="U25" s="206">
        <v>2.0</v>
      </c>
      <c r="V25" s="154">
        <v>0.75</v>
      </c>
      <c r="W25" s="206">
        <v>2.0</v>
      </c>
      <c r="X25" s="151">
        <v>0.5</v>
      </c>
      <c r="Y25" s="55"/>
      <c r="Z25" s="35">
        <f t="shared" si="9"/>
        <v>3.947318008</v>
      </c>
      <c r="AA25" s="24">
        <f t="shared" si="10"/>
        <v>21</v>
      </c>
      <c r="AB25" s="24">
        <f t="shared" si="11"/>
        <v>35</v>
      </c>
      <c r="AC25" s="35">
        <f t="shared" si="12"/>
        <v>3.072318008</v>
      </c>
      <c r="AD25" s="24">
        <f t="shared" si="13"/>
        <v>134</v>
      </c>
      <c r="AE25" s="27"/>
      <c r="AF25" s="13" t="s">
        <v>149</v>
      </c>
      <c r="AG25" s="16">
        <f>AH25*0.45359237</f>
        <v>9.0718474</v>
      </c>
      <c r="AH25" s="108">
        <f>average(17,23)</f>
        <v>20</v>
      </c>
      <c r="AI25" s="107" t="s">
        <v>150</v>
      </c>
      <c r="AJ25" s="107" t="s">
        <v>150</v>
      </c>
      <c r="AK25" s="27"/>
      <c r="AL25" s="13" t="s">
        <v>340</v>
      </c>
      <c r="AM25" s="50"/>
      <c r="AN25" s="50"/>
      <c r="AO25" s="13" t="s">
        <v>184</v>
      </c>
      <c r="AP25" s="159" t="s">
        <v>185</v>
      </c>
      <c r="AQ25" s="13" t="s">
        <v>187</v>
      </c>
      <c r="AR25" s="13">
        <v>54.0</v>
      </c>
      <c r="AS25" s="13" t="s">
        <v>314</v>
      </c>
      <c r="AT25" s="13" t="s">
        <v>315</v>
      </c>
      <c r="AU25" s="50"/>
      <c r="AV25" s="208"/>
      <c r="AW25" s="208"/>
      <c r="AX25" s="42">
        <f t="shared" si="14"/>
        <v>17966.32805</v>
      </c>
      <c r="AY25" s="156">
        <f t="shared" si="15"/>
        <v>0.1609195402</v>
      </c>
      <c r="AZ25" s="42">
        <f>average(1800,1250,1400,250,250,1400)</f>
        <v>1058.333333</v>
      </c>
      <c r="BA25" s="13" t="s">
        <v>160</v>
      </c>
      <c r="BB25" s="13">
        <v>250.0</v>
      </c>
      <c r="BC25" s="13">
        <v>1800.0</v>
      </c>
      <c r="BD25" s="24">
        <f t="shared" si="30"/>
        <v>4</v>
      </c>
      <c r="BE25" s="13">
        <v>4.0</v>
      </c>
      <c r="BF25" s="13">
        <v>4.0</v>
      </c>
      <c r="BG25" s="35">
        <f>IFERROR(__xludf.DUMMYFUNCTION("BD25*GoogleFinance(""CURRENCY:GBPUSD"")"),4.98318)</f>
        <v>4.98318</v>
      </c>
      <c r="BH25" s="157">
        <f t="shared" si="17"/>
        <v>260.0098745</v>
      </c>
      <c r="BI25" s="42">
        <f t="shared" si="18"/>
        <v>3512.733404</v>
      </c>
      <c r="BJ25" s="158"/>
      <c r="BK25" s="42">
        <f t="shared" si="19"/>
        <v>13195.26131</v>
      </c>
      <c r="BL25" s="42">
        <f>IFERROR(__xludf.DUMMYFUNCTION("BM25*GoogleFinance(""CURRENCY:GBPUSD"")"),976.70328)</f>
        <v>976.70328</v>
      </c>
      <c r="BM25" s="24">
        <f t="shared" si="20"/>
        <v>784</v>
      </c>
      <c r="BN25" s="13">
        <v>121.0</v>
      </c>
      <c r="BO25" s="13">
        <v>126.0</v>
      </c>
      <c r="BP25" s="13">
        <v>244.0</v>
      </c>
      <c r="BQ25" s="13">
        <v>177.0</v>
      </c>
      <c r="BR25" s="13">
        <v>116.0</v>
      </c>
      <c r="BS25" s="13">
        <v>200.0</v>
      </c>
      <c r="BT25" s="50"/>
      <c r="BU25" s="53"/>
      <c r="BV25" s="53"/>
      <c r="BW25" s="50"/>
      <c r="BX25" s="50"/>
      <c r="BY25" s="50"/>
      <c r="BZ25" s="50"/>
      <c r="CA25" s="50"/>
    </row>
    <row r="26">
      <c r="A26" s="13" t="s">
        <v>33</v>
      </c>
      <c r="B26" s="27"/>
      <c r="C26" s="13" t="s">
        <v>34</v>
      </c>
      <c r="D26" s="27"/>
      <c r="E26" s="150">
        <v>3.04</v>
      </c>
      <c r="F26" s="13">
        <v>8.0</v>
      </c>
      <c r="G26" s="24">
        <f t="shared" si="3"/>
        <v>8</v>
      </c>
      <c r="H26" s="26">
        <v>21237.0</v>
      </c>
      <c r="I26" s="151">
        <v>0.31</v>
      </c>
      <c r="J26" s="27"/>
      <c r="K26" s="13">
        <v>2.0</v>
      </c>
      <c r="L26" s="152">
        <f t="shared" si="4"/>
        <v>0.9885057471</v>
      </c>
      <c r="M26" s="67">
        <v>11.95</v>
      </c>
      <c r="N26" s="153">
        <f t="shared" si="5"/>
        <v>0.5977011494</v>
      </c>
      <c r="O26" s="13">
        <v>2.0</v>
      </c>
      <c r="P26" s="152">
        <f t="shared" si="6"/>
        <v>0.7777777778</v>
      </c>
      <c r="Q26" s="26">
        <v>900.0</v>
      </c>
      <c r="R26" s="153">
        <f t="shared" si="7"/>
        <v>0.3793103448</v>
      </c>
      <c r="S26" s="26">
        <v>466.3820615625</v>
      </c>
      <c r="T26" s="153">
        <f t="shared" si="8"/>
        <v>0.2298850575</v>
      </c>
      <c r="U26" s="13">
        <v>2.0</v>
      </c>
      <c r="V26" s="154">
        <v>0.75</v>
      </c>
      <c r="W26" s="13">
        <v>2.0</v>
      </c>
      <c r="X26" s="151">
        <v>0.5</v>
      </c>
      <c r="Y26" s="27"/>
      <c r="Z26" s="35">
        <f t="shared" si="9"/>
        <v>3.918582375</v>
      </c>
      <c r="AA26" s="24">
        <f t="shared" si="10"/>
        <v>22</v>
      </c>
      <c r="AB26" s="24">
        <f t="shared" si="11"/>
        <v>39</v>
      </c>
      <c r="AC26" s="35">
        <f t="shared" si="12"/>
        <v>3.043582375</v>
      </c>
      <c r="AD26" s="24">
        <f t="shared" si="13"/>
        <v>8</v>
      </c>
      <c r="AE26" s="27"/>
      <c r="AF26" s="13" t="s">
        <v>148</v>
      </c>
      <c r="AG26" s="107" t="s">
        <v>150</v>
      </c>
      <c r="AH26" s="107" t="s">
        <v>150</v>
      </c>
      <c r="AI26" s="16">
        <f t="shared" ref="AI26:AI32" si="33">AJ26*2.54</f>
        <v>40.64</v>
      </c>
      <c r="AJ26" s="107">
        <v>16.0</v>
      </c>
      <c r="AK26" s="27"/>
      <c r="AL26" s="13" t="s">
        <v>502</v>
      </c>
      <c r="AM26" s="50"/>
      <c r="AN26" s="50"/>
      <c r="AO26" s="13" t="s">
        <v>250</v>
      </c>
      <c r="AP26" s="13" t="s">
        <v>251</v>
      </c>
      <c r="AQ26" s="13" t="s">
        <v>252</v>
      </c>
      <c r="AR26" s="13">
        <v>1178.0</v>
      </c>
      <c r="AS26" s="13" t="s">
        <v>503</v>
      </c>
      <c r="AT26" s="13" t="s">
        <v>504</v>
      </c>
      <c r="AU26" s="50"/>
      <c r="AV26" s="50"/>
      <c r="AW26" s="50"/>
      <c r="AX26" s="42">
        <f t="shared" si="14"/>
        <v>17238.08632</v>
      </c>
      <c r="AY26" s="156">
        <f t="shared" si="15"/>
        <v>0.3103448276</v>
      </c>
      <c r="AZ26" s="42">
        <f>average(950,1000,600,1000,500,1500,950,700,1000,800)</f>
        <v>900</v>
      </c>
      <c r="BA26" s="13" t="s">
        <v>160</v>
      </c>
      <c r="BB26" s="13">
        <v>500.0</v>
      </c>
      <c r="BC26" s="13">
        <v>1500.0</v>
      </c>
      <c r="BD26" s="24">
        <f t="shared" si="30"/>
        <v>5.75</v>
      </c>
      <c r="BE26" s="13">
        <v>4.0</v>
      </c>
      <c r="BF26" s="13">
        <v>7.5</v>
      </c>
      <c r="BG26" s="35">
        <f>IFERROR(__xludf.DUMMYFUNCTION("BD26*GoogleFinance(""CURRENCY:GBPUSD"")"),7.16332125)</f>
        <v>7.16332125</v>
      </c>
      <c r="BH26" s="157">
        <f t="shared" si="17"/>
        <v>373.7641945</v>
      </c>
      <c r="BI26" s="42">
        <f t="shared" si="18"/>
        <v>4466.482125</v>
      </c>
      <c r="BJ26" s="158"/>
      <c r="BK26" s="42">
        <f t="shared" si="19"/>
        <v>11671.6042</v>
      </c>
      <c r="BL26" s="42">
        <f>IFERROR(__xludf.DUMMYFUNCTION("BM26*GoogleFinance(""CURRENCY:GBPUSD"")"),976.70328)</f>
        <v>976.70328</v>
      </c>
      <c r="BM26" s="24">
        <f t="shared" si="20"/>
        <v>784</v>
      </c>
      <c r="BN26" s="13">
        <v>121.0</v>
      </c>
      <c r="BO26" s="13">
        <v>126.0</v>
      </c>
      <c r="BP26" s="13">
        <v>244.0</v>
      </c>
      <c r="BQ26" s="13">
        <v>177.0</v>
      </c>
      <c r="BR26" s="13">
        <v>116.0</v>
      </c>
      <c r="BS26" s="13">
        <v>200.0</v>
      </c>
      <c r="BT26" s="50"/>
      <c r="BU26" s="53"/>
      <c r="BV26" s="53"/>
      <c r="BW26" s="50"/>
      <c r="BX26" s="50"/>
      <c r="BY26" s="50"/>
      <c r="BZ26" s="50"/>
      <c r="CA26" s="50"/>
    </row>
    <row r="27">
      <c r="A27" s="13" t="s">
        <v>365</v>
      </c>
      <c r="B27" s="27"/>
      <c r="C27" s="13" t="s">
        <v>34</v>
      </c>
      <c r="D27" s="27"/>
      <c r="E27" s="150">
        <v>3.03</v>
      </c>
      <c r="F27" s="13">
        <v>39.0</v>
      </c>
      <c r="G27" s="24">
        <f t="shared" si="3"/>
        <v>34</v>
      </c>
      <c r="H27" s="26">
        <v>19735.0</v>
      </c>
      <c r="I27" s="151">
        <v>0.54</v>
      </c>
      <c r="J27" s="27"/>
      <c r="K27" s="13">
        <v>45.0</v>
      </c>
      <c r="L27" s="152">
        <f t="shared" si="4"/>
        <v>0.4482758621</v>
      </c>
      <c r="M27" s="67">
        <v>12.21</v>
      </c>
      <c r="N27" s="153">
        <f t="shared" si="5"/>
        <v>0.6781609195</v>
      </c>
      <c r="O27" s="13">
        <v>0.0</v>
      </c>
      <c r="P27" s="152">
        <f t="shared" si="6"/>
        <v>1</v>
      </c>
      <c r="Q27" s="26">
        <v>692.5</v>
      </c>
      <c r="R27" s="153">
        <f t="shared" si="7"/>
        <v>0.6206896552</v>
      </c>
      <c r="S27" s="26">
        <v>324.439695</v>
      </c>
      <c r="T27" s="153">
        <f t="shared" si="8"/>
        <v>0.6781609195</v>
      </c>
      <c r="U27" s="13">
        <v>1.0</v>
      </c>
      <c r="V27" s="154">
        <v>0.5</v>
      </c>
      <c r="W27" s="13">
        <v>1.0</v>
      </c>
      <c r="X27" s="153">
        <f>100%</f>
        <v>1</v>
      </c>
      <c r="Y27" s="27"/>
      <c r="Z27" s="35">
        <f t="shared" si="9"/>
        <v>4.275862069</v>
      </c>
      <c r="AA27" s="24">
        <f t="shared" si="10"/>
        <v>25</v>
      </c>
      <c r="AB27" s="24">
        <f t="shared" si="11"/>
        <v>16</v>
      </c>
      <c r="AC27" s="35">
        <f t="shared" si="12"/>
        <v>3.025862069</v>
      </c>
      <c r="AD27" s="24">
        <f t="shared" si="13"/>
        <v>39</v>
      </c>
      <c r="AE27" s="27"/>
      <c r="AF27" s="13" t="s">
        <v>149</v>
      </c>
      <c r="AG27" s="107" t="s">
        <v>150</v>
      </c>
      <c r="AH27" s="107" t="s">
        <v>150</v>
      </c>
      <c r="AI27" s="16">
        <f t="shared" si="33"/>
        <v>26.67</v>
      </c>
      <c r="AJ27" s="108">
        <f>average(9.5,11.5)</f>
        <v>10.5</v>
      </c>
      <c r="AK27" s="27"/>
      <c r="AL27" s="50"/>
      <c r="AM27" s="50"/>
      <c r="AN27" s="50"/>
      <c r="AO27" s="13" t="s">
        <v>184</v>
      </c>
      <c r="AP27" s="159" t="s">
        <v>185</v>
      </c>
      <c r="AQ27" s="13" t="s">
        <v>187</v>
      </c>
      <c r="AR27" s="13">
        <v>146.0</v>
      </c>
      <c r="AS27" s="13" t="s">
        <v>145</v>
      </c>
      <c r="AT27" s="13" t="s">
        <v>145</v>
      </c>
      <c r="AU27" s="50"/>
      <c r="AV27" s="50"/>
      <c r="AW27" s="50"/>
      <c r="AX27" s="42">
        <f t="shared" si="14"/>
        <v>15992.76762</v>
      </c>
      <c r="AY27" s="156">
        <f t="shared" si="15"/>
        <v>0.5287356322</v>
      </c>
      <c r="AZ27" s="42">
        <f>average(250,895,350,600,1000,700,1500,800,280,550)</f>
        <v>692.5</v>
      </c>
      <c r="BA27" s="13" t="s">
        <v>146</v>
      </c>
      <c r="BB27" s="13">
        <v>250.0</v>
      </c>
      <c r="BC27" s="13">
        <v>1500.0</v>
      </c>
      <c r="BD27" s="24">
        <f t="shared" si="30"/>
        <v>4</v>
      </c>
      <c r="BE27" s="13">
        <v>4.0</v>
      </c>
      <c r="BF27" s="13">
        <v>4.0</v>
      </c>
      <c r="BG27" s="35">
        <f>IFERROR(__xludf.DUMMYFUNCTION("BD27*GoogleFinance(""CURRENCY:GBPUSD"")"),4.98318)</f>
        <v>4.98318</v>
      </c>
      <c r="BH27" s="157">
        <f t="shared" si="17"/>
        <v>260.0098745</v>
      </c>
      <c r="BI27" s="42">
        <f t="shared" si="18"/>
        <v>3174.720567</v>
      </c>
      <c r="BJ27" s="158"/>
      <c r="BK27" s="42">
        <f t="shared" si="19"/>
        <v>11925.54705</v>
      </c>
      <c r="BL27" s="42">
        <f>IFERROR(__xludf.DUMMYFUNCTION("BM27*GoogleFinance(""CURRENCY:GBPUSD"")"),976.70328)</f>
        <v>976.70328</v>
      </c>
      <c r="BM27" s="24">
        <f t="shared" si="20"/>
        <v>784</v>
      </c>
      <c r="BN27" s="13">
        <v>121.0</v>
      </c>
      <c r="BO27" s="13">
        <v>126.0</v>
      </c>
      <c r="BP27" s="13">
        <v>244.0</v>
      </c>
      <c r="BQ27" s="13">
        <v>177.0</v>
      </c>
      <c r="BR27" s="13">
        <v>116.0</v>
      </c>
      <c r="BS27" s="13">
        <v>200.0</v>
      </c>
      <c r="BT27" s="50"/>
      <c r="BU27" s="53"/>
      <c r="BV27" s="53"/>
      <c r="BW27" s="50"/>
      <c r="BX27" s="50"/>
      <c r="BY27" s="50"/>
      <c r="BZ27" s="50"/>
      <c r="CA27" s="50"/>
    </row>
    <row r="28">
      <c r="A28" s="47" t="s">
        <v>531</v>
      </c>
      <c r="B28" s="27"/>
      <c r="C28" s="47" t="s">
        <v>27</v>
      </c>
      <c r="D28" s="27"/>
      <c r="E28" s="150">
        <v>3.03</v>
      </c>
      <c r="F28" s="47">
        <v>15.0</v>
      </c>
      <c r="G28" s="24">
        <f t="shared" si="3"/>
        <v>15</v>
      </c>
      <c r="H28" s="26">
        <v>25842.0</v>
      </c>
      <c r="I28" s="151">
        <v>0.03</v>
      </c>
      <c r="J28" s="27"/>
      <c r="K28" s="47">
        <v>17.0</v>
      </c>
      <c r="L28" s="152">
        <f t="shared" si="4"/>
        <v>0.8390804598</v>
      </c>
      <c r="M28" s="180">
        <v>11.46</v>
      </c>
      <c r="N28" s="153">
        <f t="shared" si="5"/>
        <v>0.4942528736</v>
      </c>
      <c r="O28" s="47">
        <v>1.0</v>
      </c>
      <c r="P28" s="152">
        <f t="shared" si="6"/>
        <v>0.8888888889</v>
      </c>
      <c r="Q28" s="26">
        <v>545.0</v>
      </c>
      <c r="R28" s="153">
        <f t="shared" si="7"/>
        <v>0.8275862069</v>
      </c>
      <c r="S28" s="26">
        <v>971.0337105</v>
      </c>
      <c r="T28" s="153">
        <f t="shared" si="8"/>
        <v>0.04597701149</v>
      </c>
      <c r="U28" s="47">
        <v>2.0</v>
      </c>
      <c r="V28" s="154">
        <v>0.75</v>
      </c>
      <c r="W28" s="47">
        <v>1.0</v>
      </c>
      <c r="X28" s="169">
        <v>1.0</v>
      </c>
      <c r="Y28" s="27"/>
      <c r="Z28" s="35">
        <f t="shared" si="9"/>
        <v>4.409003831</v>
      </c>
      <c r="AA28" s="24">
        <f t="shared" si="10"/>
        <v>23</v>
      </c>
      <c r="AB28" s="24">
        <f t="shared" si="11"/>
        <v>12</v>
      </c>
      <c r="AC28" s="35">
        <f t="shared" si="12"/>
        <v>3.034003831</v>
      </c>
      <c r="AD28" s="24">
        <f t="shared" si="13"/>
        <v>15</v>
      </c>
      <c r="AE28" s="27"/>
      <c r="AF28" s="47" t="s">
        <v>166</v>
      </c>
      <c r="AG28" s="172">
        <f t="shared" ref="AG28:AG34" si="34">AH28*0.45359237</f>
        <v>28.34952313</v>
      </c>
      <c r="AH28" s="174">
        <f>average(55,70)</f>
        <v>62.5</v>
      </c>
      <c r="AI28" s="172">
        <f t="shared" si="33"/>
        <v>60.96</v>
      </c>
      <c r="AJ28" s="174">
        <f>average(23,25)</f>
        <v>24</v>
      </c>
      <c r="AK28" s="27"/>
      <c r="AL28" s="129"/>
      <c r="AM28" s="129"/>
      <c r="AN28" s="129"/>
      <c r="AO28" s="47" t="s">
        <v>267</v>
      </c>
      <c r="AP28" s="175" t="s">
        <v>268</v>
      </c>
      <c r="AQ28" s="47" t="s">
        <v>269</v>
      </c>
      <c r="AR28" s="47">
        <v>203.0</v>
      </c>
      <c r="AS28" s="47" t="s">
        <v>174</v>
      </c>
      <c r="AT28" s="47" t="s">
        <v>175</v>
      </c>
      <c r="AU28" s="129"/>
      <c r="AV28" s="129"/>
      <c r="AW28" s="129"/>
      <c r="AX28" s="157">
        <f t="shared" si="14"/>
        <v>18789.91042</v>
      </c>
      <c r="AY28" s="156">
        <f t="shared" si="15"/>
        <v>0.1034482759</v>
      </c>
      <c r="AZ28" s="157">
        <f>average(400,850,850,200,500,700,250,600,400,700)</f>
        <v>545</v>
      </c>
      <c r="BA28" s="47" t="s">
        <v>146</v>
      </c>
      <c r="BB28" s="47">
        <v>200.0</v>
      </c>
      <c r="BC28" s="47">
        <v>850.0</v>
      </c>
      <c r="BD28" s="176" t="s">
        <v>182</v>
      </c>
      <c r="BE28" s="176" t="s">
        <v>182</v>
      </c>
      <c r="BF28" s="176" t="s">
        <v>182</v>
      </c>
      <c r="BG28" s="157">
        <f>IFERROR(__xludf.DUMMYFUNCTION("SUM(18*GoogleFinance(""CURRENCY:AUDUSD""))"),11.45889)</f>
        <v>11.45889</v>
      </c>
      <c r="BH28" s="157">
        <f t="shared" si="17"/>
        <v>597.896233</v>
      </c>
      <c r="BI28" s="157">
        <f t="shared" si="18"/>
        <v>6851.89083</v>
      </c>
      <c r="BJ28" s="158"/>
      <c r="BK28" s="157">
        <f t="shared" si="19"/>
        <v>11193.01959</v>
      </c>
      <c r="BL28" s="157">
        <f>IFERROR(__xludf.DUMMYFUNCTION("BM28*GoogleFinance(""CURRENCY:GBPUSD"")"),976.70328)</f>
        <v>976.70328</v>
      </c>
      <c r="BM28" s="177">
        <f t="shared" si="20"/>
        <v>784</v>
      </c>
      <c r="BN28" s="47">
        <v>121.0</v>
      </c>
      <c r="BO28" s="47">
        <v>126.0</v>
      </c>
      <c r="BP28" s="47">
        <v>244.0</v>
      </c>
      <c r="BQ28" s="47">
        <v>177.0</v>
      </c>
      <c r="BR28" s="47">
        <v>116.0</v>
      </c>
      <c r="BS28" s="47">
        <v>200.0</v>
      </c>
      <c r="BT28" s="129"/>
      <c r="BU28" s="178" t="s">
        <v>534</v>
      </c>
      <c r="BV28" s="178" t="s">
        <v>535</v>
      </c>
      <c r="BW28" s="129"/>
      <c r="BX28" s="129"/>
      <c r="BY28" s="129"/>
      <c r="BZ28" s="129"/>
      <c r="CA28" s="129"/>
    </row>
    <row r="29">
      <c r="A29" s="13" t="s">
        <v>536</v>
      </c>
      <c r="B29" s="27"/>
      <c r="C29" s="13" t="s">
        <v>27</v>
      </c>
      <c r="D29" s="27"/>
      <c r="E29" s="150">
        <v>3.03</v>
      </c>
      <c r="F29" s="13">
        <v>115.0</v>
      </c>
      <c r="G29" s="24">
        <f t="shared" si="3"/>
        <v>74</v>
      </c>
      <c r="H29" s="26">
        <v>24445.0</v>
      </c>
      <c r="I29" s="151">
        <v>0.08</v>
      </c>
      <c r="J29" s="27"/>
      <c r="K29" s="13">
        <v>43.0</v>
      </c>
      <c r="L29" s="152">
        <f t="shared" si="4"/>
        <v>0.4942528736</v>
      </c>
      <c r="M29" s="67">
        <v>12.42</v>
      </c>
      <c r="N29" s="153">
        <f t="shared" si="5"/>
        <v>0.7471264368</v>
      </c>
      <c r="O29" s="13">
        <v>1.0</v>
      </c>
      <c r="P29" s="152">
        <f t="shared" si="6"/>
        <v>0.8888888889</v>
      </c>
      <c r="Q29" s="26">
        <v>293.75</v>
      </c>
      <c r="R29" s="153">
        <f t="shared" si="7"/>
        <v>0.9885057471</v>
      </c>
      <c r="S29" s="26">
        <v>709.7118328125</v>
      </c>
      <c r="T29" s="153">
        <f t="shared" si="8"/>
        <v>0.05747126437</v>
      </c>
      <c r="U29" s="13">
        <v>2.0</v>
      </c>
      <c r="V29" s="154">
        <v>0.75</v>
      </c>
      <c r="W29" s="13">
        <v>1.0</v>
      </c>
      <c r="X29" s="153">
        <f t="shared" ref="X29:X31" si="35">100%</f>
        <v>1</v>
      </c>
      <c r="Y29" s="27"/>
      <c r="Z29" s="35">
        <f t="shared" si="9"/>
        <v>4.403256705</v>
      </c>
      <c r="AA29" s="24">
        <f t="shared" si="10"/>
        <v>24</v>
      </c>
      <c r="AB29" s="24">
        <f t="shared" si="11"/>
        <v>13</v>
      </c>
      <c r="AC29" s="35">
        <f t="shared" si="12"/>
        <v>3.028256705</v>
      </c>
      <c r="AD29" s="24">
        <f t="shared" si="13"/>
        <v>115</v>
      </c>
      <c r="AE29" s="27"/>
      <c r="AF29" s="13" t="s">
        <v>166</v>
      </c>
      <c r="AG29" s="16">
        <f t="shared" si="34"/>
        <v>26.98874602</v>
      </c>
      <c r="AH29" s="108">
        <f>average(44,75)</f>
        <v>59.5</v>
      </c>
      <c r="AI29" s="16">
        <f t="shared" si="33"/>
        <v>64.77</v>
      </c>
      <c r="AJ29" s="108">
        <f>average(23,28)</f>
        <v>25.5</v>
      </c>
      <c r="AK29" s="27"/>
      <c r="AL29" s="13" t="s">
        <v>537</v>
      </c>
      <c r="AM29" s="50"/>
      <c r="AN29" s="50"/>
      <c r="AO29" s="13" t="s">
        <v>184</v>
      </c>
      <c r="AP29" s="159" t="s">
        <v>185</v>
      </c>
      <c r="AQ29" s="13" t="s">
        <v>187</v>
      </c>
      <c r="AR29" s="13">
        <v>145.0</v>
      </c>
      <c r="AS29" s="13" t="s">
        <v>174</v>
      </c>
      <c r="AT29" s="13" t="s">
        <v>175</v>
      </c>
      <c r="AU29" s="50"/>
      <c r="AV29" s="50"/>
      <c r="AW29" s="50"/>
      <c r="AX29" s="42">
        <f t="shared" si="14"/>
        <v>19688.54801</v>
      </c>
      <c r="AY29" s="156">
        <f t="shared" si="15"/>
        <v>0.06896551724</v>
      </c>
      <c r="AZ29" s="42">
        <f>average(300,500,300,350,50,50,300,500)</f>
        <v>293.75</v>
      </c>
      <c r="BA29" s="13" t="s">
        <v>146</v>
      </c>
      <c r="BB29" s="13">
        <v>50.0</v>
      </c>
      <c r="BC29" s="13">
        <v>500.0</v>
      </c>
      <c r="BD29" s="24">
        <f t="shared" ref="BD29:BD31" si="36">average(BE29,BF29)</f>
        <v>8.75</v>
      </c>
      <c r="BE29" s="13">
        <v>7.5</v>
      </c>
      <c r="BF29" s="13">
        <v>10.0</v>
      </c>
      <c r="BG29" s="35">
        <f>IFERROR(__xludf.DUMMYFUNCTION("BD29*GoogleFinance(""CURRENCY:GBPUSD"")"),10.90070625)</f>
        <v>10.90070625</v>
      </c>
      <c r="BH29" s="157">
        <f t="shared" si="17"/>
        <v>568.7716004</v>
      </c>
      <c r="BI29" s="42">
        <f t="shared" si="18"/>
        <v>7064.143276</v>
      </c>
      <c r="BJ29" s="158"/>
      <c r="BK29" s="42">
        <f t="shared" si="19"/>
        <v>12130.65474</v>
      </c>
      <c r="BL29" s="42">
        <f>IFERROR(__xludf.DUMMYFUNCTION("BM29*GoogleFinance(""CURRENCY:GBPUSD"")"),976.70328)</f>
        <v>976.70328</v>
      </c>
      <c r="BM29" s="24">
        <f t="shared" si="20"/>
        <v>784</v>
      </c>
      <c r="BN29" s="13">
        <v>121.0</v>
      </c>
      <c r="BO29" s="13">
        <v>126.0</v>
      </c>
      <c r="BP29" s="13">
        <v>244.0</v>
      </c>
      <c r="BQ29" s="13">
        <v>177.0</v>
      </c>
      <c r="BR29" s="13">
        <v>116.0</v>
      </c>
      <c r="BS29" s="13">
        <v>200.0</v>
      </c>
      <c r="BT29" s="50"/>
      <c r="BU29" s="53"/>
      <c r="BV29" s="53"/>
      <c r="BW29" s="50"/>
      <c r="BX29" s="50"/>
      <c r="BY29" s="50"/>
      <c r="BZ29" s="50"/>
      <c r="CA29" s="50"/>
    </row>
    <row r="30">
      <c r="A30" s="13" t="s">
        <v>45</v>
      </c>
      <c r="B30" s="27"/>
      <c r="C30" s="13" t="s">
        <v>34</v>
      </c>
      <c r="D30" s="27"/>
      <c r="E30" s="150">
        <v>3.02</v>
      </c>
      <c r="F30" s="13">
        <v>114.0</v>
      </c>
      <c r="G30" s="24">
        <f t="shared" si="3"/>
        <v>73</v>
      </c>
      <c r="H30" s="26">
        <v>25549.0</v>
      </c>
      <c r="I30" s="151">
        <v>0.05</v>
      </c>
      <c r="J30" s="27"/>
      <c r="K30" s="13">
        <v>46.0</v>
      </c>
      <c r="L30" s="152">
        <f t="shared" si="4"/>
        <v>0.4252873563</v>
      </c>
      <c r="M30" s="67">
        <v>14.42</v>
      </c>
      <c r="N30" s="153">
        <f t="shared" si="5"/>
        <v>0.9885057471</v>
      </c>
      <c r="O30" s="13">
        <v>0.0</v>
      </c>
      <c r="P30" s="152">
        <f t="shared" si="6"/>
        <v>1</v>
      </c>
      <c r="Q30" s="26">
        <v>1050.0</v>
      </c>
      <c r="R30" s="153">
        <f t="shared" si="7"/>
        <v>0.2413793103</v>
      </c>
      <c r="S30" s="26">
        <v>466.3820615625</v>
      </c>
      <c r="T30" s="153">
        <f t="shared" si="8"/>
        <v>0.2298850575</v>
      </c>
      <c r="U30" s="13">
        <v>2.0</v>
      </c>
      <c r="V30" s="154">
        <v>0.75</v>
      </c>
      <c r="W30" s="13">
        <v>1.0</v>
      </c>
      <c r="X30" s="153">
        <f t="shared" si="35"/>
        <v>1</v>
      </c>
      <c r="Y30" s="27"/>
      <c r="Z30" s="35">
        <f t="shared" si="9"/>
        <v>4.399425287</v>
      </c>
      <c r="AA30" s="24">
        <f t="shared" si="10"/>
        <v>26</v>
      </c>
      <c r="AB30" s="24">
        <f t="shared" si="11"/>
        <v>14</v>
      </c>
      <c r="AC30" s="35">
        <f t="shared" si="12"/>
        <v>3.024425287</v>
      </c>
      <c r="AD30" s="24">
        <f t="shared" si="13"/>
        <v>114</v>
      </c>
      <c r="AE30" s="27"/>
      <c r="AF30" s="13" t="s">
        <v>149</v>
      </c>
      <c r="AG30" s="16">
        <f t="shared" si="34"/>
        <v>5.44310844</v>
      </c>
      <c r="AH30" s="108">
        <f>average(9,15)</f>
        <v>12</v>
      </c>
      <c r="AI30" s="16">
        <f t="shared" si="33"/>
        <v>25.4</v>
      </c>
      <c r="AJ30" s="108">
        <f>average(10)</f>
        <v>10</v>
      </c>
      <c r="AK30" s="27"/>
      <c r="AL30" s="50"/>
      <c r="AM30" s="50"/>
      <c r="AN30" s="50"/>
      <c r="AO30" s="13" t="s">
        <v>184</v>
      </c>
      <c r="AP30" s="159" t="s">
        <v>185</v>
      </c>
      <c r="AQ30" s="13" t="s">
        <v>187</v>
      </c>
      <c r="AR30" s="13">
        <v>125.0</v>
      </c>
      <c r="AS30" s="13" t="s">
        <v>145</v>
      </c>
      <c r="AT30" s="13" t="s">
        <v>145</v>
      </c>
      <c r="AU30" s="50"/>
      <c r="AV30" s="50"/>
      <c r="AW30" s="50"/>
      <c r="AX30" s="42">
        <f t="shared" si="14"/>
        <v>20723.74098</v>
      </c>
      <c r="AY30" s="156">
        <f t="shared" si="15"/>
        <v>0.02298850575</v>
      </c>
      <c r="AZ30" s="42">
        <f>average(700,1000,2000,800,1000,500,1000,800,1500,1200)</f>
        <v>1050</v>
      </c>
      <c r="BA30" s="13" t="s">
        <v>160</v>
      </c>
      <c r="BB30" s="13">
        <v>500.0</v>
      </c>
      <c r="BC30" s="13">
        <v>2000.0</v>
      </c>
      <c r="BD30" s="24">
        <f t="shared" si="36"/>
        <v>5.75</v>
      </c>
      <c r="BE30" s="13">
        <v>4.0</v>
      </c>
      <c r="BF30" s="13">
        <v>7.5</v>
      </c>
      <c r="BG30" s="35">
        <f>IFERROR(__xludf.DUMMYFUNCTION("BD30*GoogleFinance(""CURRENCY:GBPUSD"")"),7.16332125)</f>
        <v>7.16332125</v>
      </c>
      <c r="BH30" s="157">
        <f t="shared" si="17"/>
        <v>373.7641945</v>
      </c>
      <c r="BI30" s="42">
        <f t="shared" si="18"/>
        <v>5389.679685</v>
      </c>
      <c r="BJ30" s="158"/>
      <c r="BK30" s="42">
        <f t="shared" si="19"/>
        <v>14084.0613</v>
      </c>
      <c r="BL30" s="42">
        <f>IFERROR(__xludf.DUMMYFUNCTION("BM30*GoogleFinance(""CURRENCY:GBPUSD"")"),976.70328)</f>
        <v>976.70328</v>
      </c>
      <c r="BM30" s="24">
        <f t="shared" si="20"/>
        <v>784</v>
      </c>
      <c r="BN30" s="13">
        <v>121.0</v>
      </c>
      <c r="BO30" s="13">
        <v>126.0</v>
      </c>
      <c r="BP30" s="13">
        <v>244.0</v>
      </c>
      <c r="BQ30" s="13">
        <v>177.0</v>
      </c>
      <c r="BR30" s="13">
        <v>116.0</v>
      </c>
      <c r="BS30" s="13">
        <v>200.0</v>
      </c>
      <c r="BT30" s="50"/>
      <c r="BU30" s="53"/>
      <c r="BV30" s="53"/>
      <c r="BW30" s="50"/>
      <c r="BX30" s="50"/>
      <c r="BY30" s="50"/>
      <c r="BZ30" s="50"/>
      <c r="CA30" s="50"/>
    </row>
    <row r="31">
      <c r="A31" s="13" t="s">
        <v>542</v>
      </c>
      <c r="B31" s="27"/>
      <c r="C31" s="13" t="s">
        <v>27</v>
      </c>
      <c r="D31" s="27"/>
      <c r="E31" s="150">
        <v>2.97</v>
      </c>
      <c r="F31" s="13">
        <v>1.0</v>
      </c>
      <c r="G31" s="24">
        <f t="shared" si="3"/>
        <v>1</v>
      </c>
      <c r="H31" s="26">
        <v>21299.0</v>
      </c>
      <c r="I31" s="151">
        <v>0.3</v>
      </c>
      <c r="J31" s="27"/>
      <c r="K31" s="13">
        <v>7.0</v>
      </c>
      <c r="L31" s="152">
        <f t="shared" si="4"/>
        <v>0.9310344828</v>
      </c>
      <c r="M31" s="67">
        <v>12.04</v>
      </c>
      <c r="N31" s="153">
        <f t="shared" si="5"/>
        <v>0.632183908</v>
      </c>
      <c r="O31" s="13">
        <v>3.0</v>
      </c>
      <c r="P31" s="152">
        <f t="shared" si="6"/>
        <v>0.6666666667</v>
      </c>
      <c r="Q31" s="26">
        <v>809.9</v>
      </c>
      <c r="R31" s="153">
        <f t="shared" si="7"/>
        <v>0.5057471264</v>
      </c>
      <c r="S31" s="26">
        <v>466.3820615625</v>
      </c>
      <c r="T31" s="153">
        <f t="shared" si="8"/>
        <v>0.2298850575</v>
      </c>
      <c r="U31" s="13">
        <v>2.0</v>
      </c>
      <c r="V31" s="154">
        <v>0.75</v>
      </c>
      <c r="W31" s="13">
        <v>1.0</v>
      </c>
      <c r="X31" s="153">
        <f t="shared" si="35"/>
        <v>1</v>
      </c>
      <c r="Y31" s="27"/>
      <c r="Z31" s="35">
        <f t="shared" si="9"/>
        <v>4.347701149</v>
      </c>
      <c r="AA31" s="24">
        <f t="shared" si="10"/>
        <v>27</v>
      </c>
      <c r="AB31" s="24">
        <f t="shared" si="11"/>
        <v>15</v>
      </c>
      <c r="AC31" s="35">
        <f t="shared" si="12"/>
        <v>2.972701149</v>
      </c>
      <c r="AD31" s="24">
        <f t="shared" si="13"/>
        <v>1</v>
      </c>
      <c r="AE31" s="27"/>
      <c r="AF31" s="13" t="s">
        <v>148</v>
      </c>
      <c r="AG31" s="16">
        <f t="shared" si="34"/>
        <v>30.61748498</v>
      </c>
      <c r="AH31" s="108">
        <f>average(55,80)</f>
        <v>67.5</v>
      </c>
      <c r="AI31" s="16">
        <f t="shared" si="33"/>
        <v>58.42</v>
      </c>
      <c r="AJ31" s="108">
        <f>average(21.5,24.5)</f>
        <v>23</v>
      </c>
      <c r="AK31" s="27"/>
      <c r="AL31" s="50"/>
      <c r="AM31" s="50"/>
      <c r="AN31" s="50"/>
      <c r="AO31" s="13" t="s">
        <v>250</v>
      </c>
      <c r="AP31" s="13" t="s">
        <v>251</v>
      </c>
      <c r="AQ31" s="13" t="s">
        <v>252</v>
      </c>
      <c r="AR31" s="13">
        <v>1101.0</v>
      </c>
      <c r="AS31" s="13" t="s">
        <v>543</v>
      </c>
      <c r="AT31" s="13" t="s">
        <v>544</v>
      </c>
      <c r="AU31" s="50"/>
      <c r="AV31" s="50"/>
      <c r="AW31" s="50"/>
      <c r="AX31" s="42">
        <f t="shared" si="14"/>
        <v>17269.52839</v>
      </c>
      <c r="AY31" s="156">
        <f t="shared" si="15"/>
        <v>0.2988505747</v>
      </c>
      <c r="AZ31" s="42">
        <f>average(1200,750,1500,500,299,700,600,600,1200,750)</f>
        <v>809.9</v>
      </c>
      <c r="BA31" s="13" t="s">
        <v>160</v>
      </c>
      <c r="BB31" s="13">
        <v>299.0</v>
      </c>
      <c r="BC31" s="13">
        <v>1500.0</v>
      </c>
      <c r="BD31" s="24">
        <f t="shared" si="36"/>
        <v>5.75</v>
      </c>
      <c r="BE31" s="13">
        <v>4.0</v>
      </c>
      <c r="BF31" s="13">
        <v>7.5</v>
      </c>
      <c r="BG31" s="35">
        <f>IFERROR(__xludf.DUMMYFUNCTION("BD31*GoogleFinance(""CURRENCY:GBPUSD"")"),7.16332125)</f>
        <v>7.16332125</v>
      </c>
      <c r="BH31" s="157">
        <f t="shared" si="17"/>
        <v>373.7641945</v>
      </c>
      <c r="BI31" s="42">
        <f t="shared" si="18"/>
        <v>4500.120902</v>
      </c>
      <c r="BJ31" s="158"/>
      <c r="BK31" s="42">
        <f t="shared" si="19"/>
        <v>11759.50749</v>
      </c>
      <c r="BL31" s="42">
        <f>IFERROR(__xludf.DUMMYFUNCTION("BM31*GoogleFinance(""CURRENCY:GBPUSD"")"),976.70328)</f>
        <v>976.70328</v>
      </c>
      <c r="BM31" s="24">
        <f t="shared" si="20"/>
        <v>784</v>
      </c>
      <c r="BN31" s="13">
        <v>121.0</v>
      </c>
      <c r="BO31" s="13">
        <v>126.0</v>
      </c>
      <c r="BP31" s="13">
        <v>244.0</v>
      </c>
      <c r="BQ31" s="13">
        <v>177.0</v>
      </c>
      <c r="BR31" s="13">
        <v>116.0</v>
      </c>
      <c r="BS31" s="13">
        <v>200.0</v>
      </c>
      <c r="BT31" s="50"/>
      <c r="BU31" s="53"/>
      <c r="BV31" s="53"/>
      <c r="BW31" s="50"/>
      <c r="BX31" s="50"/>
      <c r="BY31" s="50"/>
      <c r="BZ31" s="50"/>
      <c r="CA31" s="50"/>
    </row>
    <row r="32">
      <c r="A32" s="47" t="s">
        <v>548</v>
      </c>
      <c r="B32" s="27"/>
      <c r="C32" s="47" t="s">
        <v>43</v>
      </c>
      <c r="D32" s="27"/>
      <c r="E32" s="150">
        <v>2.93</v>
      </c>
      <c r="F32" s="47">
        <v>23.0</v>
      </c>
      <c r="G32" s="24">
        <f t="shared" si="3"/>
        <v>23</v>
      </c>
      <c r="H32" s="26">
        <v>19084.0</v>
      </c>
      <c r="I32" s="151">
        <v>0.62</v>
      </c>
      <c r="J32" s="27"/>
      <c r="K32" s="47">
        <v>59.0</v>
      </c>
      <c r="L32" s="152">
        <f t="shared" si="4"/>
        <v>0.2528735632</v>
      </c>
      <c r="M32" s="180">
        <v>12.25</v>
      </c>
      <c r="N32" s="153">
        <f t="shared" si="5"/>
        <v>0.6896551724</v>
      </c>
      <c r="O32" s="47">
        <v>1.0</v>
      </c>
      <c r="P32" s="152">
        <f t="shared" si="6"/>
        <v>0.8888888889</v>
      </c>
      <c r="Q32" s="26">
        <v>649.5</v>
      </c>
      <c r="R32" s="153">
        <f t="shared" si="7"/>
        <v>0.6896551724</v>
      </c>
      <c r="S32" s="26">
        <v>269.73158625</v>
      </c>
      <c r="T32" s="153">
        <f t="shared" si="8"/>
        <v>1</v>
      </c>
      <c r="U32" s="47">
        <v>1.0</v>
      </c>
      <c r="V32" s="154">
        <v>0.5</v>
      </c>
      <c r="W32" s="47">
        <v>3.0</v>
      </c>
      <c r="X32" s="169">
        <v>0.0</v>
      </c>
      <c r="Y32" s="27"/>
      <c r="Z32" s="35">
        <f t="shared" si="9"/>
        <v>3.176245211</v>
      </c>
      <c r="AA32" s="24">
        <f t="shared" si="10"/>
        <v>29</v>
      </c>
      <c r="AB32" s="24">
        <f t="shared" si="11"/>
        <v>65</v>
      </c>
      <c r="AC32" s="35">
        <f t="shared" si="12"/>
        <v>2.926245211</v>
      </c>
      <c r="AD32" s="24">
        <f t="shared" si="13"/>
        <v>23</v>
      </c>
      <c r="AE32" s="27"/>
      <c r="AF32" s="47" t="s">
        <v>149</v>
      </c>
      <c r="AG32" s="172">
        <f t="shared" si="34"/>
        <v>2.26796185</v>
      </c>
      <c r="AH32" s="174">
        <f t="shared" ref="AH32:AH33" si="37">average(4,6)</f>
        <v>5</v>
      </c>
      <c r="AI32" s="172">
        <f t="shared" si="33"/>
        <v>22.86</v>
      </c>
      <c r="AJ32" s="173">
        <v>9.0</v>
      </c>
      <c r="AK32" s="27"/>
      <c r="AL32" s="129"/>
      <c r="AM32" s="129"/>
      <c r="AN32" s="129"/>
      <c r="AO32" s="47" t="s">
        <v>400</v>
      </c>
      <c r="AP32" s="47" t="s">
        <v>401</v>
      </c>
      <c r="AQ32" s="47" t="s">
        <v>402</v>
      </c>
      <c r="AR32" s="47">
        <v>42.0</v>
      </c>
      <c r="AS32" s="47" t="s">
        <v>271</v>
      </c>
      <c r="AT32" s="47" t="s">
        <v>549</v>
      </c>
      <c r="AU32" s="129"/>
      <c r="AV32" s="129"/>
      <c r="AW32" s="129"/>
      <c r="AX32" s="157">
        <f t="shared" si="14"/>
        <v>14848.62319</v>
      </c>
      <c r="AY32" s="156">
        <f t="shared" si="15"/>
        <v>0.7011494253</v>
      </c>
      <c r="AZ32" s="157">
        <f>average(495,800,300,600,700,550,1000,550,500,1000)</f>
        <v>649.5</v>
      </c>
      <c r="BA32" s="47" t="s">
        <v>146</v>
      </c>
      <c r="BB32" s="47">
        <v>300.0</v>
      </c>
      <c r="BC32" s="47">
        <v>1000.0</v>
      </c>
      <c r="BD32" s="176" t="s">
        <v>182</v>
      </c>
      <c r="BE32" s="176" t="s">
        <v>182</v>
      </c>
      <c r="BF32" s="176" t="s">
        <v>182</v>
      </c>
      <c r="BG32" s="157">
        <f>IFERROR(__xludf.DUMMYFUNCTION("SUM(5*GoogleFinance(""CURRENCY:AUDUSD""))"),3.1830249999999998)</f>
        <v>3.183025</v>
      </c>
      <c r="BH32" s="157">
        <f t="shared" si="17"/>
        <v>166.0822869</v>
      </c>
      <c r="BI32" s="157">
        <f t="shared" si="18"/>
        <v>2034.508015</v>
      </c>
      <c r="BJ32" s="158"/>
      <c r="BK32" s="157">
        <f t="shared" si="19"/>
        <v>11964.61518</v>
      </c>
      <c r="BL32" s="157">
        <f>IFERROR(__xludf.DUMMYFUNCTION("BM32*GoogleFinance(""CURRENCY:GBPUSD"")"),976.70328)</f>
        <v>976.70328</v>
      </c>
      <c r="BM32" s="177">
        <f t="shared" si="20"/>
        <v>784</v>
      </c>
      <c r="BN32" s="47">
        <v>121.0</v>
      </c>
      <c r="BO32" s="47">
        <v>126.0</v>
      </c>
      <c r="BP32" s="47">
        <v>244.0</v>
      </c>
      <c r="BQ32" s="47">
        <v>177.0</v>
      </c>
      <c r="BR32" s="47">
        <v>116.0</v>
      </c>
      <c r="BS32" s="47">
        <v>200.0</v>
      </c>
      <c r="BT32" s="129"/>
      <c r="BU32" s="178" t="s">
        <v>551</v>
      </c>
      <c r="BV32" s="178" t="s">
        <v>552</v>
      </c>
      <c r="BW32" s="129"/>
      <c r="BX32" s="129"/>
      <c r="BY32" s="129"/>
      <c r="BZ32" s="129"/>
      <c r="CA32" s="129"/>
    </row>
    <row r="33">
      <c r="A33" s="13" t="s">
        <v>554</v>
      </c>
      <c r="B33" s="27"/>
      <c r="C33" s="13" t="s">
        <v>43</v>
      </c>
      <c r="D33" s="27"/>
      <c r="E33" s="150">
        <v>2.93</v>
      </c>
      <c r="F33" s="13">
        <v>17.0</v>
      </c>
      <c r="G33" s="24">
        <f t="shared" si="3"/>
        <v>17</v>
      </c>
      <c r="H33" s="26">
        <v>15792.0</v>
      </c>
      <c r="I33" s="151">
        <v>0.93</v>
      </c>
      <c r="J33" s="27"/>
      <c r="K33" s="13">
        <v>23.0</v>
      </c>
      <c r="L33" s="152">
        <f t="shared" si="4"/>
        <v>0.7701149425</v>
      </c>
      <c r="M33" s="67">
        <v>9.67</v>
      </c>
      <c r="N33" s="153">
        <f t="shared" si="5"/>
        <v>0.2298850575</v>
      </c>
      <c r="O33" s="13">
        <v>1.0</v>
      </c>
      <c r="P33" s="152">
        <f t="shared" si="6"/>
        <v>0.8888888889</v>
      </c>
      <c r="Q33" s="26">
        <v>670.0</v>
      </c>
      <c r="R33" s="153">
        <f t="shared" si="7"/>
        <v>0.6551724138</v>
      </c>
      <c r="S33" s="26">
        <v>324.439695</v>
      </c>
      <c r="T33" s="153">
        <f t="shared" si="8"/>
        <v>0.6781609195</v>
      </c>
      <c r="U33" s="13">
        <v>2.0</v>
      </c>
      <c r="V33" s="154">
        <v>0.75</v>
      </c>
      <c r="W33" s="13">
        <v>2.0</v>
      </c>
      <c r="X33" s="151">
        <v>0.5</v>
      </c>
      <c r="Y33" s="27"/>
      <c r="Z33" s="35">
        <f t="shared" si="9"/>
        <v>3.805555556</v>
      </c>
      <c r="AA33" s="24">
        <f t="shared" si="10"/>
        <v>28</v>
      </c>
      <c r="AB33" s="24">
        <f t="shared" si="11"/>
        <v>45</v>
      </c>
      <c r="AC33" s="35">
        <f t="shared" si="12"/>
        <v>2.930555556</v>
      </c>
      <c r="AD33" s="24">
        <f t="shared" si="13"/>
        <v>17</v>
      </c>
      <c r="AE33" s="27"/>
      <c r="AF33" s="13" t="s">
        <v>149</v>
      </c>
      <c r="AG33" s="16">
        <f t="shared" si="34"/>
        <v>2.26796185</v>
      </c>
      <c r="AH33" s="108">
        <f t="shared" si="37"/>
        <v>5</v>
      </c>
      <c r="AI33" s="107" t="s">
        <v>150</v>
      </c>
      <c r="AJ33" s="107" t="s">
        <v>150</v>
      </c>
      <c r="AK33" s="27"/>
      <c r="AL33" s="50"/>
      <c r="AM33" s="50"/>
      <c r="AN33" s="50"/>
      <c r="AO33" s="13" t="s">
        <v>267</v>
      </c>
      <c r="AP33" s="159" t="s">
        <v>268</v>
      </c>
      <c r="AQ33" s="13" t="s">
        <v>269</v>
      </c>
      <c r="AR33" s="13">
        <v>29.0</v>
      </c>
      <c r="AS33" s="13" t="s">
        <v>271</v>
      </c>
      <c r="AT33" s="13" t="s">
        <v>549</v>
      </c>
      <c r="AU33" s="50"/>
      <c r="AV33" s="50"/>
      <c r="AW33" s="50"/>
      <c r="AX33" s="42">
        <f t="shared" si="14"/>
        <v>12829.0162</v>
      </c>
      <c r="AY33" s="156">
        <f t="shared" si="15"/>
        <v>0.9310344828</v>
      </c>
      <c r="AZ33" s="42">
        <f>average(700,1000,350,750,500,500,200,800,400,1500)</f>
        <v>670</v>
      </c>
      <c r="BA33" s="13" t="s">
        <v>146</v>
      </c>
      <c r="BB33" s="13">
        <v>200.0</v>
      </c>
      <c r="BC33" s="13">
        <v>1500.0</v>
      </c>
      <c r="BD33" s="24">
        <f t="shared" ref="BD33:BD46" si="38">average(BE33,BF33)</f>
        <v>4</v>
      </c>
      <c r="BE33" s="13">
        <v>4.0</v>
      </c>
      <c r="BF33" s="13">
        <v>4.0</v>
      </c>
      <c r="BG33" s="35">
        <f>IFERROR(__xludf.DUMMYFUNCTION("BD33*GoogleFinance(""CURRENCY:GBPUSD"")"),4.98318)</f>
        <v>4.98318</v>
      </c>
      <c r="BH33" s="157">
        <f t="shared" si="17"/>
        <v>260.0098745</v>
      </c>
      <c r="BI33" s="42">
        <f t="shared" si="18"/>
        <v>2514.295486</v>
      </c>
      <c r="BJ33" s="158"/>
      <c r="BK33" s="42">
        <f t="shared" si="19"/>
        <v>9444.720718</v>
      </c>
      <c r="BL33" s="42">
        <f>IFERROR(__xludf.DUMMYFUNCTION("BM33*GoogleFinance(""CURRENCY:GBPUSD"")"),976.70328)</f>
        <v>976.70328</v>
      </c>
      <c r="BM33" s="24">
        <f t="shared" si="20"/>
        <v>784</v>
      </c>
      <c r="BN33" s="13">
        <v>121.0</v>
      </c>
      <c r="BO33" s="13">
        <v>126.0</v>
      </c>
      <c r="BP33" s="13">
        <v>244.0</v>
      </c>
      <c r="BQ33" s="13">
        <v>177.0</v>
      </c>
      <c r="BR33" s="13">
        <v>116.0</v>
      </c>
      <c r="BS33" s="13">
        <v>200.0</v>
      </c>
      <c r="BT33" s="50"/>
      <c r="BU33" s="53"/>
      <c r="BV33" s="53"/>
      <c r="BW33" s="50"/>
      <c r="BX33" s="50"/>
      <c r="BY33" s="50"/>
      <c r="BZ33" s="50"/>
      <c r="CA33" s="50"/>
    </row>
    <row r="34">
      <c r="A34" s="13" t="s">
        <v>578</v>
      </c>
      <c r="B34" s="27"/>
      <c r="C34" s="13" t="s">
        <v>43</v>
      </c>
      <c r="D34" s="27"/>
      <c r="E34" s="150">
        <v>2.93</v>
      </c>
      <c r="F34" s="13">
        <v>11.0</v>
      </c>
      <c r="G34" s="24">
        <f t="shared" si="3"/>
        <v>11</v>
      </c>
      <c r="H34" s="26">
        <v>21152.0</v>
      </c>
      <c r="I34" s="151">
        <v>0.32</v>
      </c>
      <c r="J34" s="27"/>
      <c r="K34" s="13">
        <v>70.0</v>
      </c>
      <c r="L34" s="152">
        <f t="shared" si="4"/>
        <v>0.1264367816</v>
      </c>
      <c r="M34" s="67">
        <v>13.2</v>
      </c>
      <c r="N34" s="153">
        <f t="shared" si="5"/>
        <v>0.9195402299</v>
      </c>
      <c r="O34" s="13">
        <v>1.0</v>
      </c>
      <c r="P34" s="152">
        <f t="shared" si="6"/>
        <v>0.8888888889</v>
      </c>
      <c r="Q34" s="26">
        <v>582.5</v>
      </c>
      <c r="R34" s="153">
        <f t="shared" si="7"/>
        <v>0.8045977011</v>
      </c>
      <c r="S34" s="26">
        <v>324.439695</v>
      </c>
      <c r="T34" s="153">
        <f t="shared" si="8"/>
        <v>0.6781609195</v>
      </c>
      <c r="U34" s="13">
        <v>1.0</v>
      </c>
      <c r="V34" s="154">
        <v>0.5</v>
      </c>
      <c r="W34" s="13">
        <v>1.0</v>
      </c>
      <c r="X34" s="153">
        <f>100%</f>
        <v>1</v>
      </c>
      <c r="Y34" s="27"/>
      <c r="Z34" s="35">
        <f t="shared" si="9"/>
        <v>4.176245211</v>
      </c>
      <c r="AA34" s="24">
        <f t="shared" si="10"/>
        <v>29</v>
      </c>
      <c r="AB34" s="24">
        <f t="shared" si="11"/>
        <v>19</v>
      </c>
      <c r="AC34" s="35">
        <f t="shared" si="12"/>
        <v>2.926245211</v>
      </c>
      <c r="AD34" s="24">
        <f t="shared" si="13"/>
        <v>11</v>
      </c>
      <c r="AE34" s="27"/>
      <c r="AF34" s="13" t="s">
        <v>149</v>
      </c>
      <c r="AG34" s="16">
        <f t="shared" si="34"/>
        <v>5.669904625</v>
      </c>
      <c r="AH34" s="108">
        <f>average(9,16)</f>
        <v>12.5</v>
      </c>
      <c r="AI34" s="16">
        <f t="shared" ref="AI34:AI35" si="39">AJ34*2.54</f>
        <v>24.765</v>
      </c>
      <c r="AJ34" s="108">
        <f>average(9,10.5)</f>
        <v>9.75</v>
      </c>
      <c r="AK34" s="27"/>
      <c r="AL34" s="50"/>
      <c r="AM34" s="50"/>
      <c r="AN34" s="50"/>
      <c r="AO34" s="13" t="s">
        <v>157</v>
      </c>
      <c r="AP34" s="13" t="s">
        <v>158</v>
      </c>
      <c r="AQ34" s="13" t="s">
        <v>159</v>
      </c>
      <c r="AR34" s="13">
        <v>97.0</v>
      </c>
      <c r="AS34" s="13" t="s">
        <v>580</v>
      </c>
      <c r="AT34" s="13" t="s">
        <v>581</v>
      </c>
      <c r="AU34" s="50"/>
      <c r="AV34" s="50"/>
      <c r="AW34" s="50"/>
      <c r="AX34" s="42">
        <f t="shared" si="14"/>
        <v>17107.11364</v>
      </c>
      <c r="AY34" s="156">
        <f t="shared" si="15"/>
        <v>0.3218390805</v>
      </c>
      <c r="AZ34" s="42">
        <f>average(500,500,275,1200,400,700,500,600,750,400)</f>
        <v>582.5</v>
      </c>
      <c r="BA34" s="13" t="s">
        <v>146</v>
      </c>
      <c r="BB34" s="13">
        <v>275.0</v>
      </c>
      <c r="BC34" s="13">
        <v>1200.0</v>
      </c>
      <c r="BD34" s="24">
        <f t="shared" si="38"/>
        <v>4</v>
      </c>
      <c r="BE34" s="13">
        <v>4.0</v>
      </c>
      <c r="BF34" s="13">
        <v>4.0</v>
      </c>
      <c r="BG34" s="35">
        <f>IFERROR(__xludf.DUMMYFUNCTION("BD34*GoogleFinance(""CURRENCY:GBPUSD"")"),4.98318)</f>
        <v>4.98318</v>
      </c>
      <c r="BH34" s="157">
        <f t="shared" si="17"/>
        <v>260.0098745</v>
      </c>
      <c r="BI34" s="42">
        <f t="shared" si="18"/>
        <v>3432.130343</v>
      </c>
      <c r="BJ34" s="158"/>
      <c r="BK34" s="42">
        <f t="shared" si="19"/>
        <v>12892.4833</v>
      </c>
      <c r="BL34" s="42">
        <f>IFERROR(__xludf.DUMMYFUNCTION("BM34*GoogleFinance(""CURRENCY:GBPUSD"")"),976.70328)</f>
        <v>976.70328</v>
      </c>
      <c r="BM34" s="24">
        <f t="shared" si="20"/>
        <v>784</v>
      </c>
      <c r="BN34" s="13">
        <v>121.0</v>
      </c>
      <c r="BO34" s="13">
        <v>126.0</v>
      </c>
      <c r="BP34" s="13">
        <v>244.0</v>
      </c>
      <c r="BQ34" s="13">
        <v>177.0</v>
      </c>
      <c r="BR34" s="13">
        <v>116.0</v>
      </c>
      <c r="BS34" s="13">
        <v>200.0</v>
      </c>
      <c r="BT34" s="50"/>
      <c r="BU34" s="53"/>
      <c r="BV34" s="53"/>
      <c r="BW34" s="50"/>
      <c r="BX34" s="50"/>
      <c r="BY34" s="50"/>
      <c r="BZ34" s="50"/>
      <c r="CA34" s="50"/>
    </row>
    <row r="35">
      <c r="A35" s="13" t="s">
        <v>256</v>
      </c>
      <c r="B35" s="27"/>
      <c r="C35" s="13" t="s">
        <v>32</v>
      </c>
      <c r="D35" s="27"/>
      <c r="E35" s="150">
        <v>2.91</v>
      </c>
      <c r="F35" s="13">
        <v>24.0</v>
      </c>
      <c r="G35" s="24">
        <f t="shared" si="3"/>
        <v>24</v>
      </c>
      <c r="H35" s="26">
        <v>21458.0</v>
      </c>
      <c r="I35" s="151">
        <v>0.28</v>
      </c>
      <c r="J35" s="27"/>
      <c r="K35" s="13">
        <v>42.0</v>
      </c>
      <c r="L35" s="152">
        <f t="shared" si="4"/>
        <v>0.5172413793</v>
      </c>
      <c r="M35" s="67">
        <v>12.28</v>
      </c>
      <c r="N35" s="153">
        <f t="shared" si="5"/>
        <v>0.7126436782</v>
      </c>
      <c r="O35" s="13">
        <v>2.0</v>
      </c>
      <c r="P35" s="152">
        <f t="shared" si="6"/>
        <v>0.7777777778</v>
      </c>
      <c r="Q35" s="26">
        <v>565.0</v>
      </c>
      <c r="R35" s="153">
        <f t="shared" si="7"/>
        <v>0.816091954</v>
      </c>
      <c r="S35" s="26">
        <v>466.3820615625</v>
      </c>
      <c r="T35" s="153">
        <f t="shared" si="8"/>
        <v>0.2298850575</v>
      </c>
      <c r="U35" s="13">
        <v>2.0</v>
      </c>
      <c r="V35" s="154">
        <v>0.75</v>
      </c>
      <c r="W35" s="13">
        <v>2.0</v>
      </c>
      <c r="X35" s="151">
        <v>0.5</v>
      </c>
      <c r="Y35" s="27"/>
      <c r="Z35" s="35">
        <f t="shared" si="9"/>
        <v>3.780651341</v>
      </c>
      <c r="AA35" s="24">
        <f t="shared" si="10"/>
        <v>31</v>
      </c>
      <c r="AB35" s="24">
        <f t="shared" si="11"/>
        <v>46</v>
      </c>
      <c r="AC35" s="35">
        <f t="shared" si="12"/>
        <v>2.905651341</v>
      </c>
      <c r="AD35" s="24">
        <f t="shared" si="13"/>
        <v>24</v>
      </c>
      <c r="AE35" s="27"/>
      <c r="AF35" s="13" t="s">
        <v>148</v>
      </c>
      <c r="AG35" s="107" t="s">
        <v>150</v>
      </c>
      <c r="AH35" s="107" t="s">
        <v>150</v>
      </c>
      <c r="AI35" s="16">
        <f t="shared" si="39"/>
        <v>52.07</v>
      </c>
      <c r="AJ35" s="108">
        <f>average(18,23)</f>
        <v>20.5</v>
      </c>
      <c r="AK35" s="27"/>
      <c r="AL35" s="50"/>
      <c r="AM35" s="50"/>
      <c r="AN35" s="50"/>
      <c r="AO35" s="13" t="s">
        <v>184</v>
      </c>
      <c r="AP35" s="159" t="s">
        <v>185</v>
      </c>
      <c r="AQ35" s="13" t="s">
        <v>187</v>
      </c>
      <c r="AR35" s="13">
        <v>641.0</v>
      </c>
      <c r="AS35" s="13" t="s">
        <v>257</v>
      </c>
      <c r="AT35" s="13" t="s">
        <v>258</v>
      </c>
      <c r="AU35" s="50"/>
      <c r="AV35" s="50"/>
      <c r="AW35" s="50"/>
      <c r="AX35" s="42">
        <f t="shared" si="14"/>
        <v>17348.74059</v>
      </c>
      <c r="AY35" s="156">
        <f t="shared" si="15"/>
        <v>0.2873563218</v>
      </c>
      <c r="AZ35" s="42">
        <f>average(250,300,600,350,1000,400,350,500,1200,700)</f>
        <v>565</v>
      </c>
      <c r="BA35" s="13" t="s">
        <v>146</v>
      </c>
      <c r="BB35" s="13">
        <v>250.0</v>
      </c>
      <c r="BC35" s="13">
        <v>1000.0</v>
      </c>
      <c r="BD35" s="24">
        <f t="shared" si="38"/>
        <v>5.75</v>
      </c>
      <c r="BE35" s="13">
        <v>4.0</v>
      </c>
      <c r="BF35" s="13">
        <v>7.5</v>
      </c>
      <c r="BG35" s="35">
        <f>IFERROR(__xludf.DUMMYFUNCTION("BD35*GoogleFinance(""CURRENCY:GBPUSD"")"),7.16332125)</f>
        <v>7.16332125</v>
      </c>
      <c r="BH35" s="157">
        <f t="shared" si="17"/>
        <v>373.7641945</v>
      </c>
      <c r="BI35" s="42">
        <f t="shared" si="18"/>
        <v>4589.824309</v>
      </c>
      <c r="BJ35" s="158"/>
      <c r="BK35" s="42">
        <f t="shared" si="19"/>
        <v>11993.91628</v>
      </c>
      <c r="BL35" s="42">
        <f>IFERROR(__xludf.DUMMYFUNCTION("BM35*GoogleFinance(""CURRENCY:GBPUSD"")"),976.70328)</f>
        <v>976.70328</v>
      </c>
      <c r="BM35" s="24">
        <f t="shared" si="20"/>
        <v>784</v>
      </c>
      <c r="BN35" s="13">
        <v>121.0</v>
      </c>
      <c r="BO35" s="13">
        <v>126.0</v>
      </c>
      <c r="BP35" s="13">
        <v>244.0</v>
      </c>
      <c r="BQ35" s="13">
        <v>177.0</v>
      </c>
      <c r="BR35" s="13">
        <v>116.0</v>
      </c>
      <c r="BS35" s="13">
        <v>200.0</v>
      </c>
      <c r="BT35" s="50"/>
      <c r="BU35" s="53"/>
      <c r="BV35" s="53"/>
      <c r="BW35" s="50"/>
      <c r="BX35" s="50"/>
      <c r="BY35" s="50"/>
      <c r="BZ35" s="50"/>
      <c r="CA35" s="50"/>
    </row>
    <row r="36">
      <c r="A36" s="13" t="s">
        <v>585</v>
      </c>
      <c r="B36" s="27"/>
      <c r="C36" s="13" t="s">
        <v>43</v>
      </c>
      <c r="D36" s="27"/>
      <c r="E36" s="150">
        <v>2.85</v>
      </c>
      <c r="F36" s="13">
        <v>5.0</v>
      </c>
      <c r="G36" s="24">
        <f t="shared" si="3"/>
        <v>5</v>
      </c>
      <c r="H36" s="26">
        <v>20701.0</v>
      </c>
      <c r="I36" s="151">
        <v>0.39</v>
      </c>
      <c r="J36" s="27"/>
      <c r="K36" s="13">
        <v>27.0</v>
      </c>
      <c r="L36" s="152">
        <f t="shared" si="4"/>
        <v>0.7471264368</v>
      </c>
      <c r="M36" s="67">
        <v>12.6</v>
      </c>
      <c r="N36" s="153">
        <f t="shared" si="5"/>
        <v>0.8390804598</v>
      </c>
      <c r="O36" s="13">
        <v>4.0</v>
      </c>
      <c r="P36" s="152">
        <f t="shared" si="6"/>
        <v>0.5555555556</v>
      </c>
      <c r="Q36" s="26">
        <v>1057.0</v>
      </c>
      <c r="R36" s="153">
        <f t="shared" si="7"/>
        <v>0.2298850575</v>
      </c>
      <c r="S36" s="26">
        <v>324.439695</v>
      </c>
      <c r="T36" s="153">
        <f t="shared" si="8"/>
        <v>0.6781609195</v>
      </c>
      <c r="U36" s="13">
        <v>1.0</v>
      </c>
      <c r="V36" s="154">
        <v>0.5</v>
      </c>
      <c r="W36" s="13">
        <v>3.0</v>
      </c>
      <c r="X36" s="151">
        <v>0.0</v>
      </c>
      <c r="Y36" s="27"/>
      <c r="Z36" s="35">
        <f t="shared" si="9"/>
        <v>3.095785441</v>
      </c>
      <c r="AA36" s="24">
        <f t="shared" si="10"/>
        <v>32</v>
      </c>
      <c r="AB36" s="24">
        <f t="shared" si="11"/>
        <v>69</v>
      </c>
      <c r="AC36" s="35">
        <f t="shared" si="12"/>
        <v>2.845785441</v>
      </c>
      <c r="AD36" s="24">
        <f t="shared" si="13"/>
        <v>5</v>
      </c>
      <c r="AE36" s="27"/>
      <c r="AF36" s="13" t="s">
        <v>149</v>
      </c>
      <c r="AG36" s="16">
        <f t="shared" ref="AG36:AG37" si="40">AH36*0.45359237</f>
        <v>2.494758035</v>
      </c>
      <c r="AH36" s="108">
        <f>average(4,7)</f>
        <v>5.5</v>
      </c>
      <c r="AI36" s="107" t="s">
        <v>150</v>
      </c>
      <c r="AJ36" s="107" t="s">
        <v>150</v>
      </c>
      <c r="AK36" s="27"/>
      <c r="AL36" s="50"/>
      <c r="AM36" s="50"/>
      <c r="AN36" s="50"/>
      <c r="AO36" s="13" t="s">
        <v>142</v>
      </c>
      <c r="AP36" s="13" t="s">
        <v>143</v>
      </c>
      <c r="AQ36" s="13" t="s">
        <v>144</v>
      </c>
      <c r="AR36" s="13">
        <v>63.0</v>
      </c>
      <c r="AS36" s="13" t="s">
        <v>587</v>
      </c>
      <c r="AT36" s="13" t="s">
        <v>588</v>
      </c>
      <c r="AU36" s="50"/>
      <c r="AV36" s="50"/>
      <c r="AW36" s="50"/>
      <c r="AX36" s="42">
        <f t="shared" si="14"/>
        <v>16839.58575</v>
      </c>
      <c r="AY36" s="156">
        <f t="shared" si="15"/>
        <v>0.3793103448</v>
      </c>
      <c r="AZ36" s="42">
        <f>average(1000,1200,700,1000,495,2000,2800,700,400,275)</f>
        <v>1057</v>
      </c>
      <c r="BA36" s="13" t="s">
        <v>160</v>
      </c>
      <c r="BB36" s="13">
        <v>275.0</v>
      </c>
      <c r="BC36" s="13">
        <v>2800.0</v>
      </c>
      <c r="BD36" s="24">
        <f t="shared" si="38"/>
        <v>4</v>
      </c>
      <c r="BE36" s="13">
        <v>4.0</v>
      </c>
      <c r="BF36" s="13">
        <v>4.0</v>
      </c>
      <c r="BG36" s="35">
        <f>IFERROR(__xludf.DUMMYFUNCTION("BD36*GoogleFinance(""CURRENCY:GBPUSD"")"),4.98318)</f>
        <v>4.98318</v>
      </c>
      <c r="BH36" s="157">
        <f t="shared" si="17"/>
        <v>260.0098745</v>
      </c>
      <c r="BI36" s="42">
        <f t="shared" si="18"/>
        <v>3276.124418</v>
      </c>
      <c r="BJ36" s="158"/>
      <c r="BK36" s="42">
        <f t="shared" si="19"/>
        <v>12306.46133</v>
      </c>
      <c r="BL36" s="42">
        <f>IFERROR(__xludf.DUMMYFUNCTION("BM36*GoogleFinance(""CURRENCY:GBPUSD"")"),976.70328)</f>
        <v>976.70328</v>
      </c>
      <c r="BM36" s="24">
        <f t="shared" si="20"/>
        <v>784</v>
      </c>
      <c r="BN36" s="13">
        <v>121.0</v>
      </c>
      <c r="BO36" s="13">
        <v>126.0</v>
      </c>
      <c r="BP36" s="13">
        <v>244.0</v>
      </c>
      <c r="BQ36" s="13">
        <v>177.0</v>
      </c>
      <c r="BR36" s="13">
        <v>116.0</v>
      </c>
      <c r="BS36" s="13">
        <v>200.0</v>
      </c>
      <c r="BT36" s="50"/>
      <c r="BU36" s="53"/>
      <c r="BV36" s="53"/>
      <c r="BW36" s="50"/>
      <c r="BX36" s="50"/>
      <c r="BY36" s="50"/>
      <c r="BZ36" s="50"/>
      <c r="CA36" s="50"/>
    </row>
    <row r="37">
      <c r="A37" s="13" t="s">
        <v>590</v>
      </c>
      <c r="B37" s="27"/>
      <c r="C37" s="13" t="s">
        <v>27</v>
      </c>
      <c r="D37" s="27"/>
      <c r="E37" s="150">
        <v>2.84</v>
      </c>
      <c r="F37" s="13">
        <v>70.0</v>
      </c>
      <c r="G37" s="24">
        <f t="shared" si="3"/>
        <v>56</v>
      </c>
      <c r="H37" s="26">
        <v>20323.0</v>
      </c>
      <c r="I37" s="151">
        <v>0.45</v>
      </c>
      <c r="J37" s="27"/>
      <c r="K37" s="13">
        <v>35.0</v>
      </c>
      <c r="L37" s="152">
        <f t="shared" si="4"/>
        <v>0.6091954023</v>
      </c>
      <c r="M37" s="67">
        <v>11.63</v>
      </c>
      <c r="N37" s="153">
        <f t="shared" si="5"/>
        <v>0.5287356322</v>
      </c>
      <c r="O37" s="13">
        <v>2.0</v>
      </c>
      <c r="P37" s="152">
        <f t="shared" si="6"/>
        <v>0.7777777778</v>
      </c>
      <c r="Q37" s="26">
        <v>525.0</v>
      </c>
      <c r="R37" s="153">
        <f t="shared" si="7"/>
        <v>0.8620689655</v>
      </c>
      <c r="S37" s="26">
        <v>466.3820615625</v>
      </c>
      <c r="T37" s="153">
        <f t="shared" si="8"/>
        <v>0.2298850575</v>
      </c>
      <c r="U37" s="13">
        <v>2.0</v>
      </c>
      <c r="V37" s="154">
        <v>0.75</v>
      </c>
      <c r="W37" s="13">
        <v>1.0</v>
      </c>
      <c r="X37" s="153">
        <f>100%</f>
        <v>1</v>
      </c>
      <c r="Y37" s="27"/>
      <c r="Z37" s="35">
        <f t="shared" si="9"/>
        <v>4.211685824</v>
      </c>
      <c r="AA37" s="24">
        <f t="shared" si="10"/>
        <v>33</v>
      </c>
      <c r="AB37" s="24">
        <f t="shared" si="11"/>
        <v>17</v>
      </c>
      <c r="AC37" s="35">
        <f t="shared" si="12"/>
        <v>2.836685824</v>
      </c>
      <c r="AD37" s="24">
        <f t="shared" si="13"/>
        <v>70</v>
      </c>
      <c r="AE37" s="27"/>
      <c r="AF37" s="13" t="s">
        <v>166</v>
      </c>
      <c r="AG37" s="16">
        <f t="shared" si="40"/>
        <v>29.48350405</v>
      </c>
      <c r="AH37" s="108">
        <f>average(60,70)</f>
        <v>65</v>
      </c>
      <c r="AI37" s="16">
        <f t="shared" ref="AI37:AI38" si="41">AJ37*2.54</f>
        <v>66.04</v>
      </c>
      <c r="AJ37" s="108">
        <f>average(25,27)</f>
        <v>26</v>
      </c>
      <c r="AK37" s="27"/>
      <c r="AL37" s="50"/>
      <c r="AM37" s="50"/>
      <c r="AN37" s="50"/>
      <c r="AO37" s="13" t="s">
        <v>142</v>
      </c>
      <c r="AP37" s="13" t="s">
        <v>143</v>
      </c>
      <c r="AQ37" s="13" t="s">
        <v>144</v>
      </c>
      <c r="AR37" s="13">
        <v>922.0</v>
      </c>
      <c r="AS37" s="13" t="s">
        <v>592</v>
      </c>
      <c r="AT37" s="13" t="s">
        <v>593</v>
      </c>
      <c r="AU37" s="50"/>
      <c r="AV37" s="50"/>
      <c r="AW37" s="50"/>
      <c r="AX37" s="42">
        <f t="shared" si="14"/>
        <v>16430.93673</v>
      </c>
      <c r="AY37" s="156">
        <f t="shared" si="15"/>
        <v>0.4482758621</v>
      </c>
      <c r="AZ37" s="42">
        <f>average(600,500,600,400,600,400,300,1000,300,550)</f>
        <v>525</v>
      </c>
      <c r="BA37" s="13" t="s">
        <v>146</v>
      </c>
      <c r="BB37" s="13">
        <v>300.0</v>
      </c>
      <c r="BC37" s="13">
        <v>1000.0</v>
      </c>
      <c r="BD37" s="24">
        <f t="shared" si="38"/>
        <v>5.75</v>
      </c>
      <c r="BE37" s="13">
        <v>4.0</v>
      </c>
      <c r="BF37" s="13">
        <v>7.5</v>
      </c>
      <c r="BG37" s="35">
        <f>IFERROR(__xludf.DUMMYFUNCTION("BD37*GoogleFinance(""CURRENCY:GBPUSD"")"),7.16332125)</f>
        <v>7.16332125</v>
      </c>
      <c r="BH37" s="157">
        <f t="shared" si="17"/>
        <v>373.7641945</v>
      </c>
      <c r="BI37" s="42">
        <f t="shared" si="18"/>
        <v>4346.877582</v>
      </c>
      <c r="BJ37" s="158"/>
      <c r="BK37" s="42">
        <f t="shared" si="19"/>
        <v>11359.05915</v>
      </c>
      <c r="BL37" s="42">
        <f>IFERROR(__xludf.DUMMYFUNCTION("BM37*GoogleFinance(""CURRENCY:GBPUSD"")"),976.70328)</f>
        <v>976.70328</v>
      </c>
      <c r="BM37" s="24">
        <f t="shared" si="20"/>
        <v>784</v>
      </c>
      <c r="BN37" s="13">
        <v>121.0</v>
      </c>
      <c r="BO37" s="13">
        <v>126.0</v>
      </c>
      <c r="BP37" s="13">
        <v>244.0</v>
      </c>
      <c r="BQ37" s="13">
        <v>177.0</v>
      </c>
      <c r="BR37" s="13">
        <v>116.0</v>
      </c>
      <c r="BS37" s="13">
        <v>200.0</v>
      </c>
      <c r="BT37" s="50"/>
      <c r="BU37" s="53"/>
      <c r="BV37" s="53"/>
      <c r="BW37" s="50"/>
      <c r="BX37" s="50"/>
      <c r="BY37" s="50"/>
      <c r="BZ37" s="50"/>
      <c r="CA37" s="50"/>
    </row>
    <row r="38">
      <c r="A38" s="13" t="s">
        <v>595</v>
      </c>
      <c r="B38" s="27"/>
      <c r="C38" s="13" t="s">
        <v>53</v>
      </c>
      <c r="D38" s="27"/>
      <c r="E38" s="150">
        <v>2.81</v>
      </c>
      <c r="F38" s="13">
        <v>151.0</v>
      </c>
      <c r="G38" s="24">
        <f t="shared" si="3"/>
        <v>86</v>
      </c>
      <c r="H38" s="26">
        <v>21047.0</v>
      </c>
      <c r="I38" s="151">
        <v>0.33</v>
      </c>
      <c r="J38" s="27"/>
      <c r="K38" s="13">
        <v>37.0</v>
      </c>
      <c r="L38" s="152">
        <f t="shared" si="4"/>
        <v>0.5632183908</v>
      </c>
      <c r="M38" s="67">
        <v>11.83</v>
      </c>
      <c r="N38" s="153">
        <f t="shared" si="5"/>
        <v>0.5747126437</v>
      </c>
      <c r="O38" s="13">
        <v>0.0</v>
      </c>
      <c r="P38" s="152">
        <f t="shared" si="6"/>
        <v>1</v>
      </c>
      <c r="Q38" s="26">
        <v>912.5</v>
      </c>
      <c r="R38" s="153">
        <f t="shared" si="7"/>
        <v>0.367816092</v>
      </c>
      <c r="S38" s="26">
        <v>466.3820615625</v>
      </c>
      <c r="T38" s="153">
        <f t="shared" si="8"/>
        <v>0.2298850575</v>
      </c>
      <c r="U38" s="13">
        <v>2.0</v>
      </c>
      <c r="V38" s="154">
        <v>0.75</v>
      </c>
      <c r="W38" s="13">
        <v>2.0</v>
      </c>
      <c r="X38" s="151">
        <v>0.5</v>
      </c>
      <c r="Y38" s="27"/>
      <c r="Z38" s="35">
        <f t="shared" si="9"/>
        <v>3.686781609</v>
      </c>
      <c r="AA38" s="24">
        <f t="shared" si="10"/>
        <v>34</v>
      </c>
      <c r="AB38" s="24">
        <f t="shared" si="11"/>
        <v>47</v>
      </c>
      <c r="AC38" s="35">
        <f t="shared" si="12"/>
        <v>2.811781609</v>
      </c>
      <c r="AD38" s="24">
        <f t="shared" si="13"/>
        <v>151</v>
      </c>
      <c r="AE38" s="27"/>
      <c r="AF38" s="13" t="s">
        <v>148</v>
      </c>
      <c r="AG38" s="107" t="s">
        <v>150</v>
      </c>
      <c r="AH38" s="107" t="s">
        <v>150</v>
      </c>
      <c r="AI38" s="16">
        <f t="shared" si="41"/>
        <v>58.42</v>
      </c>
      <c r="AJ38" s="108">
        <f>average(21,25)</f>
        <v>23</v>
      </c>
      <c r="AK38" s="27"/>
      <c r="AL38" s="13" t="s">
        <v>597</v>
      </c>
      <c r="AM38" s="50"/>
      <c r="AN38" s="50"/>
      <c r="AO38" s="13" t="s">
        <v>142</v>
      </c>
      <c r="AP38" s="13" t="s">
        <v>143</v>
      </c>
      <c r="AQ38" s="13" t="s">
        <v>144</v>
      </c>
      <c r="AR38" s="13">
        <v>15.0</v>
      </c>
      <c r="AS38" s="13" t="s">
        <v>145</v>
      </c>
      <c r="AT38" s="13" t="s">
        <v>145</v>
      </c>
      <c r="AU38" s="50"/>
      <c r="AV38" s="50"/>
      <c r="AW38" s="50"/>
      <c r="AX38" s="42">
        <f t="shared" si="14"/>
        <v>17088.53022</v>
      </c>
      <c r="AY38" s="156">
        <f t="shared" si="15"/>
        <v>0.3448275862</v>
      </c>
      <c r="AZ38" s="42">
        <f>average(1000,475,1000,1000,1000,1000)</f>
        <v>912.5</v>
      </c>
      <c r="BA38" s="13" t="s">
        <v>160</v>
      </c>
      <c r="BB38" s="13">
        <v>475.0</v>
      </c>
      <c r="BC38" s="13">
        <v>1000.0</v>
      </c>
      <c r="BD38" s="24">
        <f t="shared" si="38"/>
        <v>5.75</v>
      </c>
      <c r="BE38" s="13">
        <v>4.0</v>
      </c>
      <c r="BF38" s="13">
        <v>7.5</v>
      </c>
      <c r="BG38" s="35">
        <f>IFERROR(__xludf.DUMMYFUNCTION("BD38*GoogleFinance(""CURRENCY:GBPUSD"")"),7.16332125)</f>
        <v>7.16332125</v>
      </c>
      <c r="BH38" s="157">
        <f t="shared" si="17"/>
        <v>373.7641945</v>
      </c>
      <c r="BI38" s="42">
        <f t="shared" si="18"/>
        <v>4421.630421</v>
      </c>
      <c r="BJ38" s="158"/>
      <c r="BK38" s="42">
        <f t="shared" si="19"/>
        <v>11554.3998</v>
      </c>
      <c r="BL38" s="42">
        <f>IFERROR(__xludf.DUMMYFUNCTION("BM38*GoogleFinance(""CURRENCY:GBPUSD"")"),976.70328)</f>
        <v>976.70328</v>
      </c>
      <c r="BM38" s="24">
        <f t="shared" si="20"/>
        <v>784</v>
      </c>
      <c r="BN38" s="13">
        <v>121.0</v>
      </c>
      <c r="BO38" s="13">
        <v>126.0</v>
      </c>
      <c r="BP38" s="13">
        <v>244.0</v>
      </c>
      <c r="BQ38" s="13">
        <v>177.0</v>
      </c>
      <c r="BR38" s="13">
        <v>116.0</v>
      </c>
      <c r="BS38" s="13">
        <v>200.0</v>
      </c>
      <c r="BT38" s="50"/>
      <c r="BU38" s="53"/>
      <c r="BV38" s="53"/>
      <c r="BW38" s="50"/>
      <c r="BX38" s="50"/>
      <c r="BY38" s="50"/>
      <c r="BZ38" s="50"/>
      <c r="CA38" s="50"/>
    </row>
    <row r="39">
      <c r="A39" s="13" t="s">
        <v>445</v>
      </c>
      <c r="B39" s="27"/>
      <c r="C39" s="13" t="s">
        <v>43</v>
      </c>
      <c r="D39" s="27"/>
      <c r="E39" s="150">
        <v>2.8</v>
      </c>
      <c r="F39" s="13">
        <v>77.0</v>
      </c>
      <c r="G39" s="24">
        <f t="shared" si="3"/>
        <v>59</v>
      </c>
      <c r="H39" s="26">
        <v>19551.0</v>
      </c>
      <c r="I39" s="151">
        <v>0.57</v>
      </c>
      <c r="J39" s="27"/>
      <c r="K39" s="13">
        <v>59.0</v>
      </c>
      <c r="L39" s="152">
        <f t="shared" si="4"/>
        <v>0.2528735632</v>
      </c>
      <c r="M39" s="67">
        <v>12.0</v>
      </c>
      <c r="N39" s="153">
        <f t="shared" si="5"/>
        <v>0.6091954023</v>
      </c>
      <c r="O39" s="13">
        <v>0.0</v>
      </c>
      <c r="P39" s="152">
        <f t="shared" si="6"/>
        <v>1</v>
      </c>
      <c r="Q39" s="26">
        <v>832.5</v>
      </c>
      <c r="R39" s="153">
        <f t="shared" si="7"/>
        <v>0.4482758621</v>
      </c>
      <c r="S39" s="26">
        <v>324.439695</v>
      </c>
      <c r="T39" s="153">
        <f t="shared" si="8"/>
        <v>0.6781609195</v>
      </c>
      <c r="U39" s="13">
        <v>2.0</v>
      </c>
      <c r="V39" s="154">
        <v>0.75</v>
      </c>
      <c r="W39" s="13">
        <v>3.0</v>
      </c>
      <c r="X39" s="151">
        <v>0.0</v>
      </c>
      <c r="Y39" s="27"/>
      <c r="Z39" s="35">
        <f t="shared" si="9"/>
        <v>3.175287356</v>
      </c>
      <c r="AA39" s="24">
        <f t="shared" si="10"/>
        <v>36</v>
      </c>
      <c r="AB39" s="24">
        <f t="shared" si="11"/>
        <v>66</v>
      </c>
      <c r="AC39" s="35">
        <f t="shared" si="12"/>
        <v>2.800287356</v>
      </c>
      <c r="AD39" s="24">
        <f t="shared" si="13"/>
        <v>77</v>
      </c>
      <c r="AE39" s="27"/>
      <c r="AF39" s="13" t="s">
        <v>149</v>
      </c>
      <c r="AG39" s="16">
        <f t="shared" ref="AG39:AG40" si="42">AH39*0.45359237</f>
        <v>4.08233133</v>
      </c>
      <c r="AH39" s="108">
        <f>average(8,10)</f>
        <v>9</v>
      </c>
      <c r="AI39" s="107" t="s">
        <v>150</v>
      </c>
      <c r="AJ39" s="107" t="s">
        <v>150</v>
      </c>
      <c r="AK39" s="27"/>
      <c r="AL39" s="50"/>
      <c r="AM39" s="50"/>
      <c r="AN39" s="50"/>
      <c r="AO39" s="13" t="s">
        <v>400</v>
      </c>
      <c r="AP39" s="13" t="s">
        <v>401</v>
      </c>
      <c r="AQ39" s="13" t="s">
        <v>402</v>
      </c>
      <c r="AR39" s="13">
        <v>71.0</v>
      </c>
      <c r="AS39" s="13" t="s">
        <v>145</v>
      </c>
      <c r="AT39" s="13" t="s">
        <v>145</v>
      </c>
      <c r="AU39" s="50"/>
      <c r="AV39" s="50"/>
      <c r="AW39" s="50"/>
      <c r="AX39" s="42">
        <f t="shared" si="14"/>
        <v>15873.05785</v>
      </c>
      <c r="AY39" s="156">
        <f t="shared" si="15"/>
        <v>0.5632183908</v>
      </c>
      <c r="AZ39" s="42">
        <f>average(500,700,725,650,750,500,800,1000,1500,1200)</f>
        <v>832.5</v>
      </c>
      <c r="BA39" s="13" t="s">
        <v>160</v>
      </c>
      <c r="BB39" s="13">
        <v>500.0</v>
      </c>
      <c r="BC39" s="13">
        <v>1500.0</v>
      </c>
      <c r="BD39" s="24">
        <f t="shared" si="38"/>
        <v>4</v>
      </c>
      <c r="BE39" s="13">
        <v>4.0</v>
      </c>
      <c r="BF39" s="13">
        <v>4.0</v>
      </c>
      <c r="BG39" s="35">
        <f>IFERROR(__xludf.DUMMYFUNCTION("BD39*GoogleFinance(""CURRENCY:GBPUSD"")"),4.98318)</f>
        <v>4.98318</v>
      </c>
      <c r="BH39" s="157">
        <f t="shared" si="17"/>
        <v>260.0098745</v>
      </c>
      <c r="BI39" s="42">
        <f t="shared" si="18"/>
        <v>3120.118493</v>
      </c>
      <c r="BJ39" s="158"/>
      <c r="BK39" s="42">
        <f t="shared" si="19"/>
        <v>11720.43936</v>
      </c>
      <c r="BL39" s="42">
        <f>IFERROR(__xludf.DUMMYFUNCTION("BM39*GoogleFinance(""CURRENCY:GBPUSD"")"),976.70328)</f>
        <v>976.70328</v>
      </c>
      <c r="BM39" s="24">
        <f t="shared" si="20"/>
        <v>784</v>
      </c>
      <c r="BN39" s="13">
        <v>121.0</v>
      </c>
      <c r="BO39" s="13">
        <v>126.0</v>
      </c>
      <c r="BP39" s="13">
        <v>244.0</v>
      </c>
      <c r="BQ39" s="13">
        <v>177.0</v>
      </c>
      <c r="BR39" s="13">
        <v>116.0</v>
      </c>
      <c r="BS39" s="13">
        <v>200.0</v>
      </c>
      <c r="BT39" s="50"/>
      <c r="BU39" s="53"/>
      <c r="BV39" s="53"/>
      <c r="BW39" s="50"/>
      <c r="BX39" s="50"/>
      <c r="BY39" s="50"/>
      <c r="BZ39" s="50"/>
      <c r="CA39" s="50"/>
    </row>
    <row r="40">
      <c r="A40" s="13" t="s">
        <v>36</v>
      </c>
      <c r="B40" s="27"/>
      <c r="C40" s="13" t="s">
        <v>27</v>
      </c>
      <c r="D40" s="27"/>
      <c r="E40" s="150">
        <v>2.8</v>
      </c>
      <c r="F40" s="13">
        <v>4.0</v>
      </c>
      <c r="G40" s="24">
        <f t="shared" si="3"/>
        <v>4</v>
      </c>
      <c r="H40" s="26">
        <v>21447.0</v>
      </c>
      <c r="I40" s="151">
        <v>0.29</v>
      </c>
      <c r="J40" s="27"/>
      <c r="K40" s="13">
        <v>4.0</v>
      </c>
      <c r="L40" s="152">
        <f t="shared" si="4"/>
        <v>0.9655172414</v>
      </c>
      <c r="M40" s="67">
        <v>12.04</v>
      </c>
      <c r="N40" s="153">
        <f t="shared" si="5"/>
        <v>0.632183908</v>
      </c>
      <c r="O40" s="13">
        <v>4.0</v>
      </c>
      <c r="P40" s="152">
        <f t="shared" si="6"/>
        <v>0.5555555556</v>
      </c>
      <c r="Q40" s="26">
        <v>958.333333333333</v>
      </c>
      <c r="R40" s="153">
        <f t="shared" si="7"/>
        <v>0.3103448276</v>
      </c>
      <c r="S40" s="26">
        <v>466.3820615625</v>
      </c>
      <c r="T40" s="153">
        <f t="shared" si="8"/>
        <v>0.2298850575</v>
      </c>
      <c r="U40" s="13">
        <v>2.0</v>
      </c>
      <c r="V40" s="154">
        <v>0.75</v>
      </c>
      <c r="W40" s="13">
        <v>1.0</v>
      </c>
      <c r="X40" s="153">
        <f t="shared" ref="X40:X43" si="43">100%</f>
        <v>1</v>
      </c>
      <c r="Y40" s="27"/>
      <c r="Z40" s="35">
        <f t="shared" si="9"/>
        <v>4.173371648</v>
      </c>
      <c r="AA40" s="24">
        <f t="shared" si="10"/>
        <v>37</v>
      </c>
      <c r="AB40" s="24">
        <f t="shared" si="11"/>
        <v>20</v>
      </c>
      <c r="AC40" s="35">
        <f t="shared" si="12"/>
        <v>2.798371648</v>
      </c>
      <c r="AD40" s="24">
        <f t="shared" si="13"/>
        <v>4</v>
      </c>
      <c r="AE40" s="27"/>
      <c r="AF40" s="13" t="s">
        <v>148</v>
      </c>
      <c r="AG40" s="16">
        <f t="shared" si="42"/>
        <v>27.2155422</v>
      </c>
      <c r="AH40" s="108">
        <f>average(55,65)</f>
        <v>60</v>
      </c>
      <c r="AI40" s="16">
        <f t="shared" ref="AI40:AI50" si="44">AJ40*2.54</f>
        <v>57.785</v>
      </c>
      <c r="AJ40" s="108">
        <f>average(21.5,24)</f>
        <v>22.75</v>
      </c>
      <c r="AK40" s="27"/>
      <c r="AL40" s="50"/>
      <c r="AM40" s="50"/>
      <c r="AN40" s="50"/>
      <c r="AO40" s="13" t="s">
        <v>250</v>
      </c>
      <c r="AP40" s="13" t="s">
        <v>251</v>
      </c>
      <c r="AQ40" s="13" t="s">
        <v>252</v>
      </c>
      <c r="AR40" s="13">
        <v>1314.0</v>
      </c>
      <c r="AS40" s="13" t="s">
        <v>605</v>
      </c>
      <c r="AT40" s="13" t="s">
        <v>606</v>
      </c>
      <c r="AU40" s="50"/>
      <c r="AV40" s="50"/>
      <c r="AW40" s="50"/>
      <c r="AX40" s="42">
        <f t="shared" si="14"/>
        <v>17417.96173</v>
      </c>
      <c r="AY40" s="156">
        <f t="shared" si="15"/>
        <v>0.275862069</v>
      </c>
      <c r="AZ40" s="42">
        <f>average(1500,800,325,800,2500,700,800,700,500)</f>
        <v>958.3333333</v>
      </c>
      <c r="BA40" s="13" t="s">
        <v>160</v>
      </c>
      <c r="BB40" s="13">
        <v>325.0</v>
      </c>
      <c r="BC40" s="13">
        <v>2500.0</v>
      </c>
      <c r="BD40" s="24">
        <f t="shared" si="38"/>
        <v>5.75</v>
      </c>
      <c r="BE40" s="13">
        <v>4.0</v>
      </c>
      <c r="BF40" s="13">
        <v>7.5</v>
      </c>
      <c r="BG40" s="35">
        <f>IFERROR(__xludf.DUMMYFUNCTION("BD40*GoogleFinance(""CURRENCY:GBPUSD"")"),7.16332125)</f>
        <v>7.16332125</v>
      </c>
      <c r="BH40" s="157">
        <f t="shared" si="17"/>
        <v>373.7641945</v>
      </c>
      <c r="BI40" s="42">
        <f t="shared" si="18"/>
        <v>4500.120902</v>
      </c>
      <c r="BJ40" s="158"/>
      <c r="BK40" s="42">
        <f t="shared" si="19"/>
        <v>11759.50749</v>
      </c>
      <c r="BL40" s="42">
        <f>IFERROR(__xludf.DUMMYFUNCTION("BM40*GoogleFinance(""CURRENCY:GBPUSD"")"),976.70328)</f>
        <v>976.70328</v>
      </c>
      <c r="BM40" s="24">
        <f t="shared" si="20"/>
        <v>784</v>
      </c>
      <c r="BN40" s="13">
        <v>121.0</v>
      </c>
      <c r="BO40" s="13">
        <v>126.0</v>
      </c>
      <c r="BP40" s="13">
        <v>244.0</v>
      </c>
      <c r="BQ40" s="13">
        <v>177.0</v>
      </c>
      <c r="BR40" s="13">
        <v>116.0</v>
      </c>
      <c r="BS40" s="13">
        <v>200.0</v>
      </c>
      <c r="BT40" s="50"/>
      <c r="BU40" s="53"/>
      <c r="BV40" s="53"/>
      <c r="BW40" s="50"/>
      <c r="BX40" s="50"/>
      <c r="BY40" s="50"/>
      <c r="BZ40" s="50"/>
      <c r="CA40" s="50"/>
    </row>
    <row r="41">
      <c r="A41" s="13" t="s">
        <v>609</v>
      </c>
      <c r="B41" s="181"/>
      <c r="C41" s="13" t="s">
        <v>38</v>
      </c>
      <c r="D41" s="27"/>
      <c r="E41" s="150">
        <v>2.8</v>
      </c>
      <c r="F41" s="13">
        <v>69.0</v>
      </c>
      <c r="G41" s="24">
        <f t="shared" si="3"/>
        <v>55</v>
      </c>
      <c r="H41" s="26">
        <v>25352.0</v>
      </c>
      <c r="I41" s="151">
        <v>0.06</v>
      </c>
      <c r="J41" s="27"/>
      <c r="K41" s="13">
        <v>33.0</v>
      </c>
      <c r="L41" s="152">
        <f t="shared" si="4"/>
        <v>0.6781609195</v>
      </c>
      <c r="M41" s="67">
        <v>12.44</v>
      </c>
      <c r="N41" s="153">
        <f t="shared" si="5"/>
        <v>0.7586206897</v>
      </c>
      <c r="O41" s="13">
        <v>1.0</v>
      </c>
      <c r="P41" s="152">
        <f t="shared" si="6"/>
        <v>0.8888888889</v>
      </c>
      <c r="Q41" s="26">
        <v>1162.0</v>
      </c>
      <c r="R41" s="153">
        <f t="shared" si="7"/>
        <v>0.1494252874</v>
      </c>
      <c r="S41" s="26">
        <v>709.7118328125</v>
      </c>
      <c r="T41" s="153">
        <f t="shared" si="8"/>
        <v>0.05747126437</v>
      </c>
      <c r="U41" s="13">
        <v>2.0</v>
      </c>
      <c r="V41" s="154">
        <v>0.75</v>
      </c>
      <c r="W41" s="13">
        <v>1.0</v>
      </c>
      <c r="X41" s="153">
        <f t="shared" si="43"/>
        <v>1</v>
      </c>
      <c r="Y41" s="27"/>
      <c r="Z41" s="35">
        <f t="shared" si="9"/>
        <v>4.179118774</v>
      </c>
      <c r="AA41" s="24">
        <f t="shared" si="10"/>
        <v>35</v>
      </c>
      <c r="AB41" s="24">
        <f t="shared" si="11"/>
        <v>18</v>
      </c>
      <c r="AC41" s="35">
        <f t="shared" si="12"/>
        <v>2.804118774</v>
      </c>
      <c r="AD41" s="24">
        <f t="shared" si="13"/>
        <v>69</v>
      </c>
      <c r="AE41" s="27"/>
      <c r="AF41" s="13" t="s">
        <v>148</v>
      </c>
      <c r="AG41" s="115" t="s">
        <v>150</v>
      </c>
      <c r="AH41" s="107" t="s">
        <v>150</v>
      </c>
      <c r="AI41" s="16">
        <f t="shared" si="44"/>
        <v>53.975</v>
      </c>
      <c r="AJ41" s="108">
        <f>average(19,23.5)</f>
        <v>21.25</v>
      </c>
      <c r="AK41" s="27"/>
      <c r="AL41" s="50"/>
      <c r="AM41" s="50"/>
      <c r="AN41" s="50"/>
      <c r="AO41" s="13" t="s">
        <v>142</v>
      </c>
      <c r="AP41" s="13" t="s">
        <v>143</v>
      </c>
      <c r="AQ41" s="13" t="s">
        <v>144</v>
      </c>
      <c r="AR41" s="13">
        <v>232.0</v>
      </c>
      <c r="AS41" s="13" t="s">
        <v>174</v>
      </c>
      <c r="AT41" s="13" t="s">
        <v>175</v>
      </c>
      <c r="AU41" s="64"/>
      <c r="AV41" s="50"/>
      <c r="AW41" s="50"/>
      <c r="AX41" s="42">
        <f t="shared" si="14"/>
        <v>20587.70751</v>
      </c>
      <c r="AY41" s="156">
        <f t="shared" si="15"/>
        <v>0.03448275862</v>
      </c>
      <c r="AZ41" s="42">
        <f>average(1400,1400,1000,1400,1400,800,795,975,1200,1250)</f>
        <v>1162</v>
      </c>
      <c r="BA41" s="13" t="s">
        <v>160</v>
      </c>
      <c r="BB41" s="13">
        <v>795.0</v>
      </c>
      <c r="BC41" s="13">
        <v>1400.0</v>
      </c>
      <c r="BD41" s="24">
        <f t="shared" si="38"/>
        <v>8.75</v>
      </c>
      <c r="BE41" s="13">
        <v>7.5</v>
      </c>
      <c r="BF41" s="13">
        <v>10.0</v>
      </c>
      <c r="BG41" s="35">
        <f>IFERROR(__xludf.DUMMYFUNCTION("BD41*GoogleFinance(""CURRENCY:GBPUSD"")"),10.90070625)</f>
        <v>10.90070625</v>
      </c>
      <c r="BH41" s="157">
        <f t="shared" si="17"/>
        <v>568.7716004</v>
      </c>
      <c r="BI41" s="42">
        <f t="shared" si="18"/>
        <v>7075.518708</v>
      </c>
      <c r="BJ41" s="158"/>
      <c r="BK41" s="42">
        <f t="shared" si="19"/>
        <v>12150.1888</v>
      </c>
      <c r="BL41" s="42">
        <f>IFERROR(__xludf.DUMMYFUNCTION("BM41*GoogleFinance(""CURRENCY:GBPUSD"")"),976.70328)</f>
        <v>976.70328</v>
      </c>
      <c r="BM41" s="24">
        <f t="shared" si="20"/>
        <v>784</v>
      </c>
      <c r="BN41" s="13">
        <v>121.0</v>
      </c>
      <c r="BO41" s="13">
        <v>126.0</v>
      </c>
      <c r="BP41" s="13">
        <v>244.0</v>
      </c>
      <c r="BQ41" s="13">
        <v>177.0</v>
      </c>
      <c r="BR41" s="13">
        <v>116.0</v>
      </c>
      <c r="BS41" s="13">
        <v>200.0</v>
      </c>
      <c r="BT41" s="50"/>
      <c r="BU41" s="53"/>
      <c r="BV41" s="53"/>
      <c r="BW41" s="50"/>
      <c r="BX41" s="50"/>
      <c r="BY41" s="50"/>
      <c r="BZ41" s="50"/>
      <c r="CA41" s="50"/>
    </row>
    <row r="42">
      <c r="A42" s="13" t="s">
        <v>270</v>
      </c>
      <c r="B42" s="27"/>
      <c r="C42" s="13" t="s">
        <v>53</v>
      </c>
      <c r="D42" s="27"/>
      <c r="E42" s="150">
        <v>2.79</v>
      </c>
      <c r="F42" s="13">
        <v>3.0</v>
      </c>
      <c r="G42" s="24">
        <f t="shared" si="3"/>
        <v>3</v>
      </c>
      <c r="H42" s="26">
        <v>19468.0</v>
      </c>
      <c r="I42" s="151">
        <v>0.59</v>
      </c>
      <c r="J42" s="27"/>
      <c r="K42" s="13">
        <v>73.0</v>
      </c>
      <c r="L42" s="152">
        <f t="shared" si="4"/>
        <v>0.09195402299</v>
      </c>
      <c r="M42" s="67">
        <v>12.3</v>
      </c>
      <c r="N42" s="153">
        <f t="shared" si="5"/>
        <v>0.724137931</v>
      </c>
      <c r="O42" s="13">
        <v>1.0</v>
      </c>
      <c r="P42" s="152">
        <f t="shared" si="6"/>
        <v>0.8888888889</v>
      </c>
      <c r="Q42" s="26">
        <v>287.5</v>
      </c>
      <c r="R42" s="153">
        <f t="shared" si="7"/>
        <v>1</v>
      </c>
      <c r="S42" s="26">
        <v>324.439695</v>
      </c>
      <c r="T42" s="153">
        <f t="shared" si="8"/>
        <v>0.6781609195</v>
      </c>
      <c r="U42" s="13">
        <v>1.0</v>
      </c>
      <c r="V42" s="154">
        <v>0.5</v>
      </c>
      <c r="W42" s="13">
        <v>1.0</v>
      </c>
      <c r="X42" s="153">
        <f t="shared" si="43"/>
        <v>1</v>
      </c>
      <c r="Y42" s="27"/>
      <c r="Z42" s="35">
        <f t="shared" si="9"/>
        <v>4.044061303</v>
      </c>
      <c r="AA42" s="24">
        <f t="shared" si="10"/>
        <v>38</v>
      </c>
      <c r="AB42" s="24">
        <f t="shared" si="11"/>
        <v>28</v>
      </c>
      <c r="AC42" s="35">
        <f t="shared" si="12"/>
        <v>2.794061303</v>
      </c>
      <c r="AD42" s="24">
        <f t="shared" si="13"/>
        <v>3</v>
      </c>
      <c r="AE42" s="27"/>
      <c r="AF42" s="13" t="s">
        <v>149</v>
      </c>
      <c r="AG42" s="107" t="s">
        <v>150</v>
      </c>
      <c r="AH42" s="107" t="s">
        <v>150</v>
      </c>
      <c r="AI42" s="16">
        <f t="shared" si="44"/>
        <v>35.56</v>
      </c>
      <c r="AJ42" s="108">
        <f>average (13,15)</f>
        <v>14</v>
      </c>
      <c r="AK42" s="27"/>
      <c r="AL42" s="50"/>
      <c r="AM42" s="50"/>
      <c r="AN42" s="50"/>
      <c r="AO42" s="13" t="s">
        <v>157</v>
      </c>
      <c r="AP42" s="13" t="s">
        <v>158</v>
      </c>
      <c r="AQ42" s="13" t="s">
        <v>159</v>
      </c>
      <c r="AR42" s="13">
        <v>303.0</v>
      </c>
      <c r="AS42" s="13" t="s">
        <v>271</v>
      </c>
      <c r="AT42" s="13" t="s">
        <v>272</v>
      </c>
      <c r="AU42" s="50"/>
      <c r="AV42" s="50"/>
      <c r="AW42" s="50"/>
      <c r="AX42" s="42">
        <f t="shared" si="14"/>
        <v>15699.0718</v>
      </c>
      <c r="AY42" s="156">
        <f t="shared" si="15"/>
        <v>0.5862068966</v>
      </c>
      <c r="AZ42" s="42">
        <f>average(250,350,100,275,250,250,175,300,325,600)</f>
        <v>287.5</v>
      </c>
      <c r="BA42" s="13" t="s">
        <v>146</v>
      </c>
      <c r="BB42" s="13">
        <v>100.0</v>
      </c>
      <c r="BC42" s="13">
        <v>600.0</v>
      </c>
      <c r="BD42" s="24">
        <f t="shared" si="38"/>
        <v>4</v>
      </c>
      <c r="BE42" s="13">
        <v>4.0</v>
      </c>
      <c r="BF42" s="13">
        <v>4.0</v>
      </c>
      <c r="BG42" s="35">
        <f>IFERROR(__xludf.DUMMYFUNCTION("BD42*GoogleFinance(""CURRENCY:GBPUSD"")"),4.98318)</f>
        <v>4.98318</v>
      </c>
      <c r="BH42" s="157">
        <f t="shared" si="17"/>
        <v>260.0098745</v>
      </c>
      <c r="BI42" s="42">
        <f t="shared" si="18"/>
        <v>3198.121456</v>
      </c>
      <c r="BJ42" s="158"/>
      <c r="BK42" s="42">
        <f t="shared" si="19"/>
        <v>12013.45034</v>
      </c>
      <c r="BL42" s="42">
        <f>IFERROR(__xludf.DUMMYFUNCTION("BM42*GoogleFinance(""CURRENCY:GBPUSD"")"),976.70328)</f>
        <v>976.70328</v>
      </c>
      <c r="BM42" s="24">
        <f t="shared" si="20"/>
        <v>784</v>
      </c>
      <c r="BN42" s="13">
        <v>121.0</v>
      </c>
      <c r="BO42" s="13">
        <v>126.0</v>
      </c>
      <c r="BP42" s="13">
        <v>244.0</v>
      </c>
      <c r="BQ42" s="13">
        <v>177.0</v>
      </c>
      <c r="BR42" s="13">
        <v>116.0</v>
      </c>
      <c r="BS42" s="13">
        <v>200.0</v>
      </c>
      <c r="BT42" s="50"/>
      <c r="BU42" s="53"/>
      <c r="BV42" s="53"/>
      <c r="BW42" s="50"/>
      <c r="BX42" s="50"/>
      <c r="BY42" s="50"/>
      <c r="BZ42" s="50"/>
      <c r="CA42" s="50"/>
    </row>
    <row r="43">
      <c r="A43" s="13" t="s">
        <v>496</v>
      </c>
      <c r="B43" s="27"/>
      <c r="C43" s="13" t="s">
        <v>27</v>
      </c>
      <c r="D43" s="27"/>
      <c r="E43" s="150">
        <v>2.78</v>
      </c>
      <c r="F43" s="13">
        <v>46.0</v>
      </c>
      <c r="G43" s="24">
        <f t="shared" si="3"/>
        <v>40</v>
      </c>
      <c r="H43" s="26">
        <v>16697.0</v>
      </c>
      <c r="I43" s="151">
        <v>0.84</v>
      </c>
      <c r="J43" s="27"/>
      <c r="K43" s="13">
        <v>27.0</v>
      </c>
      <c r="L43" s="152">
        <f t="shared" si="4"/>
        <v>0.7471264368</v>
      </c>
      <c r="M43" s="67">
        <v>9.48</v>
      </c>
      <c r="N43" s="153">
        <f t="shared" si="5"/>
        <v>0.2183908046</v>
      </c>
      <c r="O43" s="13">
        <v>1.0</v>
      </c>
      <c r="P43" s="152">
        <f t="shared" si="6"/>
        <v>0.8888888889</v>
      </c>
      <c r="Q43" s="26">
        <v>522.0</v>
      </c>
      <c r="R43" s="153">
        <f t="shared" si="7"/>
        <v>0.8735632184</v>
      </c>
      <c r="S43" s="26">
        <v>466.3820615625</v>
      </c>
      <c r="T43" s="153">
        <f t="shared" si="8"/>
        <v>0.2298850575</v>
      </c>
      <c r="U43" s="13">
        <v>2.0</v>
      </c>
      <c r="V43" s="154">
        <v>0.75</v>
      </c>
      <c r="W43" s="13">
        <v>1.0</v>
      </c>
      <c r="X43" s="153">
        <f t="shared" si="43"/>
        <v>1</v>
      </c>
      <c r="Y43" s="27"/>
      <c r="Z43" s="35">
        <f t="shared" si="9"/>
        <v>4.156130268</v>
      </c>
      <c r="AA43" s="24">
        <f t="shared" si="10"/>
        <v>39</v>
      </c>
      <c r="AB43" s="24">
        <f t="shared" si="11"/>
        <v>21</v>
      </c>
      <c r="AC43" s="35">
        <f t="shared" si="12"/>
        <v>2.781130268</v>
      </c>
      <c r="AD43" s="24">
        <f t="shared" si="13"/>
        <v>46</v>
      </c>
      <c r="AE43" s="27"/>
      <c r="AF43" s="13" t="s">
        <v>166</v>
      </c>
      <c r="AG43" s="16">
        <f t="shared" ref="AG43:AG45" si="45">AH43*0.45359237</f>
        <v>30.61748498</v>
      </c>
      <c r="AH43" s="108">
        <f>average(55,80)</f>
        <v>67.5</v>
      </c>
      <c r="AI43" s="16">
        <f t="shared" si="44"/>
        <v>59.69</v>
      </c>
      <c r="AJ43" s="108">
        <f>average(21,26)</f>
        <v>23.5</v>
      </c>
      <c r="AK43" s="27"/>
      <c r="AL43" s="50"/>
      <c r="AM43" s="50"/>
      <c r="AN43" s="50"/>
      <c r="AO43" s="13" t="s">
        <v>142</v>
      </c>
      <c r="AP43" s="13" t="s">
        <v>143</v>
      </c>
      <c r="AQ43" s="13" t="s">
        <v>144</v>
      </c>
      <c r="AR43" s="13">
        <v>776.0</v>
      </c>
      <c r="AS43" s="13" t="s">
        <v>174</v>
      </c>
      <c r="AT43" s="13" t="s">
        <v>175</v>
      </c>
      <c r="AU43" s="50"/>
      <c r="AV43" s="50"/>
      <c r="AW43" s="50"/>
      <c r="AX43" s="42">
        <f t="shared" si="14"/>
        <v>13524.43166</v>
      </c>
      <c r="AY43" s="156">
        <f t="shared" si="15"/>
        <v>0.8275862069</v>
      </c>
      <c r="AZ43" s="42">
        <f>average(550,795,175,650,350,600,350,550,500,700)</f>
        <v>522</v>
      </c>
      <c r="BA43" s="13" t="s">
        <v>146</v>
      </c>
      <c r="BB43" s="13">
        <v>175.0</v>
      </c>
      <c r="BC43" s="13">
        <v>795.0</v>
      </c>
      <c r="BD43" s="24">
        <f t="shared" si="38"/>
        <v>5.75</v>
      </c>
      <c r="BE43" s="13">
        <v>4.0</v>
      </c>
      <c r="BF43" s="13">
        <v>7.5</v>
      </c>
      <c r="BG43" s="35">
        <f>IFERROR(__xludf.DUMMYFUNCTION("BD43*GoogleFinance(""CURRENCY:GBPUSD"")"),7.16332125)</f>
        <v>7.16332125</v>
      </c>
      <c r="BH43" s="157">
        <f t="shared" si="17"/>
        <v>373.7641945</v>
      </c>
      <c r="BI43" s="42">
        <f t="shared" si="18"/>
        <v>3543.284564</v>
      </c>
      <c r="BJ43" s="158"/>
      <c r="BK43" s="42">
        <f t="shared" si="19"/>
        <v>9259.147094</v>
      </c>
      <c r="BL43" s="42">
        <f>IFERROR(__xludf.DUMMYFUNCTION("BM43*GoogleFinance(""CURRENCY:GBPUSD"")"),976.70328)</f>
        <v>976.70328</v>
      </c>
      <c r="BM43" s="24">
        <f t="shared" si="20"/>
        <v>784</v>
      </c>
      <c r="BN43" s="13">
        <v>121.0</v>
      </c>
      <c r="BO43" s="13">
        <v>126.0</v>
      </c>
      <c r="BP43" s="13">
        <v>244.0</v>
      </c>
      <c r="BQ43" s="13">
        <v>177.0</v>
      </c>
      <c r="BR43" s="13">
        <v>116.0</v>
      </c>
      <c r="BS43" s="13">
        <v>200.0</v>
      </c>
      <c r="BT43" s="50"/>
      <c r="BU43" s="53"/>
      <c r="BV43" s="53"/>
      <c r="BW43" s="50"/>
      <c r="BX43" s="50"/>
      <c r="BY43" s="50"/>
      <c r="BZ43" s="50"/>
      <c r="CA43" s="50"/>
    </row>
    <row r="44">
      <c r="A44" s="13" t="s">
        <v>615</v>
      </c>
      <c r="B44" s="27"/>
      <c r="C44" s="13" t="s">
        <v>34</v>
      </c>
      <c r="D44" s="27"/>
      <c r="E44" s="150">
        <v>2.75</v>
      </c>
      <c r="F44" s="13">
        <v>86.0</v>
      </c>
      <c r="G44" s="24">
        <f t="shared" si="3"/>
        <v>64</v>
      </c>
      <c r="H44" s="26">
        <v>20336.0</v>
      </c>
      <c r="I44" s="151">
        <v>0.44</v>
      </c>
      <c r="J44" s="27"/>
      <c r="K44" s="13">
        <v>62.0</v>
      </c>
      <c r="L44" s="152">
        <f t="shared" si="4"/>
        <v>0.2183908046</v>
      </c>
      <c r="M44" s="67">
        <v>12.31</v>
      </c>
      <c r="N44" s="153">
        <f t="shared" si="5"/>
        <v>0.7356321839</v>
      </c>
      <c r="O44" s="13">
        <v>0.0</v>
      </c>
      <c r="P44" s="152">
        <f t="shared" si="6"/>
        <v>1</v>
      </c>
      <c r="Q44" s="26">
        <v>1140.0</v>
      </c>
      <c r="R44" s="153">
        <f t="shared" si="7"/>
        <v>0.1724137931</v>
      </c>
      <c r="S44" s="26">
        <v>324.439695</v>
      </c>
      <c r="T44" s="153">
        <f t="shared" si="8"/>
        <v>0.6781609195</v>
      </c>
      <c r="U44" s="13">
        <v>2.0</v>
      </c>
      <c r="V44" s="154">
        <v>0.75</v>
      </c>
      <c r="W44" s="13">
        <v>2.0</v>
      </c>
      <c r="X44" s="151">
        <v>0.5</v>
      </c>
      <c r="Y44" s="27"/>
      <c r="Z44" s="35">
        <f t="shared" si="9"/>
        <v>3.629310345</v>
      </c>
      <c r="AA44" s="24">
        <f t="shared" si="10"/>
        <v>40</v>
      </c>
      <c r="AB44" s="24">
        <f t="shared" si="11"/>
        <v>51</v>
      </c>
      <c r="AC44" s="35">
        <f t="shared" si="12"/>
        <v>2.754310345</v>
      </c>
      <c r="AD44" s="24">
        <f t="shared" si="13"/>
        <v>86</v>
      </c>
      <c r="AE44" s="27"/>
      <c r="AF44" s="13" t="s">
        <v>149</v>
      </c>
      <c r="AG44" s="16">
        <f t="shared" si="45"/>
        <v>10.88621688</v>
      </c>
      <c r="AH44" s="108">
        <f>average(18,30)</f>
        <v>24</v>
      </c>
      <c r="AI44" s="16">
        <f t="shared" si="44"/>
        <v>39.37</v>
      </c>
      <c r="AJ44" s="108">
        <f>average(14,17)</f>
        <v>15.5</v>
      </c>
      <c r="AK44" s="27"/>
      <c r="AL44" s="50"/>
      <c r="AM44" s="50"/>
      <c r="AN44" s="50"/>
      <c r="AO44" s="13" t="s">
        <v>400</v>
      </c>
      <c r="AP44" s="13" t="s">
        <v>401</v>
      </c>
      <c r="AQ44" s="13" t="s">
        <v>402</v>
      </c>
      <c r="AR44" s="13">
        <v>102.0</v>
      </c>
      <c r="AS44" s="13" t="s">
        <v>145</v>
      </c>
      <c r="AT44" s="13" t="s">
        <v>145</v>
      </c>
      <c r="AU44" s="50"/>
      <c r="AV44" s="50"/>
      <c r="AW44" s="50"/>
      <c r="AX44" s="42">
        <f t="shared" si="14"/>
        <v>16563.93893</v>
      </c>
      <c r="AY44" s="156">
        <f t="shared" si="15"/>
        <v>0.4137931034</v>
      </c>
      <c r="AZ44" s="42">
        <f>average(1500,1200,1500,1000,1600,1000,1200,1200,450,750)</f>
        <v>1140</v>
      </c>
      <c r="BA44" s="13" t="s">
        <v>160</v>
      </c>
      <c r="BB44" s="13">
        <v>450.0</v>
      </c>
      <c r="BC44" s="13">
        <v>1600.0</v>
      </c>
      <c r="BD44" s="24">
        <f t="shared" si="38"/>
        <v>4</v>
      </c>
      <c r="BE44" s="13">
        <v>4.0</v>
      </c>
      <c r="BF44" s="13">
        <v>4.0</v>
      </c>
      <c r="BG44" s="35">
        <f>IFERROR(__xludf.DUMMYFUNCTION("BD44*GoogleFinance(""CURRENCY:GBPUSD"")"),4.98318)</f>
        <v>4.98318</v>
      </c>
      <c r="BH44" s="157">
        <f t="shared" si="17"/>
        <v>260.0098745</v>
      </c>
      <c r="BI44" s="42">
        <f t="shared" si="18"/>
        <v>3200.721554</v>
      </c>
      <c r="BJ44" s="158"/>
      <c r="BK44" s="42">
        <f t="shared" si="19"/>
        <v>12023.21738</v>
      </c>
      <c r="BL44" s="42">
        <f>IFERROR(__xludf.DUMMYFUNCTION("BM44*GoogleFinance(""CURRENCY:GBPUSD"")"),976.70328)</f>
        <v>976.70328</v>
      </c>
      <c r="BM44" s="24">
        <f t="shared" si="20"/>
        <v>784</v>
      </c>
      <c r="BN44" s="13">
        <v>121.0</v>
      </c>
      <c r="BO44" s="13">
        <v>126.0</v>
      </c>
      <c r="BP44" s="13">
        <v>244.0</v>
      </c>
      <c r="BQ44" s="13">
        <v>177.0</v>
      </c>
      <c r="BR44" s="13">
        <v>116.0</v>
      </c>
      <c r="BS44" s="13">
        <v>200.0</v>
      </c>
      <c r="BT44" s="50"/>
      <c r="BU44" s="53"/>
      <c r="BV44" s="53"/>
      <c r="BW44" s="50"/>
      <c r="BX44" s="50"/>
      <c r="BY44" s="50"/>
      <c r="BZ44" s="50"/>
      <c r="CA44" s="50"/>
    </row>
    <row r="45">
      <c r="A45" s="13" t="s">
        <v>616</v>
      </c>
      <c r="B45" s="27"/>
      <c r="C45" s="13" t="s">
        <v>27</v>
      </c>
      <c r="D45" s="27"/>
      <c r="E45" s="150">
        <v>2.73</v>
      </c>
      <c r="F45" s="13">
        <v>94.0</v>
      </c>
      <c r="G45" s="24">
        <f t="shared" si="3"/>
        <v>69</v>
      </c>
      <c r="H45" s="26">
        <v>19605.0</v>
      </c>
      <c r="I45" s="151">
        <v>0.56</v>
      </c>
      <c r="J45" s="27"/>
      <c r="K45" s="13">
        <v>34.0</v>
      </c>
      <c r="L45" s="152">
        <f t="shared" si="4"/>
        <v>0.6436781609</v>
      </c>
      <c r="M45" s="67">
        <v>11.1</v>
      </c>
      <c r="N45" s="153">
        <f t="shared" si="5"/>
        <v>0.4137931034</v>
      </c>
      <c r="O45" s="13">
        <v>1.0</v>
      </c>
      <c r="P45" s="152">
        <f t="shared" si="6"/>
        <v>0.8888888889</v>
      </c>
      <c r="Q45" s="26">
        <v>700.0</v>
      </c>
      <c r="R45" s="153">
        <f t="shared" si="7"/>
        <v>0.5862068966</v>
      </c>
      <c r="S45" s="26">
        <v>466.3820615625</v>
      </c>
      <c r="T45" s="153">
        <f t="shared" si="8"/>
        <v>0.2298850575</v>
      </c>
      <c r="U45" s="13">
        <v>2.0</v>
      </c>
      <c r="V45" s="154">
        <v>0.75</v>
      </c>
      <c r="W45" s="13">
        <v>1.0</v>
      </c>
      <c r="X45" s="153">
        <f t="shared" ref="X45:X46" si="46">100%</f>
        <v>1</v>
      </c>
      <c r="Y45" s="27"/>
      <c r="Z45" s="35">
        <f t="shared" si="9"/>
        <v>4.10440613</v>
      </c>
      <c r="AA45" s="24">
        <f t="shared" si="10"/>
        <v>41</v>
      </c>
      <c r="AB45" s="24">
        <f t="shared" si="11"/>
        <v>23</v>
      </c>
      <c r="AC45" s="35">
        <f t="shared" si="12"/>
        <v>2.72940613</v>
      </c>
      <c r="AD45" s="24">
        <f t="shared" si="13"/>
        <v>94</v>
      </c>
      <c r="AE45" s="27"/>
      <c r="AF45" s="13" t="s">
        <v>166</v>
      </c>
      <c r="AG45" s="16">
        <f t="shared" si="45"/>
        <v>28.34952313</v>
      </c>
      <c r="AH45" s="108">
        <f>average(45,80)</f>
        <v>62.5</v>
      </c>
      <c r="AI45" s="16">
        <f t="shared" si="44"/>
        <v>63.5</v>
      </c>
      <c r="AJ45" s="108">
        <f>average(23,27)</f>
        <v>25</v>
      </c>
      <c r="AK45" s="27"/>
      <c r="AL45" s="13" t="s">
        <v>617</v>
      </c>
      <c r="AM45" s="50"/>
      <c r="AN45" s="50"/>
      <c r="AO45" s="13" t="s">
        <v>142</v>
      </c>
      <c r="AP45" s="13" t="s">
        <v>143</v>
      </c>
      <c r="AQ45" s="13" t="s">
        <v>144</v>
      </c>
      <c r="AR45" s="13">
        <v>169.0</v>
      </c>
      <c r="AS45" s="13" t="s">
        <v>174</v>
      </c>
      <c r="AT45" s="13" t="s">
        <v>175</v>
      </c>
      <c r="AU45" s="50"/>
      <c r="AV45" s="50"/>
      <c r="AW45" s="50"/>
      <c r="AX45" s="42">
        <f t="shared" si="14"/>
        <v>15890.18897</v>
      </c>
      <c r="AY45" s="156">
        <f t="shared" si="15"/>
        <v>0.5517241379</v>
      </c>
      <c r="AZ45" s="42">
        <f>average(500,1000,600)</f>
        <v>700</v>
      </c>
      <c r="BA45" s="13" t="s">
        <v>160</v>
      </c>
      <c r="BB45" s="13">
        <v>500.0</v>
      </c>
      <c r="BC45" s="13">
        <v>100.0</v>
      </c>
      <c r="BD45" s="24">
        <f t="shared" si="38"/>
        <v>5.75</v>
      </c>
      <c r="BE45" s="13">
        <v>4.0</v>
      </c>
      <c r="BF45" s="13">
        <v>7.5</v>
      </c>
      <c r="BG45" s="35">
        <f>IFERROR(__xludf.DUMMYFUNCTION("BD45*GoogleFinance(""CURRENCY:GBPUSD"")"),7.16332125)</f>
        <v>7.16332125</v>
      </c>
      <c r="BH45" s="157">
        <f t="shared" si="17"/>
        <v>373.7641945</v>
      </c>
      <c r="BI45" s="42">
        <f t="shared" si="18"/>
        <v>4148.782559</v>
      </c>
      <c r="BJ45" s="158"/>
      <c r="BK45" s="42">
        <f t="shared" si="19"/>
        <v>10841.40641</v>
      </c>
      <c r="BL45" s="42">
        <f>IFERROR(__xludf.DUMMYFUNCTION("BM45*GoogleFinance(""CURRENCY:GBPUSD"")"),976.70328)</f>
        <v>976.70328</v>
      </c>
      <c r="BM45" s="24">
        <f t="shared" si="20"/>
        <v>784</v>
      </c>
      <c r="BN45" s="13">
        <v>121.0</v>
      </c>
      <c r="BO45" s="13">
        <v>126.0</v>
      </c>
      <c r="BP45" s="13">
        <v>244.0</v>
      </c>
      <c r="BQ45" s="13">
        <v>177.0</v>
      </c>
      <c r="BR45" s="13">
        <v>116.0</v>
      </c>
      <c r="BS45" s="13">
        <v>200.0</v>
      </c>
      <c r="BT45" s="50"/>
      <c r="BU45" s="53"/>
      <c r="BV45" s="53"/>
      <c r="BW45" s="50"/>
      <c r="BX45" s="50"/>
      <c r="BY45" s="50"/>
      <c r="BZ45" s="50"/>
      <c r="CA45" s="50"/>
    </row>
    <row r="46">
      <c r="A46" s="13" t="s">
        <v>582</v>
      </c>
      <c r="B46" s="27"/>
      <c r="C46" s="13" t="s">
        <v>27</v>
      </c>
      <c r="D46" s="27"/>
      <c r="E46" s="150">
        <v>2.72</v>
      </c>
      <c r="F46" s="13">
        <v>87.0</v>
      </c>
      <c r="G46" s="24">
        <f t="shared" si="3"/>
        <v>65</v>
      </c>
      <c r="H46" s="26">
        <v>20312.0</v>
      </c>
      <c r="I46" s="151">
        <v>0.46</v>
      </c>
      <c r="J46" s="27"/>
      <c r="K46" s="13">
        <v>37.0</v>
      </c>
      <c r="L46" s="152">
        <f t="shared" si="4"/>
        <v>0.5632183908</v>
      </c>
      <c r="M46" s="67">
        <v>11.57</v>
      </c>
      <c r="N46" s="153">
        <f t="shared" si="5"/>
        <v>0.5172413793</v>
      </c>
      <c r="O46" s="13">
        <v>2.0</v>
      </c>
      <c r="P46" s="152">
        <f t="shared" si="6"/>
        <v>0.7777777778</v>
      </c>
      <c r="Q46" s="26">
        <v>615.0</v>
      </c>
      <c r="R46" s="153">
        <f t="shared" si="7"/>
        <v>0.7356321839</v>
      </c>
      <c r="S46" s="26">
        <v>466.3820615625</v>
      </c>
      <c r="T46" s="153">
        <f t="shared" si="8"/>
        <v>0.2298850575</v>
      </c>
      <c r="U46" s="13">
        <v>2.0</v>
      </c>
      <c r="V46" s="154">
        <v>0.75</v>
      </c>
      <c r="W46" s="13">
        <v>1.0</v>
      </c>
      <c r="X46" s="153">
        <f t="shared" si="46"/>
        <v>1</v>
      </c>
      <c r="Y46" s="27"/>
      <c r="Z46" s="35">
        <f t="shared" si="9"/>
        <v>4.090996169</v>
      </c>
      <c r="AA46" s="24">
        <f t="shared" si="10"/>
        <v>43</v>
      </c>
      <c r="AB46" s="24">
        <f t="shared" si="11"/>
        <v>25</v>
      </c>
      <c r="AC46" s="35">
        <f t="shared" si="12"/>
        <v>2.715996169</v>
      </c>
      <c r="AD46" s="24">
        <f t="shared" si="13"/>
        <v>87</v>
      </c>
      <c r="AE46" s="27"/>
      <c r="AF46" s="13" t="s">
        <v>166</v>
      </c>
      <c r="AG46" s="107" t="s">
        <v>150</v>
      </c>
      <c r="AH46" s="107" t="s">
        <v>150</v>
      </c>
      <c r="AI46" s="16">
        <f t="shared" si="44"/>
        <v>62.23</v>
      </c>
      <c r="AJ46" s="108">
        <f>average(24,25)</f>
        <v>24.5</v>
      </c>
      <c r="AK46" s="27"/>
      <c r="AL46" s="50"/>
      <c r="AM46" s="50"/>
      <c r="AN46" s="50"/>
      <c r="AO46" s="13" t="s">
        <v>142</v>
      </c>
      <c r="AP46" s="13" t="s">
        <v>143</v>
      </c>
      <c r="AQ46" s="13" t="s">
        <v>144</v>
      </c>
      <c r="AR46" s="13">
        <v>402.0</v>
      </c>
      <c r="AS46" s="13" t="s">
        <v>257</v>
      </c>
      <c r="AT46" s="13" t="s">
        <v>258</v>
      </c>
      <c r="AU46" s="50"/>
      <c r="AV46" s="50"/>
      <c r="AW46" s="50"/>
      <c r="AX46" s="42">
        <f t="shared" si="14"/>
        <v>16439.90868</v>
      </c>
      <c r="AY46" s="156">
        <f t="shared" si="15"/>
        <v>0.4367816092</v>
      </c>
      <c r="AZ46" s="42">
        <f>average(400,750,750,250,750,400,1000,750,600,500)</f>
        <v>615</v>
      </c>
      <c r="BA46" s="13" t="s">
        <v>146</v>
      </c>
      <c r="BB46" s="13">
        <v>250.0</v>
      </c>
      <c r="BC46" s="13">
        <v>1000.0</v>
      </c>
      <c r="BD46" s="24">
        <f t="shared" si="38"/>
        <v>5.75</v>
      </c>
      <c r="BE46" s="13">
        <v>4.0</v>
      </c>
      <c r="BF46" s="13">
        <v>7.5</v>
      </c>
      <c r="BG46" s="35">
        <f>IFERROR(__xludf.DUMMYFUNCTION("BD46*GoogleFinance(""CURRENCY:GBPUSD"")"),7.16332125)</f>
        <v>7.16332125</v>
      </c>
      <c r="BH46" s="157">
        <f t="shared" si="17"/>
        <v>373.7641945</v>
      </c>
      <c r="BI46" s="42">
        <f t="shared" si="18"/>
        <v>4324.451731</v>
      </c>
      <c r="BJ46" s="158"/>
      <c r="BK46" s="42">
        <f t="shared" si="19"/>
        <v>11300.45695</v>
      </c>
      <c r="BL46" s="42">
        <f>IFERROR(__xludf.DUMMYFUNCTION("BM46*GoogleFinance(""CURRENCY:GBPUSD"")"),976.70328)</f>
        <v>976.70328</v>
      </c>
      <c r="BM46" s="24">
        <f t="shared" si="20"/>
        <v>784</v>
      </c>
      <c r="BN46" s="13">
        <v>121.0</v>
      </c>
      <c r="BO46" s="13">
        <v>126.0</v>
      </c>
      <c r="BP46" s="13">
        <v>244.0</v>
      </c>
      <c r="BQ46" s="13">
        <v>177.0</v>
      </c>
      <c r="BR46" s="13">
        <v>116.0</v>
      </c>
      <c r="BS46" s="13">
        <v>200.0</v>
      </c>
      <c r="BT46" s="50"/>
      <c r="BU46" s="53"/>
      <c r="BV46" s="53"/>
      <c r="BW46" s="50"/>
      <c r="BX46" s="50"/>
      <c r="BY46" s="50"/>
      <c r="BZ46" s="50"/>
      <c r="CA46" s="50"/>
    </row>
    <row r="47">
      <c r="A47" s="47" t="s">
        <v>626</v>
      </c>
      <c r="B47" s="27"/>
      <c r="C47" s="47" t="s">
        <v>43</v>
      </c>
      <c r="D47" s="27"/>
      <c r="E47" s="150">
        <v>2.72</v>
      </c>
      <c r="F47" s="47">
        <v>26.0</v>
      </c>
      <c r="G47" s="24">
        <f t="shared" si="3"/>
        <v>26</v>
      </c>
      <c r="H47" s="26">
        <v>18527.0</v>
      </c>
      <c r="I47" s="151">
        <v>0.68</v>
      </c>
      <c r="J47" s="27"/>
      <c r="K47" s="47">
        <v>57.0</v>
      </c>
      <c r="L47" s="152">
        <f t="shared" si="4"/>
        <v>0.2873563218</v>
      </c>
      <c r="M47" s="180">
        <v>11.0</v>
      </c>
      <c r="N47" s="153">
        <f t="shared" si="5"/>
        <v>0.3908045977</v>
      </c>
      <c r="O47" s="47">
        <v>1.0</v>
      </c>
      <c r="P47" s="152">
        <f t="shared" si="6"/>
        <v>0.8888888889</v>
      </c>
      <c r="Q47" s="26">
        <v>469.4</v>
      </c>
      <c r="R47" s="153">
        <f t="shared" si="7"/>
        <v>0.9195402299</v>
      </c>
      <c r="S47" s="26">
        <v>404.597379375</v>
      </c>
      <c r="T47" s="153">
        <f t="shared" si="8"/>
        <v>0.632183908</v>
      </c>
      <c r="U47" s="47">
        <v>2.0</v>
      </c>
      <c r="V47" s="154">
        <v>0.75</v>
      </c>
      <c r="W47" s="47">
        <v>1.0</v>
      </c>
      <c r="X47" s="169">
        <v>1.0</v>
      </c>
      <c r="Y47" s="27"/>
      <c r="Z47" s="35">
        <f t="shared" si="9"/>
        <v>4.092911877</v>
      </c>
      <c r="AA47" s="24">
        <f t="shared" si="10"/>
        <v>42</v>
      </c>
      <c r="AB47" s="24">
        <f t="shared" si="11"/>
        <v>24</v>
      </c>
      <c r="AC47" s="35">
        <f t="shared" si="12"/>
        <v>2.717911877</v>
      </c>
      <c r="AD47" s="24">
        <f t="shared" si="13"/>
        <v>26</v>
      </c>
      <c r="AE47" s="27"/>
      <c r="AF47" s="47" t="s">
        <v>148</v>
      </c>
      <c r="AG47" s="172">
        <f>AH47*0.45359237</f>
        <v>7.25747792</v>
      </c>
      <c r="AH47" s="174">
        <f>SUM(14+18)/2</f>
        <v>16</v>
      </c>
      <c r="AI47" s="172">
        <f t="shared" si="44"/>
        <v>40.64</v>
      </c>
      <c r="AJ47" s="174">
        <f>average(14,18)</f>
        <v>16</v>
      </c>
      <c r="AK47" s="27"/>
      <c r="AL47" s="129"/>
      <c r="AM47" s="129"/>
      <c r="AN47" s="129"/>
      <c r="AO47" s="47" t="s">
        <v>400</v>
      </c>
      <c r="AP47" s="47" t="s">
        <v>401</v>
      </c>
      <c r="AQ47" s="47" t="s">
        <v>402</v>
      </c>
      <c r="AR47" s="47">
        <v>163.0</v>
      </c>
      <c r="AS47" s="175" t="s">
        <v>403</v>
      </c>
      <c r="AT47" s="47" t="s">
        <v>404</v>
      </c>
      <c r="AU47" s="129"/>
      <c r="AV47" s="129"/>
      <c r="AW47" s="129"/>
      <c r="AX47" s="157">
        <f t="shared" si="14"/>
        <v>14153.49381</v>
      </c>
      <c r="AY47" s="156">
        <f t="shared" si="15"/>
        <v>0.8045977011</v>
      </c>
      <c r="AZ47" s="157">
        <f>average(600,400,495,250,300,300,550,500,600,699)</f>
        <v>469.4</v>
      </c>
      <c r="BA47" s="47" t="s">
        <v>146</v>
      </c>
      <c r="BB47" s="47">
        <v>250.0</v>
      </c>
      <c r="BC47" s="47">
        <v>699.0</v>
      </c>
      <c r="BD47" s="176" t="s">
        <v>182</v>
      </c>
      <c r="BE47" s="176" t="s">
        <v>182</v>
      </c>
      <c r="BF47" s="176" t="s">
        <v>182</v>
      </c>
      <c r="BG47" s="157">
        <f>IFERROR(__xludf.DUMMYFUNCTION("SUM(7.5*GoogleFinance(""CURRENCY:AUDUSD""))"),4.7745375)</f>
        <v>4.7745375</v>
      </c>
      <c r="BH47" s="157">
        <f t="shared" si="17"/>
        <v>249.1234304</v>
      </c>
      <c r="BI47" s="157">
        <f t="shared" si="18"/>
        <v>2740.357734</v>
      </c>
      <c r="BJ47" s="158"/>
      <c r="BK47" s="157">
        <f t="shared" si="19"/>
        <v>10743.73608</v>
      </c>
      <c r="BL47" s="157">
        <f>IFERROR(__xludf.DUMMYFUNCTION("BM47*GoogleFinance(""CURRENCY:GBPUSD"")"),976.70328)</f>
        <v>976.70328</v>
      </c>
      <c r="BM47" s="177">
        <f t="shared" si="20"/>
        <v>784</v>
      </c>
      <c r="BN47" s="47">
        <v>121.0</v>
      </c>
      <c r="BO47" s="47">
        <v>126.0</v>
      </c>
      <c r="BP47" s="47">
        <v>244.0</v>
      </c>
      <c r="BQ47" s="47">
        <v>177.0</v>
      </c>
      <c r="BR47" s="47">
        <v>116.0</v>
      </c>
      <c r="BS47" s="47">
        <v>200.0</v>
      </c>
      <c r="BT47" s="129"/>
      <c r="BU47" s="178" t="s">
        <v>632</v>
      </c>
      <c r="BV47" s="178" t="s">
        <v>633</v>
      </c>
      <c r="BW47" s="129"/>
      <c r="BX47" s="129"/>
      <c r="BY47" s="129"/>
      <c r="BZ47" s="129"/>
      <c r="CA47" s="129"/>
    </row>
    <row r="48">
      <c r="A48" s="13" t="s">
        <v>428</v>
      </c>
      <c r="B48" s="27"/>
      <c r="C48" s="13" t="s">
        <v>32</v>
      </c>
      <c r="D48" s="27"/>
      <c r="E48" s="150">
        <v>2.71</v>
      </c>
      <c r="F48" s="13">
        <v>125.0</v>
      </c>
      <c r="G48" s="24">
        <f t="shared" si="3"/>
        <v>79</v>
      </c>
      <c r="H48" s="26">
        <v>19673.0</v>
      </c>
      <c r="I48" s="151">
        <v>0.55</v>
      </c>
      <c r="J48" s="27"/>
      <c r="K48" s="13">
        <v>30.0</v>
      </c>
      <c r="L48" s="152">
        <f t="shared" si="4"/>
        <v>0.7011494253</v>
      </c>
      <c r="M48" s="67">
        <v>11.17</v>
      </c>
      <c r="N48" s="153">
        <f t="shared" si="5"/>
        <v>0.4252873563</v>
      </c>
      <c r="O48" s="13">
        <v>1.0</v>
      </c>
      <c r="P48" s="152">
        <f t="shared" si="6"/>
        <v>0.8888888889</v>
      </c>
      <c r="Q48" s="26">
        <v>650.0</v>
      </c>
      <c r="R48" s="153">
        <f t="shared" si="7"/>
        <v>0.6666666667</v>
      </c>
      <c r="S48" s="26">
        <v>466.3820615625</v>
      </c>
      <c r="T48" s="153">
        <f t="shared" si="8"/>
        <v>0.2298850575</v>
      </c>
      <c r="U48" s="13">
        <v>1.0</v>
      </c>
      <c r="V48" s="154">
        <v>0.5</v>
      </c>
      <c r="W48" s="13">
        <v>1.0</v>
      </c>
      <c r="X48" s="153">
        <f>100%</f>
        <v>1</v>
      </c>
      <c r="Y48" s="27"/>
      <c r="Z48" s="35">
        <f t="shared" si="9"/>
        <v>3.963601533</v>
      </c>
      <c r="AA48" s="24">
        <f t="shared" si="10"/>
        <v>44</v>
      </c>
      <c r="AB48" s="24">
        <f t="shared" si="11"/>
        <v>33</v>
      </c>
      <c r="AC48" s="35">
        <f t="shared" si="12"/>
        <v>2.713601533</v>
      </c>
      <c r="AD48" s="24">
        <f t="shared" si="13"/>
        <v>125</v>
      </c>
      <c r="AE48" s="27"/>
      <c r="AF48" s="13" t="s">
        <v>166</v>
      </c>
      <c r="AG48" s="107" t="s">
        <v>150</v>
      </c>
      <c r="AH48" s="107" t="s">
        <v>150</v>
      </c>
      <c r="AI48" s="16">
        <f t="shared" si="44"/>
        <v>62.23</v>
      </c>
      <c r="AJ48" s="108">
        <f>average(22,27)</f>
        <v>24.5</v>
      </c>
      <c r="AK48" s="27"/>
      <c r="AL48" s="13" t="s">
        <v>439</v>
      </c>
      <c r="AM48" s="50"/>
      <c r="AN48" s="50"/>
      <c r="AO48" s="13" t="s">
        <v>142</v>
      </c>
      <c r="AP48" s="13" t="s">
        <v>143</v>
      </c>
      <c r="AQ48" s="13" t="s">
        <v>144</v>
      </c>
      <c r="AR48" s="13">
        <v>71.0</v>
      </c>
      <c r="AS48" s="13" t="s">
        <v>174</v>
      </c>
      <c r="AT48" s="13" t="s">
        <v>175</v>
      </c>
      <c r="AU48" s="50"/>
      <c r="AV48" s="50"/>
      <c r="AW48" s="50"/>
      <c r="AX48" s="42">
        <f t="shared" si="14"/>
        <v>15934.72169</v>
      </c>
      <c r="AY48" s="156">
        <f t="shared" si="15"/>
        <v>0.5402298851</v>
      </c>
      <c r="AZ48" s="42">
        <f>average(800,500)</f>
        <v>650</v>
      </c>
      <c r="BA48" s="13" t="s">
        <v>146</v>
      </c>
      <c r="BB48" s="13">
        <v>500.0</v>
      </c>
      <c r="BC48" s="13">
        <v>800.0</v>
      </c>
      <c r="BD48" s="24">
        <f t="shared" ref="BD48:BD52" si="47">average(BE48,BF48)</f>
        <v>5.75</v>
      </c>
      <c r="BE48" s="13">
        <v>4.0</v>
      </c>
      <c r="BF48" s="13">
        <v>7.5</v>
      </c>
      <c r="BG48" s="35">
        <f>IFERROR(__xludf.DUMMYFUNCTION("BD48*GoogleFinance(""CURRENCY:GBPUSD"")"),7.16332125)</f>
        <v>7.16332125</v>
      </c>
      <c r="BH48" s="157">
        <f t="shared" si="17"/>
        <v>373.7641945</v>
      </c>
      <c r="BI48" s="42">
        <f t="shared" si="18"/>
        <v>4174.946053</v>
      </c>
      <c r="BJ48" s="158"/>
      <c r="BK48" s="42">
        <f t="shared" si="19"/>
        <v>10909.77564</v>
      </c>
      <c r="BL48" s="42">
        <f>IFERROR(__xludf.DUMMYFUNCTION("BM48*GoogleFinance(""CURRENCY:GBPUSD"")"),976.70328)</f>
        <v>976.70328</v>
      </c>
      <c r="BM48" s="24">
        <f t="shared" si="20"/>
        <v>784</v>
      </c>
      <c r="BN48" s="13">
        <v>121.0</v>
      </c>
      <c r="BO48" s="13">
        <v>126.0</v>
      </c>
      <c r="BP48" s="13">
        <v>244.0</v>
      </c>
      <c r="BQ48" s="13">
        <v>177.0</v>
      </c>
      <c r="BR48" s="13">
        <v>116.0</v>
      </c>
      <c r="BS48" s="13">
        <v>200.0</v>
      </c>
      <c r="BT48" s="50"/>
      <c r="BU48" s="53"/>
      <c r="BV48" s="53"/>
      <c r="BW48" s="50"/>
      <c r="BX48" s="50"/>
      <c r="BY48" s="50"/>
      <c r="BZ48" s="50"/>
      <c r="CA48" s="50"/>
    </row>
    <row r="49">
      <c r="A49" s="13" t="s">
        <v>637</v>
      </c>
      <c r="B49" s="27"/>
      <c r="C49" s="13" t="s">
        <v>23</v>
      </c>
      <c r="D49" s="27"/>
      <c r="E49" s="150">
        <v>2.71</v>
      </c>
      <c r="F49" s="13">
        <v>120.0</v>
      </c>
      <c r="G49" s="24">
        <f t="shared" si="3"/>
        <v>76</v>
      </c>
      <c r="H49" s="26">
        <v>24308.0</v>
      </c>
      <c r="I49" s="151">
        <v>0.1</v>
      </c>
      <c r="J49" s="27"/>
      <c r="K49" s="13">
        <v>56.0</v>
      </c>
      <c r="L49" s="152">
        <f t="shared" si="4"/>
        <v>0.2988505747</v>
      </c>
      <c r="M49" s="67">
        <v>13.07</v>
      </c>
      <c r="N49" s="153">
        <f t="shared" si="5"/>
        <v>0.908045977</v>
      </c>
      <c r="O49" s="13">
        <v>0.0</v>
      </c>
      <c r="P49" s="152">
        <f t="shared" si="6"/>
        <v>1</v>
      </c>
      <c r="Q49" s="26">
        <v>2083.33333333333</v>
      </c>
      <c r="R49" s="153">
        <f t="shared" si="7"/>
        <v>0.02298850575</v>
      </c>
      <c r="S49" s="26">
        <v>466.3820615625</v>
      </c>
      <c r="T49" s="153">
        <f t="shared" si="8"/>
        <v>0.2298850575</v>
      </c>
      <c r="U49" s="13">
        <v>2.0</v>
      </c>
      <c r="V49" s="154">
        <v>0.75</v>
      </c>
      <c r="W49" s="13">
        <v>2.0</v>
      </c>
      <c r="X49" s="151">
        <v>0.5</v>
      </c>
      <c r="Y49" s="27"/>
      <c r="Z49" s="35">
        <f t="shared" si="9"/>
        <v>3.583333333</v>
      </c>
      <c r="AA49" s="24">
        <f t="shared" si="10"/>
        <v>45</v>
      </c>
      <c r="AB49" s="24">
        <f t="shared" si="11"/>
        <v>53</v>
      </c>
      <c r="AC49" s="35">
        <f t="shared" si="12"/>
        <v>2.708333333</v>
      </c>
      <c r="AD49" s="24">
        <f t="shared" si="13"/>
        <v>120</v>
      </c>
      <c r="AE49" s="27"/>
      <c r="AF49" s="13" t="s">
        <v>149</v>
      </c>
      <c r="AG49" s="16">
        <f>AH49*0.45359237</f>
        <v>5.44310844</v>
      </c>
      <c r="AH49" s="107">
        <v>12.0</v>
      </c>
      <c r="AI49" s="16">
        <f t="shared" si="44"/>
        <v>24.13</v>
      </c>
      <c r="AJ49" s="108">
        <f>average(9,10)</f>
        <v>9.5</v>
      </c>
      <c r="AK49" s="27"/>
      <c r="AL49" s="13" t="s">
        <v>639</v>
      </c>
      <c r="AM49" s="50"/>
      <c r="AN49" s="50"/>
      <c r="AO49" s="13" t="s">
        <v>400</v>
      </c>
      <c r="AP49" s="13" t="s">
        <v>401</v>
      </c>
      <c r="AQ49" s="13" t="s">
        <v>402</v>
      </c>
      <c r="AR49" s="13">
        <v>324.0</v>
      </c>
      <c r="AS49" s="13" t="s">
        <v>145</v>
      </c>
      <c r="AT49" s="13" t="s">
        <v>145</v>
      </c>
      <c r="AU49" s="50"/>
      <c r="AV49" s="50"/>
      <c r="AW49" s="50"/>
      <c r="AX49" s="42">
        <f t="shared" si="14"/>
        <v>19933.94323</v>
      </c>
      <c r="AY49" s="156">
        <f t="shared" si="15"/>
        <v>0.05747126437</v>
      </c>
      <c r="AZ49" s="42">
        <f>average(2500,2250,2500,2500,2500,2500,2000,1750,250)</f>
        <v>2083.333333</v>
      </c>
      <c r="BA49" s="13" t="s">
        <v>372</v>
      </c>
      <c r="BB49" s="13">
        <v>250.0</v>
      </c>
      <c r="BC49" s="13">
        <v>2500.0</v>
      </c>
      <c r="BD49" s="24">
        <f t="shared" si="47"/>
        <v>5.75</v>
      </c>
      <c r="BE49" s="13">
        <v>4.0</v>
      </c>
      <c r="BF49" s="13">
        <v>7.5</v>
      </c>
      <c r="BG49" s="35">
        <f>IFERROR(__xludf.DUMMYFUNCTION("BD49*GoogleFinance(""CURRENCY:GBPUSD"")"),7.16332125)</f>
        <v>7.16332125</v>
      </c>
      <c r="BH49" s="157">
        <f t="shared" si="17"/>
        <v>373.7641945</v>
      </c>
      <c r="BI49" s="42">
        <f t="shared" si="18"/>
        <v>4885.098022</v>
      </c>
      <c r="BJ49" s="158"/>
      <c r="BK49" s="42">
        <f t="shared" si="19"/>
        <v>12765.51187</v>
      </c>
      <c r="BL49" s="42">
        <f>IFERROR(__xludf.DUMMYFUNCTION("BM49*GoogleFinance(""CURRENCY:GBPUSD"")"),976.70328)</f>
        <v>976.70328</v>
      </c>
      <c r="BM49" s="24">
        <f t="shared" si="20"/>
        <v>784</v>
      </c>
      <c r="BN49" s="13">
        <v>121.0</v>
      </c>
      <c r="BO49" s="13">
        <v>126.0</v>
      </c>
      <c r="BP49" s="13">
        <v>244.0</v>
      </c>
      <c r="BQ49" s="13">
        <v>177.0</v>
      </c>
      <c r="BR49" s="13">
        <v>116.0</v>
      </c>
      <c r="BS49" s="13">
        <v>200.0</v>
      </c>
      <c r="BT49" s="50"/>
      <c r="BU49" s="53"/>
      <c r="BV49" s="53"/>
      <c r="BW49" s="50"/>
      <c r="BX49" s="50"/>
      <c r="BY49" s="50"/>
      <c r="BZ49" s="50"/>
      <c r="CA49" s="50"/>
    </row>
    <row r="50">
      <c r="A50" s="13" t="s">
        <v>598</v>
      </c>
      <c r="B50" s="27"/>
      <c r="C50" s="13" t="s">
        <v>27</v>
      </c>
      <c r="D50" s="27"/>
      <c r="E50" s="150">
        <v>2.7</v>
      </c>
      <c r="F50" s="13">
        <v>90.0</v>
      </c>
      <c r="G50" s="24">
        <f t="shared" si="3"/>
        <v>67</v>
      </c>
      <c r="H50" s="26">
        <v>16000.0</v>
      </c>
      <c r="I50" s="151">
        <v>0.9</v>
      </c>
      <c r="J50" s="27"/>
      <c r="K50" s="13">
        <v>18.0</v>
      </c>
      <c r="L50" s="152">
        <f t="shared" si="4"/>
        <v>0.816091954</v>
      </c>
      <c r="M50" s="67">
        <v>9.02</v>
      </c>
      <c r="N50" s="153">
        <f t="shared" si="5"/>
        <v>0.1379310345</v>
      </c>
      <c r="O50" s="13">
        <v>0.0</v>
      </c>
      <c r="P50" s="152">
        <f t="shared" si="6"/>
        <v>1</v>
      </c>
      <c r="Q50" s="26">
        <v>600.0</v>
      </c>
      <c r="R50" s="153">
        <f t="shared" si="7"/>
        <v>0.7701149425</v>
      </c>
      <c r="S50" s="26">
        <v>466.3820615625</v>
      </c>
      <c r="T50" s="153">
        <f t="shared" si="8"/>
        <v>0.2298850575</v>
      </c>
      <c r="U50" s="13">
        <v>1.0</v>
      </c>
      <c r="V50" s="154">
        <v>0.5</v>
      </c>
      <c r="W50" s="13">
        <v>1.0</v>
      </c>
      <c r="X50" s="153">
        <f t="shared" ref="X50:X51" si="48">100%</f>
        <v>1</v>
      </c>
      <c r="Y50" s="27"/>
      <c r="Z50" s="35">
        <f t="shared" si="9"/>
        <v>3.954022989</v>
      </c>
      <c r="AA50" s="24">
        <f t="shared" si="10"/>
        <v>46</v>
      </c>
      <c r="AB50" s="24">
        <f t="shared" si="11"/>
        <v>34</v>
      </c>
      <c r="AC50" s="35">
        <f t="shared" si="12"/>
        <v>2.704022989</v>
      </c>
      <c r="AD50" s="24">
        <f t="shared" si="13"/>
        <v>90</v>
      </c>
      <c r="AE50" s="27"/>
      <c r="AF50" s="13" t="s">
        <v>148</v>
      </c>
      <c r="AG50" s="107" t="s">
        <v>150</v>
      </c>
      <c r="AH50" s="107" t="s">
        <v>150</v>
      </c>
      <c r="AI50" s="16">
        <f t="shared" si="44"/>
        <v>59.055</v>
      </c>
      <c r="AJ50" s="108">
        <f>average(22,24.5)</f>
        <v>23.25</v>
      </c>
      <c r="AK50" s="27"/>
      <c r="AL50" s="13" t="s">
        <v>600</v>
      </c>
      <c r="AM50" s="50"/>
      <c r="AN50" s="50"/>
      <c r="AO50" s="13" t="s">
        <v>267</v>
      </c>
      <c r="AP50" s="159" t="s">
        <v>268</v>
      </c>
      <c r="AQ50" s="13" t="s">
        <v>269</v>
      </c>
      <c r="AR50" s="13">
        <v>1198.0</v>
      </c>
      <c r="AS50" s="13" t="s">
        <v>145</v>
      </c>
      <c r="AT50" s="13" t="s">
        <v>145</v>
      </c>
      <c r="AU50" s="50"/>
      <c r="AV50" s="50"/>
      <c r="AW50" s="50"/>
      <c r="AX50" s="42">
        <f t="shared" si="14"/>
        <v>12981.21662</v>
      </c>
      <c r="AY50" s="156">
        <f t="shared" si="15"/>
        <v>0.8965517241</v>
      </c>
      <c r="AZ50" s="42">
        <f>average(1200,300,300)</f>
        <v>600</v>
      </c>
      <c r="BA50" s="13" t="s">
        <v>146</v>
      </c>
      <c r="BB50" s="13">
        <v>300.0</v>
      </c>
      <c r="BC50" s="13">
        <v>1200.0</v>
      </c>
      <c r="BD50" s="24">
        <f t="shared" si="47"/>
        <v>5.75</v>
      </c>
      <c r="BE50" s="13">
        <v>4.0</v>
      </c>
      <c r="BF50" s="13">
        <v>7.5</v>
      </c>
      <c r="BG50" s="35">
        <f>IFERROR(__xludf.DUMMYFUNCTION("BD50*GoogleFinance(""CURRENCY:GBPUSD"")"),7.16332125)</f>
        <v>7.16332125</v>
      </c>
      <c r="BH50" s="157">
        <f t="shared" si="17"/>
        <v>373.7641945</v>
      </c>
      <c r="BI50" s="42">
        <f t="shared" si="18"/>
        <v>3371.353035</v>
      </c>
      <c r="BJ50" s="158"/>
      <c r="BK50" s="42">
        <f t="shared" si="19"/>
        <v>8809.863586</v>
      </c>
      <c r="BL50" s="42">
        <f>IFERROR(__xludf.DUMMYFUNCTION("BM50*GoogleFinance(""CURRENCY:GBPUSD"")"),976.70328)</f>
        <v>976.70328</v>
      </c>
      <c r="BM50" s="24">
        <f t="shared" si="20"/>
        <v>784</v>
      </c>
      <c r="BN50" s="13">
        <v>121.0</v>
      </c>
      <c r="BO50" s="13">
        <v>126.0</v>
      </c>
      <c r="BP50" s="13">
        <v>244.0</v>
      </c>
      <c r="BQ50" s="13">
        <v>177.0</v>
      </c>
      <c r="BR50" s="13">
        <v>116.0</v>
      </c>
      <c r="BS50" s="13">
        <v>200.0</v>
      </c>
      <c r="BT50" s="50"/>
      <c r="BU50" s="53"/>
      <c r="BV50" s="53"/>
      <c r="BW50" s="50"/>
      <c r="BX50" s="50"/>
      <c r="BY50" s="50"/>
      <c r="BZ50" s="50"/>
      <c r="CA50" s="50"/>
    </row>
    <row r="51">
      <c r="A51" s="13" t="s">
        <v>394</v>
      </c>
      <c r="B51" s="27"/>
      <c r="C51" s="13" t="s">
        <v>34</v>
      </c>
      <c r="D51" s="27"/>
      <c r="E51" s="150">
        <v>2.61</v>
      </c>
      <c r="F51" s="13">
        <v>22.0</v>
      </c>
      <c r="G51" s="24">
        <f t="shared" si="3"/>
        <v>22</v>
      </c>
      <c r="H51" s="26">
        <v>17741.0</v>
      </c>
      <c r="I51" s="151">
        <v>0.77</v>
      </c>
      <c r="J51" s="27"/>
      <c r="K51" s="13">
        <v>54.0</v>
      </c>
      <c r="L51" s="152">
        <f t="shared" si="4"/>
        <v>0.3103448276</v>
      </c>
      <c r="M51" s="67">
        <v>10.92</v>
      </c>
      <c r="N51" s="153">
        <f t="shared" si="5"/>
        <v>0.3793103448</v>
      </c>
      <c r="O51" s="13">
        <v>1.0</v>
      </c>
      <c r="P51" s="152">
        <f t="shared" si="6"/>
        <v>0.8888888889</v>
      </c>
      <c r="Q51" s="26">
        <v>690.0</v>
      </c>
      <c r="R51" s="153">
        <f t="shared" si="7"/>
        <v>0.632183908</v>
      </c>
      <c r="S51" s="26">
        <v>324.439695</v>
      </c>
      <c r="T51" s="153">
        <f t="shared" si="8"/>
        <v>0.6781609195</v>
      </c>
      <c r="U51" s="13">
        <v>2.0</v>
      </c>
      <c r="V51" s="154">
        <v>0.75</v>
      </c>
      <c r="W51" s="13">
        <v>1.0</v>
      </c>
      <c r="X51" s="153">
        <f t="shared" si="48"/>
        <v>1</v>
      </c>
      <c r="Y51" s="27"/>
      <c r="Z51" s="35">
        <f t="shared" si="9"/>
        <v>3.983716475</v>
      </c>
      <c r="AA51" s="24">
        <f t="shared" si="10"/>
        <v>47</v>
      </c>
      <c r="AB51" s="24">
        <f t="shared" si="11"/>
        <v>32</v>
      </c>
      <c r="AC51" s="35">
        <f t="shared" si="12"/>
        <v>2.608716475</v>
      </c>
      <c r="AD51" s="24">
        <f t="shared" si="13"/>
        <v>22</v>
      </c>
      <c r="AE51" s="27"/>
      <c r="AF51" s="13" t="s">
        <v>148</v>
      </c>
      <c r="AG51" s="115" t="s">
        <v>405</v>
      </c>
      <c r="AH51" s="115" t="s">
        <v>405</v>
      </c>
      <c r="AI51" s="107" t="s">
        <v>150</v>
      </c>
      <c r="AJ51" s="107" t="s">
        <v>150</v>
      </c>
      <c r="AK51" s="27"/>
      <c r="AL51" s="50"/>
      <c r="AM51" s="50"/>
      <c r="AN51" s="50"/>
      <c r="AO51" s="13" t="s">
        <v>184</v>
      </c>
      <c r="AP51" s="159" t="s">
        <v>185</v>
      </c>
      <c r="AQ51" s="13" t="s">
        <v>187</v>
      </c>
      <c r="AR51" s="13">
        <v>42.0</v>
      </c>
      <c r="AS51" s="13" t="s">
        <v>396</v>
      </c>
      <c r="AT51" s="13" t="s">
        <v>397</v>
      </c>
      <c r="AU51" s="50"/>
      <c r="AV51" s="50"/>
      <c r="AW51" s="50"/>
      <c r="AX51" s="42">
        <f t="shared" si="14"/>
        <v>14394.90765</v>
      </c>
      <c r="AY51" s="156">
        <f t="shared" si="15"/>
        <v>0.7586206897</v>
      </c>
      <c r="AZ51" s="42">
        <f>average(450,600,950,550,700,450,1050,750,400,1000)</f>
        <v>690</v>
      </c>
      <c r="BA51" s="13" t="s">
        <v>146</v>
      </c>
      <c r="BB51" s="13">
        <v>400.0</v>
      </c>
      <c r="BC51" s="13">
        <v>1050.0</v>
      </c>
      <c r="BD51" s="24">
        <f t="shared" si="47"/>
        <v>4</v>
      </c>
      <c r="BE51" s="13">
        <v>4.0</v>
      </c>
      <c r="BF51" s="13">
        <v>4.0</v>
      </c>
      <c r="BG51" s="35">
        <f>IFERROR(__xludf.DUMMYFUNCTION("BD51*GoogleFinance(""CURRENCY:GBPUSD"")"),4.98318)</f>
        <v>4.98318</v>
      </c>
      <c r="BH51" s="157">
        <f t="shared" si="17"/>
        <v>260.0098745</v>
      </c>
      <c r="BI51" s="42">
        <f t="shared" si="18"/>
        <v>2839.307829</v>
      </c>
      <c r="BJ51" s="158"/>
      <c r="BK51" s="42">
        <f t="shared" si="19"/>
        <v>10665.59982</v>
      </c>
      <c r="BL51" s="42">
        <f>IFERROR(__xludf.DUMMYFUNCTION("BM51*GoogleFinance(""CURRENCY:GBPUSD"")"),976.70328)</f>
        <v>976.70328</v>
      </c>
      <c r="BM51" s="24">
        <f t="shared" si="20"/>
        <v>784</v>
      </c>
      <c r="BN51" s="13">
        <v>121.0</v>
      </c>
      <c r="BO51" s="13">
        <v>126.0</v>
      </c>
      <c r="BP51" s="13">
        <v>244.0</v>
      </c>
      <c r="BQ51" s="13">
        <v>177.0</v>
      </c>
      <c r="BR51" s="13">
        <v>116.0</v>
      </c>
      <c r="BS51" s="13">
        <v>200.0</v>
      </c>
      <c r="BT51" s="50"/>
      <c r="BU51" s="53"/>
      <c r="BV51" s="53"/>
      <c r="BW51" s="50"/>
      <c r="BX51" s="50"/>
      <c r="BY51" s="50"/>
      <c r="BZ51" s="50"/>
      <c r="CA51" s="50"/>
    </row>
    <row r="52">
      <c r="A52" s="13" t="s">
        <v>37</v>
      </c>
      <c r="B52" s="27"/>
      <c r="C52" s="13" t="s">
        <v>38</v>
      </c>
      <c r="D52" s="27"/>
      <c r="E52" s="150">
        <v>2.59</v>
      </c>
      <c r="F52" s="13">
        <v>13.0</v>
      </c>
      <c r="G52" s="24">
        <f t="shared" si="3"/>
        <v>13</v>
      </c>
      <c r="H52" s="26">
        <v>18397.0</v>
      </c>
      <c r="I52" s="151">
        <v>0.71</v>
      </c>
      <c r="J52" s="27"/>
      <c r="K52" s="13">
        <v>5.0</v>
      </c>
      <c r="L52" s="152">
        <f t="shared" si="4"/>
        <v>0.9540229885</v>
      </c>
      <c r="M52" s="67">
        <v>10.33</v>
      </c>
      <c r="N52" s="153">
        <f t="shared" si="5"/>
        <v>0.3218390805</v>
      </c>
      <c r="O52" s="13">
        <v>4.0</v>
      </c>
      <c r="P52" s="152">
        <f t="shared" si="6"/>
        <v>0.5555555556</v>
      </c>
      <c r="Q52" s="26">
        <v>789.5</v>
      </c>
      <c r="R52" s="153">
        <f t="shared" si="7"/>
        <v>0.5402298851</v>
      </c>
      <c r="S52" s="26">
        <v>466.3820615625</v>
      </c>
      <c r="T52" s="153">
        <f t="shared" si="8"/>
        <v>0.2298850575</v>
      </c>
      <c r="U52" s="13">
        <v>2.0</v>
      </c>
      <c r="V52" s="154">
        <v>0.75</v>
      </c>
      <c r="W52" s="13">
        <v>2.0</v>
      </c>
      <c r="X52" s="151">
        <v>0.5</v>
      </c>
      <c r="Y52" s="27"/>
      <c r="Z52" s="35">
        <f t="shared" si="9"/>
        <v>3.466475096</v>
      </c>
      <c r="AA52" s="24">
        <f t="shared" si="10"/>
        <v>49</v>
      </c>
      <c r="AB52" s="24">
        <f t="shared" si="11"/>
        <v>57</v>
      </c>
      <c r="AC52" s="35">
        <f t="shared" si="12"/>
        <v>2.591475096</v>
      </c>
      <c r="AD52" s="24">
        <f t="shared" si="13"/>
        <v>13</v>
      </c>
      <c r="AE52" s="27"/>
      <c r="AF52" s="13" t="s">
        <v>166</v>
      </c>
      <c r="AG52" s="115" t="s">
        <v>150</v>
      </c>
      <c r="AH52" s="107" t="s">
        <v>150</v>
      </c>
      <c r="AI52" s="16">
        <f>AJ52*2.54</f>
        <v>66.04</v>
      </c>
      <c r="AJ52" s="108">
        <f>average(24,28)</f>
        <v>26</v>
      </c>
      <c r="AK52" s="27"/>
      <c r="AL52" s="50"/>
      <c r="AM52" s="50"/>
      <c r="AN52" s="50"/>
      <c r="AO52" s="13" t="s">
        <v>250</v>
      </c>
      <c r="AP52" s="13" t="s">
        <v>251</v>
      </c>
      <c r="AQ52" s="13" t="s">
        <v>252</v>
      </c>
      <c r="AR52" s="13">
        <v>201.0</v>
      </c>
      <c r="AS52" s="13" t="s">
        <v>555</v>
      </c>
      <c r="AT52" s="13" t="s">
        <v>556</v>
      </c>
      <c r="AU52" s="50"/>
      <c r="AV52" s="50"/>
      <c r="AW52" s="50"/>
      <c r="AX52" s="42">
        <f t="shared" si="14"/>
        <v>14939.82901</v>
      </c>
      <c r="AY52" s="156">
        <f t="shared" si="15"/>
        <v>0.6896551724</v>
      </c>
      <c r="AZ52" s="42">
        <f>average(1000,495,800,1000,900,600,1200,800,300,800)</f>
        <v>789.5</v>
      </c>
      <c r="BA52" s="13" t="s">
        <v>160</v>
      </c>
      <c r="BB52" s="13">
        <v>300.0</v>
      </c>
      <c r="BC52" s="13">
        <v>1200.0</v>
      </c>
      <c r="BD52" s="24">
        <f t="shared" si="47"/>
        <v>5.75</v>
      </c>
      <c r="BE52" s="13">
        <v>4.0</v>
      </c>
      <c r="BF52" s="13">
        <v>7.5</v>
      </c>
      <c r="BG52" s="35">
        <f>IFERROR(__xludf.DUMMYFUNCTION("BD52*GoogleFinance(""CURRENCY:GBPUSD"")"),7.16332125)</f>
        <v>7.16332125</v>
      </c>
      <c r="BH52" s="157">
        <f t="shared" si="17"/>
        <v>373.7641945</v>
      </c>
      <c r="BI52" s="42">
        <f t="shared" si="18"/>
        <v>3860.984129</v>
      </c>
      <c r="BJ52" s="158"/>
      <c r="BK52" s="42">
        <f t="shared" si="19"/>
        <v>10089.34488</v>
      </c>
      <c r="BL52" s="42">
        <f>IFERROR(__xludf.DUMMYFUNCTION("BM52*GoogleFinance(""CURRENCY:GBPUSD"")"),976.70328)</f>
        <v>976.70328</v>
      </c>
      <c r="BM52" s="24">
        <f t="shared" si="20"/>
        <v>784</v>
      </c>
      <c r="BN52" s="13">
        <v>121.0</v>
      </c>
      <c r="BO52" s="13">
        <v>126.0</v>
      </c>
      <c r="BP52" s="13">
        <v>244.0</v>
      </c>
      <c r="BQ52" s="13">
        <v>177.0</v>
      </c>
      <c r="BR52" s="13">
        <v>116.0</v>
      </c>
      <c r="BS52" s="13">
        <v>200.0</v>
      </c>
      <c r="BT52" s="50"/>
      <c r="BU52" s="53"/>
      <c r="BV52" s="53"/>
      <c r="BW52" s="50"/>
      <c r="BX52" s="50"/>
      <c r="BY52" s="50"/>
      <c r="BZ52" s="50"/>
      <c r="CA52" s="50"/>
    </row>
    <row r="53">
      <c r="A53" s="47" t="s">
        <v>586</v>
      </c>
      <c r="B53" s="27"/>
      <c r="C53" s="47" t="s">
        <v>43</v>
      </c>
      <c r="D53" s="27"/>
      <c r="E53" s="150">
        <v>2.59</v>
      </c>
      <c r="F53" s="47">
        <v>129.0</v>
      </c>
      <c r="G53" s="24">
        <f t="shared" si="3"/>
        <v>80</v>
      </c>
      <c r="H53" s="26">
        <v>17521.0</v>
      </c>
      <c r="I53" s="151">
        <v>0.79</v>
      </c>
      <c r="J53" s="27"/>
      <c r="K53" s="47">
        <v>45.0</v>
      </c>
      <c r="L53" s="152">
        <f t="shared" si="4"/>
        <v>0.4482758621</v>
      </c>
      <c r="M53" s="180">
        <v>10.1</v>
      </c>
      <c r="N53" s="153">
        <f t="shared" si="5"/>
        <v>0.2873563218</v>
      </c>
      <c r="O53" s="47">
        <v>0.0</v>
      </c>
      <c r="P53" s="152">
        <f t="shared" si="6"/>
        <v>1</v>
      </c>
      <c r="Q53" s="26">
        <v>925.0</v>
      </c>
      <c r="R53" s="153">
        <f t="shared" si="7"/>
        <v>0.3333333333</v>
      </c>
      <c r="S53" s="26">
        <v>404.597379375</v>
      </c>
      <c r="T53" s="153">
        <f t="shared" si="8"/>
        <v>0.632183908</v>
      </c>
      <c r="U53" s="47">
        <v>2.0</v>
      </c>
      <c r="V53" s="154">
        <v>0.75</v>
      </c>
      <c r="W53" s="47">
        <v>2.0</v>
      </c>
      <c r="X53" s="169">
        <v>0.5</v>
      </c>
      <c r="Y53" s="27"/>
      <c r="Z53" s="35">
        <f t="shared" si="9"/>
        <v>3.468390805</v>
      </c>
      <c r="AA53" s="24">
        <f t="shared" si="10"/>
        <v>48</v>
      </c>
      <c r="AB53" s="24">
        <f t="shared" si="11"/>
        <v>56</v>
      </c>
      <c r="AC53" s="35">
        <f t="shared" si="12"/>
        <v>2.593390805</v>
      </c>
      <c r="AD53" s="24">
        <f t="shared" si="13"/>
        <v>129</v>
      </c>
      <c r="AE53" s="27"/>
      <c r="AF53" s="47" t="s">
        <v>149</v>
      </c>
      <c r="AG53" s="172">
        <f>AH53*0.45359237</f>
        <v>4.98951607</v>
      </c>
      <c r="AH53" s="174">
        <f>average(8,14)</f>
        <v>11</v>
      </c>
      <c r="AI53" s="173">
        <v>25.0</v>
      </c>
      <c r="AJ53" s="173">
        <v>10.0</v>
      </c>
      <c r="AK53" s="27"/>
      <c r="AL53" s="129"/>
      <c r="AM53" s="129"/>
      <c r="AN53" s="129"/>
      <c r="AO53" s="47" t="s">
        <v>184</v>
      </c>
      <c r="AP53" s="175" t="s">
        <v>185</v>
      </c>
      <c r="AQ53" s="47" t="s">
        <v>187</v>
      </c>
      <c r="AR53" s="47">
        <v>22.0</v>
      </c>
      <c r="AS53" s="47" t="s">
        <v>145</v>
      </c>
      <c r="AT53" s="47" t="s">
        <v>145</v>
      </c>
      <c r="AU53" s="129"/>
      <c r="AV53" s="129"/>
      <c r="AW53" s="129"/>
      <c r="AX53" s="157">
        <f t="shared" si="14"/>
        <v>13505.84978</v>
      </c>
      <c r="AY53" s="156">
        <f t="shared" si="15"/>
        <v>0.8390804598</v>
      </c>
      <c r="AZ53" s="157">
        <f>average(600,1000,550,1000,1000,1250,150,1200,1000,1500)</f>
        <v>925</v>
      </c>
      <c r="BA53" s="47" t="s">
        <v>160</v>
      </c>
      <c r="BB53" s="47">
        <v>150.0</v>
      </c>
      <c r="BC53" s="47">
        <v>1500.0</v>
      </c>
      <c r="BD53" s="176" t="s">
        <v>182</v>
      </c>
      <c r="BE53" s="176" t="s">
        <v>182</v>
      </c>
      <c r="BF53" s="176" t="s">
        <v>182</v>
      </c>
      <c r="BG53" s="157">
        <f>IFERROR(__xludf.DUMMYFUNCTION("SUM(5+10)/2*GoogleFinance(""CURRENCY:AUDUSD"")"),4.7745375)</f>
        <v>4.7745375</v>
      </c>
      <c r="BH53" s="157">
        <f t="shared" si="17"/>
        <v>249.1234304</v>
      </c>
      <c r="BI53" s="157">
        <f t="shared" si="18"/>
        <v>2516.146647</v>
      </c>
      <c r="BJ53" s="158"/>
      <c r="BK53" s="157">
        <f t="shared" si="19"/>
        <v>9864.703128</v>
      </c>
      <c r="BL53" s="157">
        <f>IFERROR(__xludf.DUMMYFUNCTION("BM53*GoogleFinance(""CURRENCY:GBPUSD"")"),976.70328)</f>
        <v>976.70328</v>
      </c>
      <c r="BM53" s="177">
        <f t="shared" si="20"/>
        <v>784</v>
      </c>
      <c r="BN53" s="47">
        <v>121.0</v>
      </c>
      <c r="BO53" s="47">
        <v>126.0</v>
      </c>
      <c r="BP53" s="47">
        <v>244.0</v>
      </c>
      <c r="BQ53" s="47">
        <v>177.0</v>
      </c>
      <c r="BR53" s="47">
        <v>116.0</v>
      </c>
      <c r="BS53" s="47">
        <v>200.0</v>
      </c>
      <c r="BT53" s="47" t="s">
        <v>648</v>
      </c>
      <c r="BU53" s="178" t="s">
        <v>649</v>
      </c>
      <c r="BV53" s="178" t="s">
        <v>652</v>
      </c>
      <c r="BW53" s="129"/>
      <c r="BX53" s="129"/>
      <c r="BY53" s="129"/>
      <c r="BZ53" s="129"/>
      <c r="CA53" s="129"/>
    </row>
    <row r="54">
      <c r="A54" s="13" t="s">
        <v>653</v>
      </c>
      <c r="B54" s="27"/>
      <c r="C54" s="13" t="s">
        <v>32</v>
      </c>
      <c r="D54" s="27"/>
      <c r="E54" s="150">
        <v>2.57</v>
      </c>
      <c r="F54" s="13">
        <v>108.0</v>
      </c>
      <c r="G54" s="24">
        <f t="shared" si="3"/>
        <v>72</v>
      </c>
      <c r="H54" s="26">
        <v>19132.0</v>
      </c>
      <c r="I54" s="151">
        <v>0.61</v>
      </c>
      <c r="J54" s="27"/>
      <c r="K54" s="13">
        <v>14.0</v>
      </c>
      <c r="L54" s="152">
        <f t="shared" si="4"/>
        <v>0.8505747126</v>
      </c>
      <c r="M54" s="67">
        <v>10.6</v>
      </c>
      <c r="N54" s="153">
        <f t="shared" si="5"/>
        <v>0.3448275862</v>
      </c>
      <c r="O54" s="13">
        <v>2.0</v>
      </c>
      <c r="P54" s="152">
        <f t="shared" si="6"/>
        <v>0.7777777778</v>
      </c>
      <c r="Q54" s="26">
        <v>1070.0</v>
      </c>
      <c r="R54" s="153">
        <f t="shared" si="7"/>
        <v>0.2068965517</v>
      </c>
      <c r="S54" s="26">
        <v>466.3820615625</v>
      </c>
      <c r="T54" s="153">
        <f t="shared" si="8"/>
        <v>0.2298850575</v>
      </c>
      <c r="U54" s="13">
        <v>2.0</v>
      </c>
      <c r="V54" s="154">
        <v>0.75</v>
      </c>
      <c r="W54" s="13">
        <v>1.0</v>
      </c>
      <c r="X54" s="153">
        <f t="shared" ref="X54:X57" si="49">100%</f>
        <v>1</v>
      </c>
      <c r="Y54" s="27"/>
      <c r="Z54" s="35">
        <f t="shared" si="9"/>
        <v>3.941570881</v>
      </c>
      <c r="AA54" s="24">
        <f t="shared" si="10"/>
        <v>52</v>
      </c>
      <c r="AB54" s="24">
        <f t="shared" si="11"/>
        <v>38</v>
      </c>
      <c r="AC54" s="35">
        <f t="shared" si="12"/>
        <v>2.566570881</v>
      </c>
      <c r="AD54" s="24">
        <f t="shared" si="13"/>
        <v>108</v>
      </c>
      <c r="AE54" s="27"/>
      <c r="AF54" s="13" t="s">
        <v>166</v>
      </c>
      <c r="AG54" s="107" t="s">
        <v>150</v>
      </c>
      <c r="AH54" s="107" t="s">
        <v>150</v>
      </c>
      <c r="AI54" s="16">
        <f t="shared" ref="AI54:AI66" si="50">AJ54*2.54</f>
        <v>60.96</v>
      </c>
      <c r="AJ54" s="108">
        <f>average(22,26)</f>
        <v>24</v>
      </c>
      <c r="AK54" s="27"/>
      <c r="AL54" s="50"/>
      <c r="AM54" s="50"/>
      <c r="AN54" s="50"/>
      <c r="AO54" s="13" t="s">
        <v>267</v>
      </c>
      <c r="AP54" s="159" t="s">
        <v>268</v>
      </c>
      <c r="AQ54" s="13" t="s">
        <v>269</v>
      </c>
      <c r="AR54" s="13">
        <v>105.0</v>
      </c>
      <c r="AS54" s="13" t="s">
        <v>353</v>
      </c>
      <c r="AT54" s="13" t="s">
        <v>354</v>
      </c>
      <c r="AU54" s="50"/>
      <c r="AV54" s="50"/>
      <c r="AW54" s="50"/>
      <c r="AX54" s="42">
        <f t="shared" si="14"/>
        <v>15584.95523</v>
      </c>
      <c r="AY54" s="156">
        <f t="shared" si="15"/>
        <v>0.5977011494</v>
      </c>
      <c r="AZ54" s="42">
        <f>average(1200,1200,900,900,1200,1200,850,1200,850,1200)</f>
        <v>1070</v>
      </c>
      <c r="BA54" s="13" t="s">
        <v>160</v>
      </c>
      <c r="BB54" s="13">
        <v>850.0</v>
      </c>
      <c r="BC54" s="13">
        <v>1200.0</v>
      </c>
      <c r="BD54" s="24">
        <f t="shared" ref="BD54:BD61" si="51">average(BE54,BF54)</f>
        <v>5.75</v>
      </c>
      <c r="BE54" s="13">
        <v>4.0</v>
      </c>
      <c r="BF54" s="13">
        <v>7.5</v>
      </c>
      <c r="BG54" s="35">
        <f>IFERROR(__xludf.DUMMYFUNCTION("BD54*GoogleFinance(""CURRENCY:GBPUSD"")"),7.16332125)</f>
        <v>7.16332125</v>
      </c>
      <c r="BH54" s="157">
        <f t="shared" si="17"/>
        <v>373.7641945</v>
      </c>
      <c r="BI54" s="42">
        <f t="shared" si="18"/>
        <v>3961.900462</v>
      </c>
      <c r="BJ54" s="158"/>
      <c r="BK54" s="42">
        <f t="shared" si="19"/>
        <v>10353.05477</v>
      </c>
      <c r="BL54" s="42">
        <f>IFERROR(__xludf.DUMMYFUNCTION("BM54*GoogleFinance(""CURRENCY:GBPUSD"")"),976.70328)</f>
        <v>976.70328</v>
      </c>
      <c r="BM54" s="24">
        <f t="shared" si="20"/>
        <v>784</v>
      </c>
      <c r="BN54" s="13">
        <v>121.0</v>
      </c>
      <c r="BO54" s="13">
        <v>126.0</v>
      </c>
      <c r="BP54" s="13">
        <v>244.0</v>
      </c>
      <c r="BQ54" s="13">
        <v>177.0</v>
      </c>
      <c r="BR54" s="13">
        <v>116.0</v>
      </c>
      <c r="BS54" s="13">
        <v>200.0</v>
      </c>
      <c r="BT54" s="50"/>
      <c r="BU54" s="53"/>
      <c r="BV54" s="53"/>
      <c r="BW54" s="50"/>
      <c r="BX54" s="50"/>
      <c r="BY54" s="50"/>
      <c r="BZ54" s="50"/>
      <c r="CA54" s="50"/>
    </row>
    <row r="55">
      <c r="A55" s="13" t="s">
        <v>489</v>
      </c>
      <c r="B55" s="27"/>
      <c r="C55" s="13" t="s">
        <v>43</v>
      </c>
      <c r="D55" s="27"/>
      <c r="E55" s="150">
        <v>2.57</v>
      </c>
      <c r="F55" s="13">
        <v>21.0</v>
      </c>
      <c r="G55" s="24">
        <f t="shared" si="3"/>
        <v>21</v>
      </c>
      <c r="H55" s="26">
        <v>18639.0</v>
      </c>
      <c r="I55" s="151">
        <v>0.67</v>
      </c>
      <c r="J55" s="27"/>
      <c r="K55" s="13">
        <v>44.0</v>
      </c>
      <c r="L55" s="152">
        <f t="shared" si="4"/>
        <v>0.4827586207</v>
      </c>
      <c r="M55" s="67">
        <v>11.29</v>
      </c>
      <c r="N55" s="153">
        <f t="shared" si="5"/>
        <v>0.4597701149</v>
      </c>
      <c r="O55" s="13">
        <v>2.0</v>
      </c>
      <c r="P55" s="152">
        <f t="shared" si="6"/>
        <v>0.7777777778</v>
      </c>
      <c r="Q55" s="26">
        <v>1016.55555555556</v>
      </c>
      <c r="R55" s="153">
        <f t="shared" si="7"/>
        <v>0.275862069</v>
      </c>
      <c r="S55" s="26">
        <v>324.439695</v>
      </c>
      <c r="T55" s="153">
        <f t="shared" si="8"/>
        <v>0.6781609195</v>
      </c>
      <c r="U55" s="13">
        <v>2.0</v>
      </c>
      <c r="V55" s="154">
        <v>0.75</v>
      </c>
      <c r="W55" s="13">
        <v>1.0</v>
      </c>
      <c r="X55" s="153">
        <f t="shared" si="49"/>
        <v>1</v>
      </c>
      <c r="Y55" s="27"/>
      <c r="Z55" s="35">
        <f t="shared" si="9"/>
        <v>3.947318008</v>
      </c>
      <c r="AA55" s="24">
        <f t="shared" si="10"/>
        <v>50</v>
      </c>
      <c r="AB55" s="24">
        <f t="shared" si="11"/>
        <v>35</v>
      </c>
      <c r="AC55" s="35">
        <f t="shared" si="12"/>
        <v>2.572318008</v>
      </c>
      <c r="AD55" s="24">
        <f t="shared" si="13"/>
        <v>21</v>
      </c>
      <c r="AE55" s="27"/>
      <c r="AF55" s="13" t="s">
        <v>149</v>
      </c>
      <c r="AG55" s="16">
        <f>AH55*0.45359237</f>
        <v>7.030681735</v>
      </c>
      <c r="AH55" s="108">
        <f>average(13,18)</f>
        <v>15.5</v>
      </c>
      <c r="AI55" s="16">
        <f t="shared" si="50"/>
        <v>31.75</v>
      </c>
      <c r="AJ55" s="108">
        <f>average(12,13)</f>
        <v>12.5</v>
      </c>
      <c r="AK55" s="27"/>
      <c r="AL55" s="50"/>
      <c r="AM55" s="50"/>
      <c r="AN55" s="50"/>
      <c r="AO55" s="13" t="s">
        <v>184</v>
      </c>
      <c r="AP55" s="159" t="s">
        <v>185</v>
      </c>
      <c r="AQ55" s="13" t="s">
        <v>187</v>
      </c>
      <c r="AR55" s="13">
        <v>829.0</v>
      </c>
      <c r="AS55" s="13" t="s">
        <v>490</v>
      </c>
      <c r="AT55" s="13" t="s">
        <v>491</v>
      </c>
      <c r="AU55" s="50"/>
      <c r="AV55" s="50"/>
      <c r="AW55" s="50"/>
      <c r="AX55" s="42">
        <f t="shared" si="14"/>
        <v>15179.04707</v>
      </c>
      <c r="AY55" s="156">
        <f t="shared" si="15"/>
        <v>0.6551724138</v>
      </c>
      <c r="AZ55" s="42">
        <f>average(1300,300,100,1500,800,1500,1800,899,950)</f>
        <v>1016.555556</v>
      </c>
      <c r="BA55" s="13" t="s">
        <v>160</v>
      </c>
      <c r="BB55" s="13">
        <v>100.0</v>
      </c>
      <c r="BC55" s="13">
        <v>1800.0</v>
      </c>
      <c r="BD55" s="24">
        <f t="shared" si="51"/>
        <v>4</v>
      </c>
      <c r="BE55" s="13">
        <v>4.0</v>
      </c>
      <c r="BF55" s="13">
        <v>4.0</v>
      </c>
      <c r="BG55" s="35">
        <f>IFERROR(__xludf.DUMMYFUNCTION("BD55*GoogleFinance(""CURRENCY:GBPUSD"")"),4.98318)</f>
        <v>4.98318</v>
      </c>
      <c r="BH55" s="157">
        <f t="shared" si="17"/>
        <v>260.0098745</v>
      </c>
      <c r="BI55" s="42">
        <f t="shared" si="18"/>
        <v>2935.511483</v>
      </c>
      <c r="BJ55" s="158"/>
      <c r="BK55" s="42">
        <f t="shared" si="19"/>
        <v>11026.98003</v>
      </c>
      <c r="BL55" s="42">
        <f>IFERROR(__xludf.DUMMYFUNCTION("BM55*GoogleFinance(""CURRENCY:GBPUSD"")"),976.70328)</f>
        <v>976.70328</v>
      </c>
      <c r="BM55" s="24">
        <f t="shared" si="20"/>
        <v>784</v>
      </c>
      <c r="BN55" s="13">
        <v>121.0</v>
      </c>
      <c r="BO55" s="13">
        <v>126.0</v>
      </c>
      <c r="BP55" s="13">
        <v>244.0</v>
      </c>
      <c r="BQ55" s="13">
        <v>177.0</v>
      </c>
      <c r="BR55" s="13">
        <v>116.0</v>
      </c>
      <c r="BS55" s="13">
        <v>200.0</v>
      </c>
      <c r="BT55" s="50"/>
      <c r="BU55" s="53"/>
      <c r="BV55" s="53"/>
      <c r="BW55" s="50"/>
      <c r="BX55" s="50"/>
      <c r="BY55" s="50"/>
      <c r="BZ55" s="50"/>
      <c r="CA55" s="50"/>
    </row>
    <row r="56">
      <c r="A56" s="13" t="s">
        <v>545</v>
      </c>
      <c r="B56" s="27"/>
      <c r="C56" s="13" t="s">
        <v>34</v>
      </c>
      <c r="D56" s="27"/>
      <c r="E56" s="150">
        <v>2.57</v>
      </c>
      <c r="F56" s="13">
        <v>73.0</v>
      </c>
      <c r="G56" s="24">
        <f t="shared" si="3"/>
        <v>57</v>
      </c>
      <c r="H56" s="26">
        <v>19886.0</v>
      </c>
      <c r="I56" s="151">
        <v>0.53</v>
      </c>
      <c r="J56" s="27"/>
      <c r="K56" s="13">
        <v>39.0</v>
      </c>
      <c r="L56" s="152">
        <f t="shared" si="4"/>
        <v>0.5517241379</v>
      </c>
      <c r="M56" s="67">
        <v>11.27</v>
      </c>
      <c r="N56" s="153">
        <f t="shared" si="5"/>
        <v>0.4482758621</v>
      </c>
      <c r="O56" s="13">
        <v>2.0</v>
      </c>
      <c r="P56" s="152">
        <f t="shared" si="6"/>
        <v>0.7777777778</v>
      </c>
      <c r="Q56" s="26">
        <v>695.0</v>
      </c>
      <c r="R56" s="153">
        <f t="shared" si="7"/>
        <v>0.6091954023</v>
      </c>
      <c r="S56" s="26">
        <v>466.3820615625</v>
      </c>
      <c r="T56" s="153">
        <f t="shared" si="8"/>
        <v>0.2298850575</v>
      </c>
      <c r="U56" s="13">
        <v>2.0</v>
      </c>
      <c r="V56" s="154">
        <v>0.75</v>
      </c>
      <c r="W56" s="13">
        <v>1.0</v>
      </c>
      <c r="X56" s="153">
        <f t="shared" si="49"/>
        <v>1</v>
      </c>
      <c r="Y56" s="27"/>
      <c r="Z56" s="35">
        <f t="shared" si="9"/>
        <v>3.947318008</v>
      </c>
      <c r="AA56" s="24">
        <f t="shared" si="10"/>
        <v>50</v>
      </c>
      <c r="AB56" s="24">
        <f t="shared" si="11"/>
        <v>35</v>
      </c>
      <c r="AC56" s="35">
        <f t="shared" si="12"/>
        <v>2.572318008</v>
      </c>
      <c r="AD56" s="24">
        <f t="shared" si="13"/>
        <v>73</v>
      </c>
      <c r="AE56" s="27"/>
      <c r="AF56" s="13" t="s">
        <v>148</v>
      </c>
      <c r="AG56" s="107" t="s">
        <v>150</v>
      </c>
      <c r="AH56" s="107" t="s">
        <v>150</v>
      </c>
      <c r="AI56" s="16">
        <f t="shared" si="50"/>
        <v>53.34</v>
      </c>
      <c r="AJ56" s="108">
        <f>average(19,23)</f>
        <v>21</v>
      </c>
      <c r="AK56" s="27"/>
      <c r="AL56" s="50"/>
      <c r="AM56" s="50"/>
      <c r="AN56" s="50"/>
      <c r="AO56" s="13" t="s">
        <v>142</v>
      </c>
      <c r="AP56" s="13" t="s">
        <v>143</v>
      </c>
      <c r="AQ56" s="13" t="s">
        <v>144</v>
      </c>
      <c r="AR56" s="13">
        <v>404.0</v>
      </c>
      <c r="AS56" s="13" t="s">
        <v>546</v>
      </c>
      <c r="AT56" s="13" t="s">
        <v>547</v>
      </c>
      <c r="AU56" s="50"/>
      <c r="AV56" s="50"/>
      <c r="AW56" s="50"/>
      <c r="AX56" s="42">
        <f t="shared" si="14"/>
        <v>16114.76844</v>
      </c>
      <c r="AY56" s="156">
        <f t="shared" si="15"/>
        <v>0.5057471264</v>
      </c>
      <c r="AZ56" s="42">
        <f>average(500,900,800,350,700,800,600,700,1000,600)</f>
        <v>695</v>
      </c>
      <c r="BA56" s="13" t="s">
        <v>146</v>
      </c>
      <c r="BB56" s="13">
        <v>350.0</v>
      </c>
      <c r="BC56" s="13">
        <v>1000.0</v>
      </c>
      <c r="BD56" s="24">
        <f t="shared" si="51"/>
        <v>5.75</v>
      </c>
      <c r="BE56" s="13">
        <v>4.0</v>
      </c>
      <c r="BF56" s="13">
        <v>7.5</v>
      </c>
      <c r="BG56" s="35">
        <f>IFERROR(__xludf.DUMMYFUNCTION("BD56*GoogleFinance(""CURRENCY:GBPUSD"")"),7.16332125)</f>
        <v>7.16332125</v>
      </c>
      <c r="BH56" s="157">
        <f t="shared" si="17"/>
        <v>373.7641945</v>
      </c>
      <c r="BI56" s="42">
        <f t="shared" si="18"/>
        <v>4212.322472</v>
      </c>
      <c r="BJ56" s="158"/>
      <c r="BK56" s="42">
        <f t="shared" si="19"/>
        <v>11007.44597</v>
      </c>
      <c r="BL56" s="42">
        <f>IFERROR(__xludf.DUMMYFUNCTION("BM56*GoogleFinance(""CURRENCY:GBPUSD"")"),976.70328)</f>
        <v>976.70328</v>
      </c>
      <c r="BM56" s="24">
        <f t="shared" si="20"/>
        <v>784</v>
      </c>
      <c r="BN56" s="13">
        <v>121.0</v>
      </c>
      <c r="BO56" s="13">
        <v>126.0</v>
      </c>
      <c r="BP56" s="13">
        <v>244.0</v>
      </c>
      <c r="BQ56" s="13">
        <v>177.0</v>
      </c>
      <c r="BR56" s="13">
        <v>116.0</v>
      </c>
      <c r="BS56" s="13">
        <v>200.0</v>
      </c>
      <c r="BT56" s="50"/>
      <c r="BU56" s="53"/>
      <c r="BV56" s="53"/>
      <c r="BW56" s="50"/>
      <c r="BX56" s="50"/>
      <c r="BY56" s="50"/>
      <c r="BZ56" s="50"/>
      <c r="CA56" s="50"/>
    </row>
    <row r="57">
      <c r="A57" s="13" t="s">
        <v>264</v>
      </c>
      <c r="B57" s="27"/>
      <c r="C57" s="13" t="s">
        <v>53</v>
      </c>
      <c r="D57" s="27"/>
      <c r="E57" s="150">
        <v>2.54</v>
      </c>
      <c r="F57" s="13">
        <v>41.0</v>
      </c>
      <c r="G57" s="24">
        <f t="shared" si="3"/>
        <v>36</v>
      </c>
      <c r="H57" s="26">
        <v>18328.0</v>
      </c>
      <c r="I57" s="151">
        <v>0.74</v>
      </c>
      <c r="J57" s="27"/>
      <c r="K57" s="13">
        <v>71.0</v>
      </c>
      <c r="L57" s="152">
        <f t="shared" si="4"/>
        <v>0.1149425287</v>
      </c>
      <c r="M57" s="67">
        <v>11.43</v>
      </c>
      <c r="N57" s="153">
        <f t="shared" si="5"/>
        <v>0.4827586207</v>
      </c>
      <c r="O57" s="13">
        <v>2.0</v>
      </c>
      <c r="P57" s="152">
        <f t="shared" si="6"/>
        <v>0.7777777778</v>
      </c>
      <c r="Q57" s="26">
        <v>489.5</v>
      </c>
      <c r="R57" s="153">
        <f t="shared" si="7"/>
        <v>0.908045977</v>
      </c>
      <c r="S57" s="26">
        <v>324.439695</v>
      </c>
      <c r="T57" s="153">
        <f t="shared" si="8"/>
        <v>0.6781609195</v>
      </c>
      <c r="U57" s="13">
        <v>2.0</v>
      </c>
      <c r="V57" s="154">
        <v>0.75</v>
      </c>
      <c r="W57" s="13">
        <v>1.0</v>
      </c>
      <c r="X57" s="153">
        <f t="shared" si="49"/>
        <v>1</v>
      </c>
      <c r="Y57" s="27"/>
      <c r="Z57" s="35">
        <f t="shared" si="9"/>
        <v>3.918582375</v>
      </c>
      <c r="AA57" s="24">
        <f t="shared" si="10"/>
        <v>53</v>
      </c>
      <c r="AB57" s="24">
        <f t="shared" si="11"/>
        <v>39</v>
      </c>
      <c r="AC57" s="35">
        <f t="shared" si="12"/>
        <v>2.543582375</v>
      </c>
      <c r="AD57" s="24">
        <f t="shared" si="13"/>
        <v>41</v>
      </c>
      <c r="AE57" s="27"/>
      <c r="AF57" s="13" t="s">
        <v>149</v>
      </c>
      <c r="AG57" s="107" t="s">
        <v>150</v>
      </c>
      <c r="AH57" s="107" t="s">
        <v>150</v>
      </c>
      <c r="AI57" s="16">
        <f t="shared" si="50"/>
        <v>35.56</v>
      </c>
      <c r="AJ57" s="107">
        <v>14.0</v>
      </c>
      <c r="AK57" s="27"/>
      <c r="AL57" s="50"/>
      <c r="AM57" s="50"/>
      <c r="AN57" s="50"/>
      <c r="AO57" s="13" t="s">
        <v>157</v>
      </c>
      <c r="AP57" s="13" t="s">
        <v>158</v>
      </c>
      <c r="AQ57" s="13" t="s">
        <v>159</v>
      </c>
      <c r="AR57" s="13">
        <v>152.0</v>
      </c>
      <c r="AS57" s="13" t="s">
        <v>265</v>
      </c>
      <c r="AT57" s="13" t="s">
        <v>266</v>
      </c>
      <c r="AU57" s="50"/>
      <c r="AV57" s="50"/>
      <c r="AW57" s="50"/>
      <c r="AX57" s="42">
        <f t="shared" si="14"/>
        <v>14825.13136</v>
      </c>
      <c r="AY57" s="156">
        <f t="shared" si="15"/>
        <v>0.724137931</v>
      </c>
      <c r="AZ57" s="42">
        <f>average(600,300,400,750,1000,150,395,500,500,300)</f>
        <v>489.5</v>
      </c>
      <c r="BA57" s="13" t="s">
        <v>146</v>
      </c>
      <c r="BB57" s="13">
        <v>150.0</v>
      </c>
      <c r="BC57" s="13">
        <v>1000.0</v>
      </c>
      <c r="BD57" s="24">
        <f t="shared" si="51"/>
        <v>4</v>
      </c>
      <c r="BE57" s="13">
        <v>4.0</v>
      </c>
      <c r="BF57" s="13">
        <v>4.0</v>
      </c>
      <c r="BG57" s="35">
        <f>IFERROR(__xludf.DUMMYFUNCTION("BD57*GoogleFinance(""CURRENCY:GBPUSD"")"),4.98318)</f>
        <v>4.98318</v>
      </c>
      <c r="BH57" s="157">
        <f t="shared" si="17"/>
        <v>260.0098745</v>
      </c>
      <c r="BI57" s="42">
        <f t="shared" si="18"/>
        <v>2971.912865</v>
      </c>
      <c r="BJ57" s="158"/>
      <c r="BK57" s="42">
        <f t="shared" si="19"/>
        <v>11163.71849</v>
      </c>
      <c r="BL57" s="42">
        <f>IFERROR(__xludf.DUMMYFUNCTION("BM57*GoogleFinance(""CURRENCY:GBPUSD"")"),976.70328)</f>
        <v>976.70328</v>
      </c>
      <c r="BM57" s="24">
        <f t="shared" si="20"/>
        <v>784</v>
      </c>
      <c r="BN57" s="13">
        <v>121.0</v>
      </c>
      <c r="BO57" s="13">
        <v>126.0</v>
      </c>
      <c r="BP57" s="13">
        <v>244.0</v>
      </c>
      <c r="BQ57" s="13">
        <v>177.0</v>
      </c>
      <c r="BR57" s="13">
        <v>116.0</v>
      </c>
      <c r="BS57" s="13">
        <v>200.0</v>
      </c>
      <c r="BT57" s="50"/>
      <c r="BU57" s="53"/>
      <c r="BV57" s="53"/>
      <c r="BW57" s="50"/>
      <c r="BX57" s="50"/>
      <c r="BY57" s="50"/>
      <c r="BZ57" s="50"/>
      <c r="CA57" s="50"/>
    </row>
    <row r="58">
      <c r="A58" s="13" t="s">
        <v>260</v>
      </c>
      <c r="B58" s="27"/>
      <c r="C58" s="13" t="s">
        <v>53</v>
      </c>
      <c r="D58" s="27"/>
      <c r="E58" s="150">
        <v>2.51</v>
      </c>
      <c r="F58" s="13">
        <v>93.0</v>
      </c>
      <c r="G58" s="24">
        <f t="shared" si="3"/>
        <v>68</v>
      </c>
      <c r="H58" s="26">
        <v>22096.0</v>
      </c>
      <c r="I58" s="151">
        <v>0.18</v>
      </c>
      <c r="J58" s="27"/>
      <c r="K58" s="13">
        <v>79.0</v>
      </c>
      <c r="L58" s="152">
        <f t="shared" si="4"/>
        <v>0.02298850575</v>
      </c>
      <c r="M58" s="67">
        <v>13.58</v>
      </c>
      <c r="N58" s="153">
        <f t="shared" si="5"/>
        <v>0.9425287356</v>
      </c>
      <c r="O58" s="13">
        <v>3.0</v>
      </c>
      <c r="P58" s="152">
        <f t="shared" si="6"/>
        <v>0.6666666667</v>
      </c>
      <c r="Q58" s="26">
        <v>940.0</v>
      </c>
      <c r="R58" s="153">
        <f t="shared" si="7"/>
        <v>0.3218390805</v>
      </c>
      <c r="S58" s="26">
        <v>324.439695</v>
      </c>
      <c r="T58" s="153">
        <f t="shared" si="8"/>
        <v>0.6781609195</v>
      </c>
      <c r="U58" s="13">
        <v>2.0</v>
      </c>
      <c r="V58" s="154">
        <v>0.75</v>
      </c>
      <c r="W58" s="13">
        <v>2.0</v>
      </c>
      <c r="X58" s="151">
        <v>0.5</v>
      </c>
      <c r="Y58" s="27"/>
      <c r="Z58" s="35">
        <f t="shared" si="9"/>
        <v>3.382183908</v>
      </c>
      <c r="AA58" s="24">
        <f t="shared" si="10"/>
        <v>54</v>
      </c>
      <c r="AB58" s="24">
        <f t="shared" si="11"/>
        <v>59</v>
      </c>
      <c r="AC58" s="35">
        <f t="shared" si="12"/>
        <v>2.507183908</v>
      </c>
      <c r="AD58" s="24">
        <f t="shared" si="13"/>
        <v>93</v>
      </c>
      <c r="AE58" s="27"/>
      <c r="AF58" s="13" t="s">
        <v>148</v>
      </c>
      <c r="AG58" s="16">
        <f>AH58*0.45359237</f>
        <v>10.43262451</v>
      </c>
      <c r="AH58" s="108">
        <f>average(22,24)</f>
        <v>23</v>
      </c>
      <c r="AI58" s="16">
        <f t="shared" si="50"/>
        <v>41.91</v>
      </c>
      <c r="AJ58" s="108">
        <f>average(16,17)</f>
        <v>16.5</v>
      </c>
      <c r="AK58" s="27"/>
      <c r="AL58" s="50"/>
      <c r="AM58" s="50"/>
      <c r="AN58" s="50"/>
      <c r="AO58" s="13" t="s">
        <v>157</v>
      </c>
      <c r="AP58" s="13" t="s">
        <v>158</v>
      </c>
      <c r="AQ58" s="13" t="s">
        <v>159</v>
      </c>
      <c r="AR58" s="13">
        <v>46.0</v>
      </c>
      <c r="AS58" s="13" t="s">
        <v>261</v>
      </c>
      <c r="AT58" s="13" t="s">
        <v>262</v>
      </c>
      <c r="AU58" s="50"/>
      <c r="AV58" s="50"/>
      <c r="AW58" s="50"/>
      <c r="AX58" s="42">
        <f t="shared" si="14"/>
        <v>17934.56464</v>
      </c>
      <c r="AY58" s="156">
        <f t="shared" si="15"/>
        <v>0.1724137931</v>
      </c>
      <c r="AZ58" s="42">
        <f>average(1200,800,1200,1200,600,1000,650,1200,800,750)</f>
        <v>940</v>
      </c>
      <c r="BA58" s="13" t="s">
        <v>160</v>
      </c>
      <c r="BB58" s="13">
        <v>600.0</v>
      </c>
      <c r="BC58" s="13">
        <v>1200.0</v>
      </c>
      <c r="BD58" s="24">
        <f t="shared" si="51"/>
        <v>4</v>
      </c>
      <c r="BE58" s="13">
        <v>4.0</v>
      </c>
      <c r="BF58" s="13">
        <v>4.0</v>
      </c>
      <c r="BG58" s="35">
        <f>IFERROR(__xludf.DUMMYFUNCTION("BD58*GoogleFinance(""CURRENCY:GBPUSD"")"),4.98318)</f>
        <v>4.98318</v>
      </c>
      <c r="BH58" s="157">
        <f t="shared" si="17"/>
        <v>260.0098745</v>
      </c>
      <c r="BI58" s="42">
        <f t="shared" si="18"/>
        <v>3530.934095</v>
      </c>
      <c r="BJ58" s="158"/>
      <c r="BK58" s="42">
        <f t="shared" si="19"/>
        <v>13263.63054</v>
      </c>
      <c r="BL58" s="42">
        <f>IFERROR(__xludf.DUMMYFUNCTION("BM58*GoogleFinance(""CURRENCY:GBPUSD"")"),976.70328)</f>
        <v>976.70328</v>
      </c>
      <c r="BM58" s="24">
        <f t="shared" si="20"/>
        <v>784</v>
      </c>
      <c r="BN58" s="13">
        <v>121.0</v>
      </c>
      <c r="BO58" s="13">
        <v>126.0</v>
      </c>
      <c r="BP58" s="13">
        <v>244.0</v>
      </c>
      <c r="BQ58" s="13">
        <v>177.0</v>
      </c>
      <c r="BR58" s="13">
        <v>116.0</v>
      </c>
      <c r="BS58" s="13">
        <v>200.0</v>
      </c>
      <c r="BT58" s="50"/>
      <c r="BU58" s="53"/>
      <c r="BV58" s="53"/>
      <c r="BW58" s="50"/>
      <c r="BX58" s="50"/>
      <c r="BY58" s="50"/>
      <c r="BZ58" s="50"/>
      <c r="CA58" s="50"/>
    </row>
    <row r="59">
      <c r="A59" s="13" t="s">
        <v>647</v>
      </c>
      <c r="B59" s="27"/>
      <c r="C59" s="13" t="s">
        <v>43</v>
      </c>
      <c r="D59" s="27"/>
      <c r="E59" s="150">
        <v>2.49</v>
      </c>
      <c r="F59" s="13">
        <v>65.0</v>
      </c>
      <c r="G59" s="24">
        <f t="shared" si="3"/>
        <v>53</v>
      </c>
      <c r="H59" s="26">
        <v>16463.0</v>
      </c>
      <c r="I59" s="151">
        <v>0.86</v>
      </c>
      <c r="J59" s="27"/>
      <c r="K59" s="13">
        <v>60.0</v>
      </c>
      <c r="L59" s="152">
        <f t="shared" si="4"/>
        <v>0.2413793103</v>
      </c>
      <c r="M59" s="67">
        <v>10.02</v>
      </c>
      <c r="N59" s="153">
        <f t="shared" si="5"/>
        <v>0.275862069</v>
      </c>
      <c r="O59" s="13">
        <v>0.0</v>
      </c>
      <c r="P59" s="152">
        <f t="shared" si="6"/>
        <v>1</v>
      </c>
      <c r="Q59" s="26">
        <v>800.0</v>
      </c>
      <c r="R59" s="153">
        <f t="shared" si="7"/>
        <v>0.5172413793</v>
      </c>
      <c r="S59" s="26">
        <v>324.439695</v>
      </c>
      <c r="T59" s="153">
        <f t="shared" si="8"/>
        <v>0.6781609195</v>
      </c>
      <c r="U59" s="13">
        <v>2.0</v>
      </c>
      <c r="V59" s="154">
        <v>0.75</v>
      </c>
      <c r="W59" s="13">
        <v>3.0</v>
      </c>
      <c r="X59" s="151">
        <v>0.0</v>
      </c>
      <c r="Y59" s="27"/>
      <c r="Z59" s="35">
        <f t="shared" si="9"/>
        <v>2.864942529</v>
      </c>
      <c r="AA59" s="24">
        <f t="shared" si="10"/>
        <v>55</v>
      </c>
      <c r="AB59" s="24">
        <f t="shared" si="11"/>
        <v>77</v>
      </c>
      <c r="AC59" s="35">
        <f t="shared" si="12"/>
        <v>2.489942529</v>
      </c>
      <c r="AD59" s="24">
        <f t="shared" si="13"/>
        <v>65</v>
      </c>
      <c r="AE59" s="27"/>
      <c r="AF59" s="13" t="s">
        <v>149</v>
      </c>
      <c r="AG59" s="115" t="s">
        <v>150</v>
      </c>
      <c r="AH59" s="107" t="s">
        <v>150</v>
      </c>
      <c r="AI59" s="16">
        <f t="shared" si="50"/>
        <v>35.56</v>
      </c>
      <c r="AJ59" s="108">
        <f>average (13,15)</f>
        <v>14</v>
      </c>
      <c r="AK59" s="27"/>
      <c r="AL59" s="50"/>
      <c r="AM59" s="50"/>
      <c r="AN59" s="50"/>
      <c r="AO59" s="13" t="s">
        <v>400</v>
      </c>
      <c r="AP59" s="13" t="s">
        <v>401</v>
      </c>
      <c r="AQ59" s="13" t="s">
        <v>402</v>
      </c>
      <c r="AR59" s="13">
        <v>203.0</v>
      </c>
      <c r="AS59" s="13" t="s">
        <v>145</v>
      </c>
      <c r="AT59" s="13" t="s">
        <v>145</v>
      </c>
      <c r="AU59" s="50"/>
      <c r="AV59" s="50"/>
      <c r="AW59" s="50"/>
      <c r="AX59" s="42">
        <f t="shared" si="14"/>
        <v>13391.86581</v>
      </c>
      <c r="AY59" s="156">
        <f t="shared" si="15"/>
        <v>0.8620689655</v>
      </c>
      <c r="AZ59" s="42">
        <f>average(850,750,650,850,950,1200,700,750,800,500)</f>
        <v>800</v>
      </c>
      <c r="BA59" s="13" t="s">
        <v>160</v>
      </c>
      <c r="BB59" s="13">
        <v>500.0</v>
      </c>
      <c r="BC59" s="13">
        <v>120.0</v>
      </c>
      <c r="BD59" s="24">
        <f t="shared" si="51"/>
        <v>4</v>
      </c>
      <c r="BE59" s="13">
        <v>4.0</v>
      </c>
      <c r="BF59" s="13">
        <v>4.0</v>
      </c>
      <c r="BG59" s="35">
        <f>IFERROR(__xludf.DUMMYFUNCTION("BD59*GoogleFinance(""CURRENCY:GBPUSD"")"),4.98318)</f>
        <v>4.98318</v>
      </c>
      <c r="BH59" s="157">
        <f t="shared" si="17"/>
        <v>260.0098745</v>
      </c>
      <c r="BI59" s="42">
        <f t="shared" si="18"/>
        <v>2605.298942</v>
      </c>
      <c r="BJ59" s="158"/>
      <c r="BK59" s="42">
        <f t="shared" si="19"/>
        <v>9786.566866</v>
      </c>
      <c r="BL59" s="42">
        <f>IFERROR(__xludf.DUMMYFUNCTION("BM59*GoogleFinance(""CURRENCY:GBPUSD"")"),976.70328)</f>
        <v>976.70328</v>
      </c>
      <c r="BM59" s="24">
        <f t="shared" si="20"/>
        <v>784</v>
      </c>
      <c r="BN59" s="13">
        <v>121.0</v>
      </c>
      <c r="BO59" s="13">
        <v>126.0</v>
      </c>
      <c r="BP59" s="13">
        <v>244.0</v>
      </c>
      <c r="BQ59" s="13">
        <v>177.0</v>
      </c>
      <c r="BR59" s="13">
        <v>116.0</v>
      </c>
      <c r="BS59" s="13">
        <v>200.0</v>
      </c>
      <c r="BT59" s="50"/>
      <c r="BU59" s="53"/>
      <c r="BV59" s="53"/>
      <c r="BW59" s="50"/>
      <c r="BX59" s="50"/>
      <c r="BY59" s="50"/>
      <c r="BZ59" s="50"/>
      <c r="CA59" s="50"/>
    </row>
    <row r="60">
      <c r="A60" s="13" t="s">
        <v>664</v>
      </c>
      <c r="B60" s="27"/>
      <c r="C60" s="13" t="s">
        <v>23</v>
      </c>
      <c r="D60" s="27"/>
      <c r="E60" s="150">
        <v>2.48</v>
      </c>
      <c r="F60" s="13">
        <v>76.0</v>
      </c>
      <c r="G60" s="24">
        <f t="shared" si="3"/>
        <v>58</v>
      </c>
      <c r="H60" s="26">
        <v>21650.0</v>
      </c>
      <c r="I60" s="151">
        <v>0.25</v>
      </c>
      <c r="J60" s="27"/>
      <c r="K60" s="13">
        <v>49.0</v>
      </c>
      <c r="L60" s="152">
        <f t="shared" si="4"/>
        <v>0.367816092</v>
      </c>
      <c r="M60" s="67">
        <v>12.05</v>
      </c>
      <c r="N60" s="153">
        <f t="shared" si="5"/>
        <v>0.6551724138</v>
      </c>
      <c r="O60" s="13">
        <v>1.0</v>
      </c>
      <c r="P60" s="152">
        <f t="shared" si="6"/>
        <v>0.8888888889</v>
      </c>
      <c r="Q60" s="26">
        <v>1144.9</v>
      </c>
      <c r="R60" s="153">
        <f t="shared" si="7"/>
        <v>0.1609195402</v>
      </c>
      <c r="S60" s="26">
        <v>466.3820615625</v>
      </c>
      <c r="T60" s="153">
        <f t="shared" si="8"/>
        <v>0.2298850575</v>
      </c>
      <c r="U60" s="13">
        <v>2.0</v>
      </c>
      <c r="V60" s="154">
        <v>0.75</v>
      </c>
      <c r="W60" s="13">
        <v>1.0</v>
      </c>
      <c r="X60" s="153">
        <f t="shared" ref="X60:X61" si="52">100%</f>
        <v>1</v>
      </c>
      <c r="Y60" s="27"/>
      <c r="Z60" s="35">
        <f t="shared" si="9"/>
        <v>3.857279693</v>
      </c>
      <c r="AA60" s="24">
        <f t="shared" si="10"/>
        <v>56</v>
      </c>
      <c r="AB60" s="24">
        <f t="shared" si="11"/>
        <v>41</v>
      </c>
      <c r="AC60" s="35">
        <f t="shared" si="12"/>
        <v>2.482279693</v>
      </c>
      <c r="AD60" s="24">
        <f t="shared" si="13"/>
        <v>76</v>
      </c>
      <c r="AE60" s="27"/>
      <c r="AF60" s="13" t="s">
        <v>148</v>
      </c>
      <c r="AG60" s="16">
        <f>AH60*0.45359237</f>
        <v>14.06136347</v>
      </c>
      <c r="AH60" s="108">
        <f>average(24,38)</f>
        <v>31</v>
      </c>
      <c r="AI60" s="16">
        <f t="shared" si="50"/>
        <v>38.1</v>
      </c>
      <c r="AJ60" s="108">
        <f>average(14,16)</f>
        <v>15</v>
      </c>
      <c r="AK60" s="27"/>
      <c r="AL60" s="50"/>
      <c r="AM60" s="50"/>
      <c r="AN60" s="50"/>
      <c r="AO60" s="13" t="s">
        <v>184</v>
      </c>
      <c r="AP60" s="159" t="s">
        <v>185</v>
      </c>
      <c r="AQ60" s="13" t="s">
        <v>187</v>
      </c>
      <c r="AR60" s="13">
        <v>157.0</v>
      </c>
      <c r="AS60" s="13" t="s">
        <v>174</v>
      </c>
      <c r="AT60" s="13" t="s">
        <v>175</v>
      </c>
      <c r="AU60" s="50"/>
      <c r="AV60" s="50"/>
      <c r="AW60" s="50"/>
      <c r="AX60" s="42">
        <f t="shared" si="14"/>
        <v>17618.03307</v>
      </c>
      <c r="AY60" s="156">
        <f t="shared" si="15"/>
        <v>0.2528735632</v>
      </c>
      <c r="AZ60" s="42">
        <f>average(500,900,1500,1500,1000,1500,1200,1050,799,1500)</f>
        <v>1144.9</v>
      </c>
      <c r="BA60" s="13" t="s">
        <v>160</v>
      </c>
      <c r="BB60" s="13">
        <v>500.0</v>
      </c>
      <c r="BC60" s="13">
        <v>1500.0</v>
      </c>
      <c r="BD60" s="24">
        <f t="shared" si="51"/>
        <v>5.75</v>
      </c>
      <c r="BE60" s="13">
        <v>4.0</v>
      </c>
      <c r="BF60" s="13">
        <v>7.5</v>
      </c>
      <c r="BG60" s="35">
        <f>IFERROR(__xludf.DUMMYFUNCTION("BD60*GoogleFinance(""CURRENCY:GBPUSD"")"),7.16332125)</f>
        <v>7.16332125</v>
      </c>
      <c r="BH60" s="157">
        <f t="shared" si="17"/>
        <v>373.7641945</v>
      </c>
      <c r="BI60" s="42">
        <f t="shared" si="18"/>
        <v>4503.858544</v>
      </c>
      <c r="BJ60" s="158"/>
      <c r="BK60" s="42">
        <f t="shared" si="19"/>
        <v>11769.27452</v>
      </c>
      <c r="BL60" s="42">
        <f>IFERROR(__xludf.DUMMYFUNCTION("BM60*GoogleFinance(""CURRENCY:GBPUSD"")"),976.70328)</f>
        <v>976.70328</v>
      </c>
      <c r="BM60" s="24">
        <f t="shared" si="20"/>
        <v>784</v>
      </c>
      <c r="BN60" s="13">
        <v>121.0</v>
      </c>
      <c r="BO60" s="13">
        <v>126.0</v>
      </c>
      <c r="BP60" s="13">
        <v>244.0</v>
      </c>
      <c r="BQ60" s="13">
        <v>177.0</v>
      </c>
      <c r="BR60" s="13">
        <v>116.0</v>
      </c>
      <c r="BS60" s="13">
        <v>200.0</v>
      </c>
      <c r="BT60" s="50"/>
      <c r="BU60" s="53"/>
      <c r="BV60" s="53"/>
      <c r="BW60" s="50"/>
      <c r="BX60" s="50"/>
      <c r="BY60" s="50"/>
      <c r="BZ60" s="50"/>
      <c r="CA60" s="50"/>
    </row>
    <row r="61">
      <c r="A61" s="13" t="s">
        <v>406</v>
      </c>
      <c r="B61" s="27"/>
      <c r="C61" s="13" t="s">
        <v>32</v>
      </c>
      <c r="D61" s="27"/>
      <c r="E61" s="150">
        <v>2.47</v>
      </c>
      <c r="F61" s="13">
        <v>83.0</v>
      </c>
      <c r="G61" s="24">
        <f t="shared" si="3"/>
        <v>62</v>
      </c>
      <c r="H61" s="26">
        <v>18959.0</v>
      </c>
      <c r="I61" s="151">
        <v>0.64</v>
      </c>
      <c r="J61" s="27"/>
      <c r="K61" s="13">
        <v>29.0</v>
      </c>
      <c r="L61" s="152">
        <f t="shared" si="4"/>
        <v>0.724137931</v>
      </c>
      <c r="M61" s="67">
        <v>10.34</v>
      </c>
      <c r="N61" s="153">
        <f t="shared" si="5"/>
        <v>0.3333333333</v>
      </c>
      <c r="O61" s="13">
        <v>1.0</v>
      </c>
      <c r="P61" s="152">
        <f t="shared" si="6"/>
        <v>0.8888888889</v>
      </c>
      <c r="Q61" s="26">
        <v>1335.0</v>
      </c>
      <c r="R61" s="153">
        <f t="shared" si="7"/>
        <v>0.05747126437</v>
      </c>
      <c r="S61" s="26">
        <v>466.3820615625</v>
      </c>
      <c r="T61" s="153">
        <f t="shared" si="8"/>
        <v>0.2298850575</v>
      </c>
      <c r="U61" s="13">
        <v>2.0</v>
      </c>
      <c r="V61" s="154">
        <v>0.75</v>
      </c>
      <c r="W61" s="13">
        <v>1.0</v>
      </c>
      <c r="X61" s="153">
        <f t="shared" si="52"/>
        <v>1</v>
      </c>
      <c r="Y61" s="27"/>
      <c r="Z61" s="35">
        <f t="shared" si="9"/>
        <v>3.840038314</v>
      </c>
      <c r="AA61" s="24">
        <f t="shared" si="10"/>
        <v>57</v>
      </c>
      <c r="AB61" s="24">
        <f t="shared" si="11"/>
        <v>42</v>
      </c>
      <c r="AC61" s="35">
        <f t="shared" si="12"/>
        <v>2.465038314</v>
      </c>
      <c r="AD61" s="24">
        <f t="shared" si="13"/>
        <v>83</v>
      </c>
      <c r="AE61" s="27"/>
      <c r="AF61" s="13" t="s">
        <v>166</v>
      </c>
      <c r="AG61" s="107" t="s">
        <v>150</v>
      </c>
      <c r="AH61" s="107" t="s">
        <v>150</v>
      </c>
      <c r="AI61" s="16">
        <f t="shared" si="50"/>
        <v>64.77</v>
      </c>
      <c r="AJ61" s="108">
        <f>average(23.5,27.5)</f>
        <v>25.5</v>
      </c>
      <c r="AK61" s="27"/>
      <c r="AL61" s="50"/>
      <c r="AM61" s="50"/>
      <c r="AN61" s="50"/>
      <c r="AO61" s="13" t="s">
        <v>142</v>
      </c>
      <c r="AP61" s="13" t="s">
        <v>143</v>
      </c>
      <c r="AQ61" s="13" t="s">
        <v>144</v>
      </c>
      <c r="AR61" s="13">
        <v>1079.0</v>
      </c>
      <c r="AS61" s="13" t="s">
        <v>174</v>
      </c>
      <c r="AT61" s="13" t="s">
        <v>175</v>
      </c>
      <c r="AU61" s="50"/>
      <c r="AV61" s="50"/>
      <c r="AW61" s="50"/>
      <c r="AX61" s="42">
        <f t="shared" si="14"/>
        <v>15498.83369</v>
      </c>
      <c r="AY61" s="156">
        <f t="shared" si="15"/>
        <v>0.6091954023</v>
      </c>
      <c r="AZ61" s="42">
        <f>average(1300,800,1200,800,800,900,2500,1800,2050,1200)</f>
        <v>1335</v>
      </c>
      <c r="BA61" s="13" t="s">
        <v>160</v>
      </c>
      <c r="BB61" s="13">
        <v>800.0</v>
      </c>
      <c r="BC61" s="13">
        <v>2500.0</v>
      </c>
      <c r="BD61" s="24">
        <f t="shared" si="51"/>
        <v>5.75</v>
      </c>
      <c r="BE61" s="13">
        <v>4.0</v>
      </c>
      <c r="BF61" s="13">
        <v>7.5</v>
      </c>
      <c r="BG61" s="35">
        <f>IFERROR(__xludf.DUMMYFUNCTION("BD61*GoogleFinance(""CURRENCY:GBPUSD"")"),7.16332125)</f>
        <v>7.16332125</v>
      </c>
      <c r="BH61" s="157">
        <f t="shared" si="17"/>
        <v>373.7641945</v>
      </c>
      <c r="BI61" s="42">
        <f t="shared" si="18"/>
        <v>3864.721771</v>
      </c>
      <c r="BJ61" s="158"/>
      <c r="BK61" s="42">
        <f t="shared" si="19"/>
        <v>10099.11192</v>
      </c>
      <c r="BL61" s="42">
        <f>IFERROR(__xludf.DUMMYFUNCTION("BM61*GoogleFinance(""CURRENCY:GBPUSD"")"),976.70328)</f>
        <v>976.70328</v>
      </c>
      <c r="BM61" s="24">
        <f t="shared" si="20"/>
        <v>784</v>
      </c>
      <c r="BN61" s="13">
        <v>121.0</v>
      </c>
      <c r="BO61" s="13">
        <v>126.0</v>
      </c>
      <c r="BP61" s="13">
        <v>244.0</v>
      </c>
      <c r="BQ61" s="13">
        <v>177.0</v>
      </c>
      <c r="BR61" s="13">
        <v>116.0</v>
      </c>
      <c r="BS61" s="13">
        <v>200.0</v>
      </c>
      <c r="BT61" s="50"/>
      <c r="BU61" s="53"/>
      <c r="BV61" s="53"/>
      <c r="BW61" s="50"/>
      <c r="BX61" s="50"/>
      <c r="BY61" s="50"/>
      <c r="BZ61" s="50"/>
      <c r="CA61" s="50"/>
    </row>
    <row r="62">
      <c r="A62" s="47" t="s">
        <v>673</v>
      </c>
      <c r="B62" s="27"/>
      <c r="C62" s="47" t="s">
        <v>32</v>
      </c>
      <c r="D62" s="27"/>
      <c r="E62" s="150">
        <v>2.45</v>
      </c>
      <c r="F62" s="47">
        <v>25.0</v>
      </c>
      <c r="G62" s="24">
        <f t="shared" si="3"/>
        <v>25</v>
      </c>
      <c r="H62" s="26">
        <v>23978.0</v>
      </c>
      <c r="I62" s="151">
        <v>0.13</v>
      </c>
      <c r="J62" s="27"/>
      <c r="K62" s="47">
        <v>11.0</v>
      </c>
      <c r="L62" s="152">
        <f t="shared" si="4"/>
        <v>0.8850574713</v>
      </c>
      <c r="M62" s="180">
        <v>12.25</v>
      </c>
      <c r="N62" s="153">
        <f t="shared" si="5"/>
        <v>0.6896551724</v>
      </c>
      <c r="O62" s="47">
        <v>9.0</v>
      </c>
      <c r="P62" s="152">
        <f t="shared" si="6"/>
        <v>0</v>
      </c>
      <c r="Q62" s="26">
        <v>586.5</v>
      </c>
      <c r="R62" s="153">
        <f t="shared" si="7"/>
        <v>0.7931034483</v>
      </c>
      <c r="S62" s="26">
        <v>674.328965625</v>
      </c>
      <c r="T62" s="153">
        <f t="shared" si="8"/>
        <v>0.2068965517</v>
      </c>
      <c r="U62" s="47">
        <v>2.0</v>
      </c>
      <c r="V62" s="154">
        <v>0.75</v>
      </c>
      <c r="W62" s="47">
        <v>1.0</v>
      </c>
      <c r="X62" s="169">
        <v>1.0</v>
      </c>
      <c r="Y62" s="27"/>
      <c r="Z62" s="35">
        <f t="shared" si="9"/>
        <v>3.824712644</v>
      </c>
      <c r="AA62" s="24">
        <f t="shared" si="10"/>
        <v>58</v>
      </c>
      <c r="AB62" s="24">
        <f t="shared" si="11"/>
        <v>43</v>
      </c>
      <c r="AC62" s="35">
        <f t="shared" si="12"/>
        <v>2.449712644</v>
      </c>
      <c r="AD62" s="24">
        <f t="shared" si="13"/>
        <v>25</v>
      </c>
      <c r="AE62" s="27"/>
      <c r="AF62" s="47" t="s">
        <v>149</v>
      </c>
      <c r="AG62" s="172">
        <f t="shared" ref="AG62:AG64" si="53">AH62*0.45359237</f>
        <v>11.79340162</v>
      </c>
      <c r="AH62" s="174">
        <f>average(25,27)</f>
        <v>26</v>
      </c>
      <c r="AI62" s="172">
        <f t="shared" si="50"/>
        <v>27.94</v>
      </c>
      <c r="AJ62" s="174">
        <f>average(10,12)</f>
        <v>11</v>
      </c>
      <c r="AK62" s="27"/>
      <c r="AL62" s="129"/>
      <c r="AM62" s="129"/>
      <c r="AN62" s="129"/>
      <c r="AO62" s="47" t="s">
        <v>267</v>
      </c>
      <c r="AP62" s="175" t="s">
        <v>268</v>
      </c>
      <c r="AQ62" s="47" t="s">
        <v>269</v>
      </c>
      <c r="AR62" s="47">
        <v>116.0</v>
      </c>
      <c r="AS62" s="47" t="s">
        <v>676</v>
      </c>
      <c r="AT62" s="47" t="s">
        <v>677</v>
      </c>
      <c r="AU62" s="129"/>
      <c r="AV62" s="129"/>
      <c r="AW62" s="129"/>
      <c r="AX62" s="157">
        <f t="shared" si="14"/>
        <v>17837.38522</v>
      </c>
      <c r="AY62" s="156">
        <f t="shared" si="15"/>
        <v>0.2068965517</v>
      </c>
      <c r="AZ62" s="157">
        <f>average(540,650,500,750,650,375,500,550,600,750)</f>
        <v>586.5</v>
      </c>
      <c r="BA62" s="47" t="s">
        <v>146</v>
      </c>
      <c r="BB62" s="47">
        <v>375.0</v>
      </c>
      <c r="BC62" s="47">
        <v>750.0</v>
      </c>
      <c r="BD62" s="176" t="s">
        <v>182</v>
      </c>
      <c r="BE62" s="176" t="s">
        <v>182</v>
      </c>
      <c r="BF62" s="176" t="s">
        <v>182</v>
      </c>
      <c r="BG62" s="157">
        <f>IFERROR(__xludf.DUMMYFUNCTION("SUM(12.5*GoogleFinance(""CURRENCY:AUDUSD""))"),7.9575625)</f>
        <v>7.9575625</v>
      </c>
      <c r="BH62" s="157">
        <f t="shared" si="17"/>
        <v>415.2057173</v>
      </c>
      <c r="BI62" s="157">
        <f t="shared" si="18"/>
        <v>5086.270037</v>
      </c>
      <c r="BJ62" s="158"/>
      <c r="BK62" s="157">
        <f t="shared" si="19"/>
        <v>11964.61518</v>
      </c>
      <c r="BL62" s="157">
        <f>IFERROR(__xludf.DUMMYFUNCTION("BM62*GoogleFinance(""CURRENCY:GBPUSD"")"),976.70328)</f>
        <v>976.70328</v>
      </c>
      <c r="BM62" s="177">
        <f t="shared" si="20"/>
        <v>784</v>
      </c>
      <c r="BN62" s="47">
        <v>121.0</v>
      </c>
      <c r="BO62" s="47">
        <v>126.0</v>
      </c>
      <c r="BP62" s="47">
        <v>244.0</v>
      </c>
      <c r="BQ62" s="47">
        <v>177.0</v>
      </c>
      <c r="BR62" s="47">
        <v>116.0</v>
      </c>
      <c r="BS62" s="47">
        <v>200.0</v>
      </c>
      <c r="BT62" s="129"/>
      <c r="BU62" s="178" t="s">
        <v>678</v>
      </c>
      <c r="BV62" s="178" t="s">
        <v>679</v>
      </c>
      <c r="BW62" s="129"/>
      <c r="BX62" s="129"/>
      <c r="BY62" s="129"/>
      <c r="BZ62" s="129"/>
      <c r="CA62" s="129"/>
    </row>
    <row r="63">
      <c r="A63" s="13" t="s">
        <v>533</v>
      </c>
      <c r="B63" s="27"/>
      <c r="C63" s="13" t="s">
        <v>27</v>
      </c>
      <c r="D63" s="27"/>
      <c r="E63" s="150">
        <v>2.44</v>
      </c>
      <c r="F63" s="13">
        <v>133.0</v>
      </c>
      <c r="G63" s="24">
        <f t="shared" si="3"/>
        <v>82</v>
      </c>
      <c r="H63" s="26">
        <v>18084.0</v>
      </c>
      <c r="I63" s="151">
        <v>0.75</v>
      </c>
      <c r="J63" s="27"/>
      <c r="K63" s="13">
        <v>37.0</v>
      </c>
      <c r="L63" s="152">
        <f t="shared" si="4"/>
        <v>0.5632183908</v>
      </c>
      <c r="M63" s="67">
        <v>10.0</v>
      </c>
      <c r="N63" s="153">
        <f t="shared" si="5"/>
        <v>0.2528735632</v>
      </c>
      <c r="O63" s="13">
        <v>0.0</v>
      </c>
      <c r="P63" s="152">
        <f t="shared" si="6"/>
        <v>1</v>
      </c>
      <c r="Q63" s="26">
        <v>1033.33333333333</v>
      </c>
      <c r="R63" s="153">
        <f t="shared" si="7"/>
        <v>0.2643678161</v>
      </c>
      <c r="S63" s="26">
        <v>466.3820615625</v>
      </c>
      <c r="T63" s="153">
        <f t="shared" si="8"/>
        <v>0.2298850575</v>
      </c>
      <c r="U63" s="13">
        <v>2.0</v>
      </c>
      <c r="V63" s="154">
        <v>0.75</v>
      </c>
      <c r="W63" s="13">
        <v>1.0</v>
      </c>
      <c r="X63" s="153">
        <f t="shared" ref="X63:X65" si="54">100%</f>
        <v>1</v>
      </c>
      <c r="Y63" s="27"/>
      <c r="Z63" s="35">
        <f t="shared" si="9"/>
        <v>3.813218391</v>
      </c>
      <c r="AA63" s="24">
        <f t="shared" si="10"/>
        <v>59</v>
      </c>
      <c r="AB63" s="24">
        <f t="shared" si="11"/>
        <v>44</v>
      </c>
      <c r="AC63" s="35">
        <f t="shared" si="12"/>
        <v>2.438218391</v>
      </c>
      <c r="AD63" s="24">
        <f t="shared" si="13"/>
        <v>133</v>
      </c>
      <c r="AE63" s="27"/>
      <c r="AF63" s="13" t="s">
        <v>148</v>
      </c>
      <c r="AG63" s="16">
        <f t="shared" si="53"/>
        <v>31.7514659</v>
      </c>
      <c r="AH63" s="108">
        <f>average(55,85)</f>
        <v>70</v>
      </c>
      <c r="AI63" s="16">
        <f t="shared" si="50"/>
        <v>46.99</v>
      </c>
      <c r="AJ63" s="108">
        <f>average(17,20)</f>
        <v>18.5</v>
      </c>
      <c r="AK63" s="27"/>
      <c r="AL63" s="50"/>
      <c r="AM63" s="50"/>
      <c r="AN63" s="50"/>
      <c r="AO63" s="13" t="s">
        <v>142</v>
      </c>
      <c r="AP63" s="13" t="s">
        <v>143</v>
      </c>
      <c r="AQ63" s="13" t="s">
        <v>144</v>
      </c>
      <c r="AR63" s="13">
        <v>301.0</v>
      </c>
      <c r="AS63" s="13" t="s">
        <v>145</v>
      </c>
      <c r="AT63" s="13" t="s">
        <v>145</v>
      </c>
      <c r="AU63" s="50"/>
      <c r="AV63" s="50"/>
      <c r="AW63" s="50"/>
      <c r="AX63" s="42">
        <f t="shared" si="14"/>
        <v>14738.00808</v>
      </c>
      <c r="AY63" s="156">
        <f t="shared" si="15"/>
        <v>0.7356321839</v>
      </c>
      <c r="AZ63" s="42">
        <f>average(800,800,800,800,800,1500,800,1500,1500)</f>
        <v>1033.333333</v>
      </c>
      <c r="BA63" s="13" t="s">
        <v>160</v>
      </c>
      <c r="BB63" s="13">
        <v>800.0</v>
      </c>
      <c r="BC63" s="13">
        <v>1500.0</v>
      </c>
      <c r="BD63" s="24">
        <f t="shared" ref="BD63:BD65" si="55">average(BE63,BF63)</f>
        <v>5.75</v>
      </c>
      <c r="BE63" s="13">
        <v>4.0</v>
      </c>
      <c r="BF63" s="13">
        <v>7.5</v>
      </c>
      <c r="BG63" s="35">
        <f>IFERROR(__xludf.DUMMYFUNCTION("BD63*GoogleFinance(""CURRENCY:GBPUSD"")"),7.16332125)</f>
        <v>7.16332125</v>
      </c>
      <c r="BH63" s="157">
        <f t="shared" si="17"/>
        <v>373.7641945</v>
      </c>
      <c r="BI63" s="42">
        <f t="shared" si="18"/>
        <v>3737.641945</v>
      </c>
      <c r="BJ63" s="158"/>
      <c r="BK63" s="42">
        <f t="shared" si="19"/>
        <v>9767.0328</v>
      </c>
      <c r="BL63" s="42">
        <f>IFERROR(__xludf.DUMMYFUNCTION("BM63*GoogleFinance(""CURRENCY:GBPUSD"")"),976.70328)</f>
        <v>976.70328</v>
      </c>
      <c r="BM63" s="24">
        <f t="shared" si="20"/>
        <v>784</v>
      </c>
      <c r="BN63" s="13">
        <v>121.0</v>
      </c>
      <c r="BO63" s="13">
        <v>126.0</v>
      </c>
      <c r="BP63" s="13">
        <v>244.0</v>
      </c>
      <c r="BQ63" s="13">
        <v>177.0</v>
      </c>
      <c r="BR63" s="13">
        <v>116.0</v>
      </c>
      <c r="BS63" s="13">
        <v>200.0</v>
      </c>
      <c r="BT63" s="50"/>
      <c r="BU63" s="53"/>
      <c r="BV63" s="53"/>
      <c r="BW63" s="50"/>
      <c r="BX63" s="50"/>
      <c r="BY63" s="50"/>
      <c r="BZ63" s="50"/>
      <c r="CA63" s="50"/>
    </row>
    <row r="64">
      <c r="A64" s="13" t="s">
        <v>550</v>
      </c>
      <c r="B64" s="27"/>
      <c r="C64" s="13" t="s">
        <v>23</v>
      </c>
      <c r="D64" s="27"/>
      <c r="E64" s="150">
        <v>2.42</v>
      </c>
      <c r="F64" s="13">
        <v>160.0</v>
      </c>
      <c r="G64" s="24">
        <f t="shared" si="3"/>
        <v>87</v>
      </c>
      <c r="H64" s="26">
        <v>21633.0</v>
      </c>
      <c r="I64" s="151">
        <v>0.26</v>
      </c>
      <c r="J64" s="27"/>
      <c r="K64" s="13">
        <v>62.0</v>
      </c>
      <c r="L64" s="152">
        <f t="shared" si="4"/>
        <v>0.2183908046</v>
      </c>
      <c r="M64" s="67">
        <v>12.17</v>
      </c>
      <c r="N64" s="153">
        <f t="shared" si="5"/>
        <v>0.6666666667</v>
      </c>
      <c r="O64" s="13">
        <v>0.0</v>
      </c>
      <c r="P64" s="152">
        <f t="shared" si="6"/>
        <v>1</v>
      </c>
      <c r="Q64" s="26">
        <v>925.0</v>
      </c>
      <c r="R64" s="153">
        <f t="shared" si="7"/>
        <v>0.3333333333</v>
      </c>
      <c r="S64" s="26">
        <v>466.3820615625</v>
      </c>
      <c r="T64" s="153">
        <f t="shared" si="8"/>
        <v>0.2298850575</v>
      </c>
      <c r="U64" s="13">
        <v>1.0</v>
      </c>
      <c r="V64" s="154">
        <v>0.5</v>
      </c>
      <c r="W64" s="13">
        <v>1.0</v>
      </c>
      <c r="X64" s="153">
        <f t="shared" si="54"/>
        <v>1</v>
      </c>
      <c r="Y64" s="27"/>
      <c r="Z64" s="35">
        <f t="shared" si="9"/>
        <v>3.666666667</v>
      </c>
      <c r="AA64" s="24">
        <f t="shared" si="10"/>
        <v>60</v>
      </c>
      <c r="AB64" s="24">
        <f t="shared" si="11"/>
        <v>49</v>
      </c>
      <c r="AC64" s="35">
        <f t="shared" si="12"/>
        <v>2.416666667</v>
      </c>
      <c r="AD64" s="24">
        <f t="shared" si="13"/>
        <v>160</v>
      </c>
      <c r="AE64" s="27"/>
      <c r="AF64" s="13" t="s">
        <v>149</v>
      </c>
      <c r="AG64" s="16">
        <f t="shared" si="53"/>
        <v>9.52543977</v>
      </c>
      <c r="AH64" s="108">
        <f>average(18,24)</f>
        <v>21</v>
      </c>
      <c r="AI64" s="16">
        <f t="shared" si="50"/>
        <v>22.86</v>
      </c>
      <c r="AJ64" s="108">
        <f>average(8,10)</f>
        <v>9</v>
      </c>
      <c r="AK64" s="27"/>
      <c r="AL64" s="13" t="s">
        <v>553</v>
      </c>
      <c r="AM64" s="50"/>
      <c r="AN64" s="50"/>
      <c r="AO64" s="13" t="s">
        <v>400</v>
      </c>
      <c r="AP64" s="13" t="s">
        <v>401</v>
      </c>
      <c r="AQ64" s="13" t="s">
        <v>402</v>
      </c>
      <c r="AR64" s="13">
        <v>62.0</v>
      </c>
      <c r="AS64" s="13" t="s">
        <v>145</v>
      </c>
      <c r="AT64" s="13" t="s">
        <v>145</v>
      </c>
      <c r="AU64" s="50"/>
      <c r="AV64" s="50"/>
      <c r="AW64" s="50"/>
      <c r="AX64" s="42">
        <f t="shared" si="14"/>
        <v>17560.18916</v>
      </c>
      <c r="AY64" s="156">
        <f t="shared" si="15"/>
        <v>0.2643678161</v>
      </c>
      <c r="AZ64" s="42">
        <f>average(1000,850)</f>
        <v>925</v>
      </c>
      <c r="BA64" s="13" t="s">
        <v>160</v>
      </c>
      <c r="BB64" s="13">
        <v>850.0</v>
      </c>
      <c r="BC64" s="13">
        <v>1000.0</v>
      </c>
      <c r="BD64" s="24">
        <f t="shared" si="55"/>
        <v>5.75</v>
      </c>
      <c r="BE64" s="13">
        <v>4.0</v>
      </c>
      <c r="BF64" s="13">
        <v>7.5</v>
      </c>
      <c r="BG64" s="35">
        <f>IFERROR(__xludf.DUMMYFUNCTION("BD64*GoogleFinance(""CURRENCY:GBPUSD"")"),7.16332125)</f>
        <v>7.16332125</v>
      </c>
      <c r="BH64" s="157">
        <f t="shared" si="17"/>
        <v>373.7641945</v>
      </c>
      <c r="BI64" s="42">
        <f t="shared" si="18"/>
        <v>4548.710247</v>
      </c>
      <c r="BJ64" s="158"/>
      <c r="BK64" s="42">
        <f t="shared" si="19"/>
        <v>11886.47892</v>
      </c>
      <c r="BL64" s="42">
        <f>IFERROR(__xludf.DUMMYFUNCTION("BM64*GoogleFinance(""CURRENCY:GBPUSD"")"),976.70328)</f>
        <v>976.70328</v>
      </c>
      <c r="BM64" s="24">
        <f t="shared" si="20"/>
        <v>784</v>
      </c>
      <c r="BN64" s="13">
        <v>121.0</v>
      </c>
      <c r="BO64" s="13">
        <v>126.0</v>
      </c>
      <c r="BP64" s="13">
        <v>244.0</v>
      </c>
      <c r="BQ64" s="13">
        <v>177.0</v>
      </c>
      <c r="BR64" s="13">
        <v>116.0</v>
      </c>
      <c r="BS64" s="13">
        <v>200.0</v>
      </c>
      <c r="BT64" s="50"/>
      <c r="BU64" s="53"/>
      <c r="BV64" s="53"/>
      <c r="BW64" s="50"/>
      <c r="BX64" s="50"/>
      <c r="BY64" s="50"/>
      <c r="BZ64" s="50"/>
      <c r="CA64" s="50"/>
    </row>
    <row r="65">
      <c r="A65" s="13" t="s">
        <v>686</v>
      </c>
      <c r="B65" s="27"/>
      <c r="C65" s="13" t="s">
        <v>53</v>
      </c>
      <c r="D65" s="27"/>
      <c r="E65" s="150">
        <v>2.41</v>
      </c>
      <c r="F65" s="13">
        <v>117.0</v>
      </c>
      <c r="G65" s="24">
        <f t="shared" si="3"/>
        <v>75</v>
      </c>
      <c r="H65" s="26">
        <v>24866.0</v>
      </c>
      <c r="I65" s="151">
        <v>0.07</v>
      </c>
      <c r="J65" s="27"/>
      <c r="K65" s="13">
        <v>43.0</v>
      </c>
      <c r="L65" s="152">
        <f t="shared" si="4"/>
        <v>0.4942528736</v>
      </c>
      <c r="M65" s="67">
        <v>12.0</v>
      </c>
      <c r="N65" s="153">
        <f t="shared" si="5"/>
        <v>0.6091954023</v>
      </c>
      <c r="O65" s="13">
        <v>0.0</v>
      </c>
      <c r="P65" s="152">
        <f t="shared" si="6"/>
        <v>1</v>
      </c>
      <c r="Q65" s="26">
        <v>1525.0</v>
      </c>
      <c r="R65" s="153">
        <f t="shared" si="7"/>
        <v>0.04597701149</v>
      </c>
      <c r="S65" s="26">
        <v>709.7118328125</v>
      </c>
      <c r="T65" s="153">
        <f t="shared" si="8"/>
        <v>0.05747126437</v>
      </c>
      <c r="U65" s="13">
        <v>1.0</v>
      </c>
      <c r="V65" s="154">
        <v>0.5</v>
      </c>
      <c r="W65" s="13">
        <v>1.0</v>
      </c>
      <c r="X65" s="153">
        <f t="shared" si="54"/>
        <v>1</v>
      </c>
      <c r="Y65" s="27"/>
      <c r="Z65" s="35">
        <f t="shared" si="9"/>
        <v>3.655172414</v>
      </c>
      <c r="AA65" s="24">
        <f t="shared" si="10"/>
        <v>61</v>
      </c>
      <c r="AB65" s="24">
        <f t="shared" si="11"/>
        <v>50</v>
      </c>
      <c r="AC65" s="35">
        <f t="shared" si="12"/>
        <v>2.405172414</v>
      </c>
      <c r="AD65" s="24">
        <f t="shared" si="13"/>
        <v>117</v>
      </c>
      <c r="AE65" s="27"/>
      <c r="AF65" s="13" t="s">
        <v>148</v>
      </c>
      <c r="AG65" s="115" t="s">
        <v>150</v>
      </c>
      <c r="AH65" s="107" t="s">
        <v>150</v>
      </c>
      <c r="AI65" s="16">
        <f t="shared" si="50"/>
        <v>58.42</v>
      </c>
      <c r="AJ65" s="107">
        <v>23.0</v>
      </c>
      <c r="AK65" s="27"/>
      <c r="AL65" s="13" t="s">
        <v>687</v>
      </c>
      <c r="AM65" s="50"/>
      <c r="AN65" s="50"/>
      <c r="AO65" s="13" t="s">
        <v>184</v>
      </c>
      <c r="AP65" s="159" t="s">
        <v>185</v>
      </c>
      <c r="AQ65" s="13" t="s">
        <v>187</v>
      </c>
      <c r="AR65" s="13">
        <v>132.0</v>
      </c>
      <c r="AS65" s="13" t="s">
        <v>145</v>
      </c>
      <c r="AT65" s="13" t="s">
        <v>145</v>
      </c>
      <c r="AU65" s="50"/>
      <c r="AV65" s="50"/>
      <c r="AW65" s="50"/>
      <c r="AX65" s="42">
        <f t="shared" si="14"/>
        <v>20270.69856</v>
      </c>
      <c r="AY65" s="156">
        <f t="shared" si="15"/>
        <v>0.04597701149</v>
      </c>
      <c r="AZ65" s="42">
        <f>average(1000,1500,1800,1800)</f>
        <v>1525</v>
      </c>
      <c r="BA65" s="13" t="s">
        <v>372</v>
      </c>
      <c r="BB65" s="13">
        <v>1000.0</v>
      </c>
      <c r="BC65" s="13">
        <v>1800.0</v>
      </c>
      <c r="BD65" s="24">
        <f t="shared" si="55"/>
        <v>8.75</v>
      </c>
      <c r="BE65" s="13">
        <v>7.5</v>
      </c>
      <c r="BF65" s="13">
        <v>10.0</v>
      </c>
      <c r="BG65" s="35">
        <f>IFERROR(__xludf.DUMMYFUNCTION("BD65*GoogleFinance(""CURRENCY:GBPUSD"")"),10.90070625)</f>
        <v>10.90070625</v>
      </c>
      <c r="BH65" s="157">
        <f t="shared" si="17"/>
        <v>568.7716004</v>
      </c>
      <c r="BI65" s="42">
        <f t="shared" si="18"/>
        <v>6825.259204</v>
      </c>
      <c r="BJ65" s="158"/>
      <c r="BK65" s="42">
        <f t="shared" si="19"/>
        <v>11720.43936</v>
      </c>
      <c r="BL65" s="42">
        <f>IFERROR(__xludf.DUMMYFUNCTION("BM65*GoogleFinance(""CURRENCY:GBPUSD"")"),976.70328)</f>
        <v>976.70328</v>
      </c>
      <c r="BM65" s="24">
        <f t="shared" si="20"/>
        <v>784</v>
      </c>
      <c r="BN65" s="13">
        <v>121.0</v>
      </c>
      <c r="BO65" s="13">
        <v>126.0</v>
      </c>
      <c r="BP65" s="13">
        <v>244.0</v>
      </c>
      <c r="BQ65" s="13">
        <v>177.0</v>
      </c>
      <c r="BR65" s="13">
        <v>116.0</v>
      </c>
      <c r="BS65" s="13">
        <v>200.0</v>
      </c>
      <c r="BT65" s="50"/>
      <c r="BU65" s="53"/>
      <c r="BV65" s="53"/>
      <c r="BW65" s="50"/>
      <c r="BX65" s="50"/>
      <c r="BY65" s="50"/>
      <c r="BZ65" s="50"/>
      <c r="CA65" s="50"/>
    </row>
    <row r="66">
      <c r="A66" s="47" t="s">
        <v>612</v>
      </c>
      <c r="B66" s="181"/>
      <c r="C66" s="47" t="s">
        <v>38</v>
      </c>
      <c r="D66" s="27"/>
      <c r="E66" s="150">
        <v>2.38</v>
      </c>
      <c r="F66" s="47">
        <v>95.0</v>
      </c>
      <c r="G66" s="24">
        <f t="shared" si="3"/>
        <v>70</v>
      </c>
      <c r="H66" s="26">
        <v>26686.0</v>
      </c>
      <c r="I66" s="151">
        <v>0.01</v>
      </c>
      <c r="J66" s="27"/>
      <c r="K66" s="47">
        <v>28.0</v>
      </c>
      <c r="L66" s="152">
        <f t="shared" si="4"/>
        <v>0.7356321839</v>
      </c>
      <c r="M66" s="180">
        <v>10.0</v>
      </c>
      <c r="N66" s="153">
        <f t="shared" si="5"/>
        <v>0.2528735632</v>
      </c>
      <c r="O66" s="47">
        <v>1.0</v>
      </c>
      <c r="P66" s="152">
        <f t="shared" si="6"/>
        <v>0.8888888889</v>
      </c>
      <c r="Q66" s="26">
        <v>810.0</v>
      </c>
      <c r="R66" s="153">
        <f t="shared" si="7"/>
        <v>0.4942528736</v>
      </c>
      <c r="S66" s="26">
        <v>1348.65793125</v>
      </c>
      <c r="T66" s="153">
        <f t="shared" si="8"/>
        <v>0.01149425287</v>
      </c>
      <c r="U66" s="47">
        <v>1.0</v>
      </c>
      <c r="V66" s="154">
        <v>0.5</v>
      </c>
      <c r="W66" s="47">
        <v>2.0</v>
      </c>
      <c r="X66" s="169">
        <v>0.5</v>
      </c>
      <c r="Y66" s="27"/>
      <c r="Z66" s="35">
        <f t="shared" si="9"/>
        <v>3.130268199</v>
      </c>
      <c r="AA66" s="24">
        <f t="shared" si="10"/>
        <v>62</v>
      </c>
      <c r="AB66" s="24">
        <f t="shared" si="11"/>
        <v>67</v>
      </c>
      <c r="AC66" s="35">
        <f t="shared" si="12"/>
        <v>2.380268199</v>
      </c>
      <c r="AD66" s="24">
        <f t="shared" si="13"/>
        <v>95</v>
      </c>
      <c r="AE66" s="27"/>
      <c r="AF66" s="47" t="s">
        <v>166</v>
      </c>
      <c r="AG66" s="172">
        <f t="shared" ref="AG66:AG68" si="56">AH66*0.45359237</f>
        <v>35.15340868</v>
      </c>
      <c r="AH66" s="174">
        <f>SUM(65+90)/2</f>
        <v>77.5</v>
      </c>
      <c r="AI66" s="172">
        <f t="shared" si="50"/>
        <v>64.77</v>
      </c>
      <c r="AJ66" s="174">
        <f>average(23.5,27.5)</f>
        <v>25.5</v>
      </c>
      <c r="AK66" s="27"/>
      <c r="AL66" s="129"/>
      <c r="AM66" s="129"/>
      <c r="AN66" s="129"/>
      <c r="AO66" s="47" t="s">
        <v>142</v>
      </c>
      <c r="AP66" s="47" t="s">
        <v>143</v>
      </c>
      <c r="AQ66" s="47" t="s">
        <v>144</v>
      </c>
      <c r="AR66" s="47">
        <v>39.0</v>
      </c>
      <c r="AS66" s="47" t="s">
        <v>174</v>
      </c>
      <c r="AT66" s="47" t="s">
        <v>175</v>
      </c>
      <c r="AU66" s="228"/>
      <c r="AV66" s="129"/>
      <c r="AW66" s="129"/>
      <c r="AX66" s="157">
        <f t="shared" si="14"/>
        <v>19081.14715</v>
      </c>
      <c r="AY66" s="156">
        <f t="shared" si="15"/>
        <v>0.09195402299</v>
      </c>
      <c r="AZ66" s="157">
        <f>average(1200,400,500,800,850,1500,450,1000,600,800)</f>
        <v>810</v>
      </c>
      <c r="BA66" s="47" t="s">
        <v>160</v>
      </c>
      <c r="BB66" s="47">
        <v>400.0</v>
      </c>
      <c r="BC66" s="47">
        <v>1500.0</v>
      </c>
      <c r="BD66" s="176" t="s">
        <v>182</v>
      </c>
      <c r="BE66" s="176" t="s">
        <v>182</v>
      </c>
      <c r="BF66" s="176" t="s">
        <v>182</v>
      </c>
      <c r="BG66" s="157">
        <f>IFERROR(__xludf.DUMMYFUNCTION("SUM(25*GoogleFinance(""CURRENCY:AUDUSD""))"),15.915125)</f>
        <v>15.915125</v>
      </c>
      <c r="BH66" s="157">
        <f t="shared" si="17"/>
        <v>830.4114347</v>
      </c>
      <c r="BI66" s="157">
        <f t="shared" si="18"/>
        <v>8304.114347</v>
      </c>
      <c r="BJ66" s="158"/>
      <c r="BK66" s="157">
        <f t="shared" si="19"/>
        <v>9767.0328</v>
      </c>
      <c r="BL66" s="157">
        <f>IFERROR(__xludf.DUMMYFUNCTION("BM66*GoogleFinance(""CURRENCY:GBPUSD"")"),976.70328)</f>
        <v>976.70328</v>
      </c>
      <c r="BM66" s="177">
        <f t="shared" si="20"/>
        <v>784</v>
      </c>
      <c r="BN66" s="47">
        <v>121.0</v>
      </c>
      <c r="BO66" s="47">
        <v>126.0</v>
      </c>
      <c r="BP66" s="47">
        <v>244.0</v>
      </c>
      <c r="BQ66" s="47">
        <v>177.0</v>
      </c>
      <c r="BR66" s="47">
        <v>116.0</v>
      </c>
      <c r="BS66" s="47">
        <v>200.0</v>
      </c>
      <c r="BT66" s="129"/>
      <c r="BU66" s="178" t="s">
        <v>694</v>
      </c>
      <c r="BV66" s="178" t="s">
        <v>695</v>
      </c>
      <c r="BW66" s="129"/>
      <c r="BX66" s="129"/>
      <c r="BY66" s="129"/>
      <c r="BZ66" s="129"/>
      <c r="CA66" s="129"/>
    </row>
    <row r="67">
      <c r="A67" s="13" t="s">
        <v>627</v>
      </c>
      <c r="B67" s="27"/>
      <c r="C67" s="13" t="s">
        <v>53</v>
      </c>
      <c r="D67" s="27"/>
      <c r="E67" s="150">
        <v>2.29</v>
      </c>
      <c r="F67" s="13">
        <v>140.0</v>
      </c>
      <c r="G67" s="24">
        <f t="shared" si="3"/>
        <v>85</v>
      </c>
      <c r="H67" s="26">
        <v>15819.0</v>
      </c>
      <c r="I67" s="151">
        <v>0.92</v>
      </c>
      <c r="J67" s="27"/>
      <c r="K67" s="13">
        <v>46.0</v>
      </c>
      <c r="L67" s="152">
        <f t="shared" si="4"/>
        <v>0.4252873563</v>
      </c>
      <c r="M67" s="67">
        <v>9.36</v>
      </c>
      <c r="N67" s="153">
        <f t="shared" si="5"/>
        <v>0.1954022989</v>
      </c>
      <c r="O67" s="13">
        <v>1.0</v>
      </c>
      <c r="P67" s="152">
        <f t="shared" si="6"/>
        <v>0.8888888889</v>
      </c>
      <c r="Q67" s="26">
        <v>1175.0</v>
      </c>
      <c r="R67" s="153">
        <f t="shared" si="7"/>
        <v>0.1379310345</v>
      </c>
      <c r="S67" s="26">
        <v>324.439695</v>
      </c>
      <c r="T67" s="153">
        <f t="shared" si="8"/>
        <v>0.6781609195</v>
      </c>
      <c r="U67" s="13">
        <v>2.0</v>
      </c>
      <c r="V67" s="154">
        <v>0.75</v>
      </c>
      <c r="W67" s="13">
        <v>1.0</v>
      </c>
      <c r="X67" s="153">
        <f>100%</f>
        <v>1</v>
      </c>
      <c r="Y67" s="27"/>
      <c r="Z67" s="35">
        <f t="shared" si="9"/>
        <v>3.667624521</v>
      </c>
      <c r="AA67" s="24">
        <f t="shared" si="10"/>
        <v>63</v>
      </c>
      <c r="AB67" s="24">
        <f t="shared" si="11"/>
        <v>48</v>
      </c>
      <c r="AC67" s="35">
        <f t="shared" si="12"/>
        <v>2.292624521</v>
      </c>
      <c r="AD67" s="24">
        <f t="shared" si="13"/>
        <v>140</v>
      </c>
      <c r="AE67" s="27"/>
      <c r="AF67" s="13" t="s">
        <v>166</v>
      </c>
      <c r="AG67" s="16">
        <f t="shared" si="56"/>
        <v>29.48350405</v>
      </c>
      <c r="AH67" s="108">
        <f>average(60,70)</f>
        <v>65</v>
      </c>
      <c r="AI67" s="107" t="s">
        <v>150</v>
      </c>
      <c r="AJ67" s="107" t="s">
        <v>150</v>
      </c>
      <c r="AK67" s="27"/>
      <c r="AL67" s="50"/>
      <c r="AM67" s="50"/>
      <c r="AN67" s="50"/>
      <c r="AO67" s="13" t="s">
        <v>184</v>
      </c>
      <c r="AP67" s="159" t="s">
        <v>185</v>
      </c>
      <c r="AQ67" s="13" t="s">
        <v>187</v>
      </c>
      <c r="AR67" s="13">
        <v>74.0</v>
      </c>
      <c r="AS67" s="13" t="s">
        <v>628</v>
      </c>
      <c r="AT67" s="13" t="s">
        <v>629</v>
      </c>
      <c r="AU67" s="50"/>
      <c r="AV67" s="50"/>
      <c r="AW67" s="50"/>
      <c r="AX67" s="42">
        <f t="shared" si="14"/>
        <v>12950.63513</v>
      </c>
      <c r="AY67" s="156">
        <f t="shared" si="15"/>
        <v>0.908045977</v>
      </c>
      <c r="AZ67" s="42">
        <f>average(350,750,2000,200,750,2500,1200,750,2500,750)</f>
        <v>1175</v>
      </c>
      <c r="BA67" s="13" t="s">
        <v>160</v>
      </c>
      <c r="BB67" s="13">
        <v>200.0</v>
      </c>
      <c r="BC67" s="13">
        <v>2500.0</v>
      </c>
      <c r="BD67" s="24">
        <f t="shared" ref="BD67:BD87" si="57">average(BE67,BF67)</f>
        <v>4</v>
      </c>
      <c r="BE67" s="13">
        <v>4.0</v>
      </c>
      <c r="BF67" s="13">
        <v>4.0</v>
      </c>
      <c r="BG67" s="35">
        <f>IFERROR(__xludf.DUMMYFUNCTION("BD67*GoogleFinance(""CURRENCY:GBPUSD"")"),4.98318)</f>
        <v>4.98318</v>
      </c>
      <c r="BH67" s="157">
        <f t="shared" si="17"/>
        <v>260.0098745</v>
      </c>
      <c r="BI67" s="42">
        <f t="shared" si="18"/>
        <v>2433.692425</v>
      </c>
      <c r="BJ67" s="158"/>
      <c r="BK67" s="42">
        <f t="shared" si="19"/>
        <v>9141.942701</v>
      </c>
      <c r="BL67" s="42">
        <f>IFERROR(__xludf.DUMMYFUNCTION("BM67*GoogleFinance(""CURRENCY:GBPUSD"")"),976.70328)</f>
        <v>976.70328</v>
      </c>
      <c r="BM67" s="24">
        <f t="shared" si="20"/>
        <v>784</v>
      </c>
      <c r="BN67" s="13">
        <v>121.0</v>
      </c>
      <c r="BO67" s="13">
        <v>126.0</v>
      </c>
      <c r="BP67" s="13">
        <v>244.0</v>
      </c>
      <c r="BQ67" s="13">
        <v>177.0</v>
      </c>
      <c r="BR67" s="13">
        <v>116.0</v>
      </c>
      <c r="BS67" s="13">
        <v>200.0</v>
      </c>
      <c r="BT67" s="50"/>
      <c r="BU67" s="53"/>
      <c r="BV67" s="53"/>
      <c r="BW67" s="50"/>
      <c r="BX67" s="50"/>
      <c r="BY67" s="50"/>
      <c r="BZ67" s="50"/>
      <c r="CA67" s="50"/>
    </row>
    <row r="68">
      <c r="A68" s="13" t="s">
        <v>700</v>
      </c>
      <c r="B68" s="27"/>
      <c r="C68" s="13" t="s">
        <v>23</v>
      </c>
      <c r="D68" s="27"/>
      <c r="E68" s="150">
        <v>2.27</v>
      </c>
      <c r="F68" s="13">
        <v>54.0</v>
      </c>
      <c r="G68" s="24">
        <f t="shared" si="3"/>
        <v>45</v>
      </c>
      <c r="H68" s="26">
        <v>17525.0</v>
      </c>
      <c r="I68" s="151">
        <v>0.78</v>
      </c>
      <c r="J68" s="27"/>
      <c r="K68" s="13">
        <v>65.0</v>
      </c>
      <c r="L68" s="152">
        <f t="shared" si="4"/>
        <v>0.183908046</v>
      </c>
      <c r="M68" s="67">
        <v>10.69</v>
      </c>
      <c r="N68" s="153">
        <f t="shared" si="5"/>
        <v>0.367816092</v>
      </c>
      <c r="O68" s="13">
        <v>1.0</v>
      </c>
      <c r="P68" s="152">
        <f t="shared" si="6"/>
        <v>0.8888888889</v>
      </c>
      <c r="Q68" s="26">
        <v>829.0</v>
      </c>
      <c r="R68" s="153">
        <f t="shared" si="7"/>
        <v>0.4712643678</v>
      </c>
      <c r="S68" s="26">
        <v>324.439695</v>
      </c>
      <c r="T68" s="153">
        <f t="shared" si="8"/>
        <v>0.6781609195</v>
      </c>
      <c r="U68" s="13">
        <v>1.0</v>
      </c>
      <c r="V68" s="154">
        <v>0.5</v>
      </c>
      <c r="W68" s="13">
        <v>2.0</v>
      </c>
      <c r="X68" s="151">
        <v>0.5</v>
      </c>
      <c r="Y68" s="27"/>
      <c r="Z68" s="35">
        <f t="shared" si="9"/>
        <v>3.01532567</v>
      </c>
      <c r="AA68" s="24">
        <f t="shared" si="10"/>
        <v>64</v>
      </c>
      <c r="AB68" s="24">
        <f t="shared" si="11"/>
        <v>71</v>
      </c>
      <c r="AC68" s="35">
        <f t="shared" si="12"/>
        <v>2.26532567</v>
      </c>
      <c r="AD68" s="24">
        <f t="shared" si="13"/>
        <v>54</v>
      </c>
      <c r="AE68" s="27"/>
      <c r="AF68" s="13" t="s">
        <v>149</v>
      </c>
      <c r="AG68" s="16">
        <f t="shared" si="56"/>
        <v>9.0718474</v>
      </c>
      <c r="AH68" s="108">
        <f>average(18,22)</f>
        <v>20</v>
      </c>
      <c r="AI68" s="16">
        <f t="shared" ref="AI68:AI73" si="58">AJ68*2.54</f>
        <v>25.4</v>
      </c>
      <c r="AJ68" s="108">
        <f>average(10)</f>
        <v>10</v>
      </c>
      <c r="AK68" s="27"/>
      <c r="AL68" s="50"/>
      <c r="AM68" s="50"/>
      <c r="AN68" s="50"/>
      <c r="AO68" s="13" t="s">
        <v>400</v>
      </c>
      <c r="AP68" s="13" t="s">
        <v>401</v>
      </c>
      <c r="AQ68" s="13" t="s">
        <v>402</v>
      </c>
      <c r="AR68" s="13">
        <v>342.0</v>
      </c>
      <c r="AS68" s="13" t="s">
        <v>702</v>
      </c>
      <c r="AT68" s="13" t="s">
        <v>703</v>
      </c>
      <c r="AU68" s="50"/>
      <c r="AV68" s="50"/>
      <c r="AW68" s="50"/>
      <c r="AX68" s="42">
        <f t="shared" si="14"/>
        <v>14249.46362</v>
      </c>
      <c r="AY68" s="156">
        <f t="shared" si="15"/>
        <v>0.7816091954</v>
      </c>
      <c r="AZ68" s="42">
        <f>average(500,600,800,400,800,2200,800,400,990,800)</f>
        <v>829</v>
      </c>
      <c r="BA68" s="13" t="s">
        <v>160</v>
      </c>
      <c r="BB68" s="13">
        <v>400.0</v>
      </c>
      <c r="BC68" s="13">
        <v>2200.0</v>
      </c>
      <c r="BD68" s="24">
        <f t="shared" si="57"/>
        <v>4</v>
      </c>
      <c r="BE68" s="13">
        <v>4.0</v>
      </c>
      <c r="BF68" s="13">
        <v>4.0</v>
      </c>
      <c r="BG68" s="35">
        <f>IFERROR(__xludf.DUMMYFUNCTION("BD68*GoogleFinance(""CURRENCY:GBPUSD"")"),4.98318)</f>
        <v>4.98318</v>
      </c>
      <c r="BH68" s="157">
        <f t="shared" si="17"/>
        <v>260.0098745</v>
      </c>
      <c r="BI68" s="42">
        <f t="shared" si="18"/>
        <v>2779.505558</v>
      </c>
      <c r="BJ68" s="158"/>
      <c r="BK68" s="42">
        <f t="shared" si="19"/>
        <v>10440.95806</v>
      </c>
      <c r="BL68" s="42">
        <f>IFERROR(__xludf.DUMMYFUNCTION("BM68*GoogleFinance(""CURRENCY:GBPUSD"")"),976.70328)</f>
        <v>976.70328</v>
      </c>
      <c r="BM68" s="24">
        <f t="shared" si="20"/>
        <v>784</v>
      </c>
      <c r="BN68" s="13">
        <v>121.0</v>
      </c>
      <c r="BO68" s="13">
        <v>126.0</v>
      </c>
      <c r="BP68" s="13">
        <v>244.0</v>
      </c>
      <c r="BQ68" s="13">
        <v>177.0</v>
      </c>
      <c r="BR68" s="13">
        <v>116.0</v>
      </c>
      <c r="BS68" s="13">
        <v>200.0</v>
      </c>
      <c r="BT68" s="50"/>
      <c r="BU68" s="53"/>
      <c r="BV68" s="53"/>
      <c r="BW68" s="50"/>
      <c r="BX68" s="50"/>
      <c r="BY68" s="50"/>
      <c r="BZ68" s="50"/>
      <c r="CA68" s="50"/>
    </row>
    <row r="69">
      <c r="A69" s="13" t="s">
        <v>705</v>
      </c>
      <c r="B69" s="181"/>
      <c r="C69" s="13" t="s">
        <v>38</v>
      </c>
      <c r="D69" s="27"/>
      <c r="E69" s="150">
        <v>2.24</v>
      </c>
      <c r="F69" s="13">
        <v>10.0</v>
      </c>
      <c r="G69" s="24">
        <f t="shared" si="3"/>
        <v>10</v>
      </c>
      <c r="H69" s="26">
        <v>18886.0</v>
      </c>
      <c r="I69" s="151">
        <v>0.66</v>
      </c>
      <c r="J69" s="27"/>
      <c r="K69" s="13">
        <v>9.0</v>
      </c>
      <c r="L69" s="152">
        <f t="shared" si="4"/>
        <v>0.908045977</v>
      </c>
      <c r="M69" s="67">
        <v>9.11</v>
      </c>
      <c r="N69" s="153">
        <f t="shared" si="5"/>
        <v>0.1724137931</v>
      </c>
      <c r="O69" s="13">
        <v>3.0</v>
      </c>
      <c r="P69" s="152">
        <f t="shared" si="6"/>
        <v>0.6666666667</v>
      </c>
      <c r="Q69" s="26">
        <v>1117.5</v>
      </c>
      <c r="R69" s="153">
        <f t="shared" si="7"/>
        <v>0.183908046</v>
      </c>
      <c r="S69" s="26">
        <v>709.7118328125</v>
      </c>
      <c r="T69" s="153">
        <f t="shared" si="8"/>
        <v>0.05747126437</v>
      </c>
      <c r="U69" s="13">
        <v>2.0</v>
      </c>
      <c r="V69" s="154">
        <v>0.75</v>
      </c>
      <c r="W69" s="13">
        <v>2.0</v>
      </c>
      <c r="X69" s="151">
        <v>0.5</v>
      </c>
      <c r="Y69" s="27"/>
      <c r="Z69" s="35">
        <f t="shared" si="9"/>
        <v>3.117816092</v>
      </c>
      <c r="AA69" s="24">
        <f t="shared" si="10"/>
        <v>65</v>
      </c>
      <c r="AB69" s="24">
        <f t="shared" si="11"/>
        <v>68</v>
      </c>
      <c r="AC69" s="35">
        <f t="shared" si="12"/>
        <v>2.242816092</v>
      </c>
      <c r="AD69" s="24">
        <f t="shared" si="13"/>
        <v>10</v>
      </c>
      <c r="AE69" s="27"/>
      <c r="AF69" s="13" t="s">
        <v>166</v>
      </c>
      <c r="AG69" s="107" t="s">
        <v>150</v>
      </c>
      <c r="AH69" s="107" t="s">
        <v>150</v>
      </c>
      <c r="AI69" s="16">
        <f t="shared" si="58"/>
        <v>62.23</v>
      </c>
      <c r="AJ69" s="108">
        <f>average(22,27)</f>
        <v>24.5</v>
      </c>
      <c r="AK69" s="27"/>
      <c r="AL69" s="50"/>
      <c r="AM69" s="50"/>
      <c r="AN69" s="50"/>
      <c r="AO69" s="13" t="s">
        <v>250</v>
      </c>
      <c r="AP69" s="13" t="s">
        <v>251</v>
      </c>
      <c r="AQ69" s="13" t="s">
        <v>252</v>
      </c>
      <c r="AR69" s="13">
        <v>654.0</v>
      </c>
      <c r="AS69" s="13" t="s">
        <v>708</v>
      </c>
      <c r="AT69" s="13" t="s">
        <v>709</v>
      </c>
      <c r="AU69" s="64"/>
      <c r="AV69" s="50"/>
      <c r="AW69" s="50"/>
      <c r="AX69" s="42">
        <f t="shared" si="14"/>
        <v>15396.77616</v>
      </c>
      <c r="AY69" s="156">
        <f t="shared" si="15"/>
        <v>0.632183908</v>
      </c>
      <c r="AZ69" s="42">
        <f>average(1500,1800,500,1600,700,725,1800,300,1600,650)</f>
        <v>1117.5</v>
      </c>
      <c r="BA69" s="13" t="s">
        <v>160</v>
      </c>
      <c r="BB69" s="13">
        <v>300.0</v>
      </c>
      <c r="BC69" s="13">
        <v>1800.0</v>
      </c>
      <c r="BD69" s="24">
        <f t="shared" si="57"/>
        <v>8.75</v>
      </c>
      <c r="BE69" s="13">
        <v>7.5</v>
      </c>
      <c r="BF69" s="13">
        <v>10.0</v>
      </c>
      <c r="BG69" s="35">
        <f>IFERROR(__xludf.DUMMYFUNCTION("BD69*GoogleFinance(""CURRENCY:GBPUSD"")"),10.90070625)</f>
        <v>10.90070625</v>
      </c>
      <c r="BH69" s="157">
        <f t="shared" si="17"/>
        <v>568.7716004</v>
      </c>
      <c r="BI69" s="42">
        <f t="shared" si="18"/>
        <v>5181.509279</v>
      </c>
      <c r="BJ69" s="158"/>
      <c r="BK69" s="42">
        <f t="shared" si="19"/>
        <v>8897.766881</v>
      </c>
      <c r="BL69" s="42">
        <f>IFERROR(__xludf.DUMMYFUNCTION("BM69*GoogleFinance(""CURRENCY:GBPUSD"")"),976.70328)</f>
        <v>976.70328</v>
      </c>
      <c r="BM69" s="24">
        <f t="shared" si="20"/>
        <v>784</v>
      </c>
      <c r="BN69" s="13">
        <v>121.0</v>
      </c>
      <c r="BO69" s="13">
        <v>126.0</v>
      </c>
      <c r="BP69" s="13">
        <v>244.0</v>
      </c>
      <c r="BQ69" s="13">
        <v>177.0</v>
      </c>
      <c r="BR69" s="13">
        <v>116.0</v>
      </c>
      <c r="BS69" s="13">
        <v>200.0</v>
      </c>
      <c r="BT69" s="50"/>
      <c r="BU69" s="53"/>
      <c r="BV69" s="53"/>
      <c r="BW69" s="50"/>
      <c r="BX69" s="50"/>
      <c r="BY69" s="50"/>
      <c r="BZ69" s="50"/>
      <c r="CA69" s="50"/>
    </row>
    <row r="70">
      <c r="A70" s="13" t="s">
        <v>656</v>
      </c>
      <c r="B70" s="27"/>
      <c r="C70" s="13" t="s">
        <v>23</v>
      </c>
      <c r="D70" s="27"/>
      <c r="E70" s="150">
        <v>2.13</v>
      </c>
      <c r="F70" s="13">
        <v>124.0</v>
      </c>
      <c r="G70" s="24">
        <f t="shared" si="3"/>
        <v>78</v>
      </c>
      <c r="H70" s="26">
        <v>17240.0</v>
      </c>
      <c r="I70" s="151">
        <v>0.83</v>
      </c>
      <c r="J70" s="27"/>
      <c r="K70" s="13">
        <v>35.0</v>
      </c>
      <c r="L70" s="152">
        <f t="shared" si="4"/>
        <v>0.6091954023</v>
      </c>
      <c r="M70" s="67">
        <v>9.4</v>
      </c>
      <c r="N70" s="153">
        <f t="shared" si="5"/>
        <v>0.2068965517</v>
      </c>
      <c r="O70" s="13">
        <v>1.0</v>
      </c>
      <c r="P70" s="152">
        <f t="shared" si="6"/>
        <v>0.8888888889</v>
      </c>
      <c r="Q70" s="26">
        <v>1200.0</v>
      </c>
      <c r="R70" s="153">
        <f t="shared" si="7"/>
        <v>0.1149425287</v>
      </c>
      <c r="S70" s="26">
        <v>466.3820615625</v>
      </c>
      <c r="T70" s="153">
        <f t="shared" si="8"/>
        <v>0.2298850575</v>
      </c>
      <c r="U70" s="13">
        <v>1.0</v>
      </c>
      <c r="V70" s="154">
        <v>0.5</v>
      </c>
      <c r="W70" s="13">
        <v>2.0</v>
      </c>
      <c r="X70" s="151">
        <v>0.5</v>
      </c>
      <c r="Y70" s="27"/>
      <c r="Z70" s="35">
        <f t="shared" si="9"/>
        <v>2.877394636</v>
      </c>
      <c r="AA70" s="24">
        <f t="shared" si="10"/>
        <v>66</v>
      </c>
      <c r="AB70" s="24">
        <f t="shared" si="11"/>
        <v>76</v>
      </c>
      <c r="AC70" s="35">
        <f t="shared" si="12"/>
        <v>2.127394636</v>
      </c>
      <c r="AD70" s="24">
        <f t="shared" si="13"/>
        <v>124</v>
      </c>
      <c r="AE70" s="27"/>
      <c r="AF70" s="13" t="s">
        <v>148</v>
      </c>
      <c r="AG70" s="16">
        <f t="shared" ref="AG70:AG72" si="59">AH70*0.45359237</f>
        <v>16.55612151</v>
      </c>
      <c r="AH70" s="108">
        <f>average(33,40)</f>
        <v>36.5</v>
      </c>
      <c r="AI70" s="16">
        <f t="shared" si="58"/>
        <v>46.99</v>
      </c>
      <c r="AJ70" s="108">
        <f>average(18.5)</f>
        <v>18.5</v>
      </c>
      <c r="AK70" s="27"/>
      <c r="AL70" s="50"/>
      <c r="AM70" s="50"/>
      <c r="AN70" s="50"/>
      <c r="AO70" s="13" t="s">
        <v>142</v>
      </c>
      <c r="AP70" s="13" t="s">
        <v>143</v>
      </c>
      <c r="AQ70" s="13" t="s">
        <v>144</v>
      </c>
      <c r="AR70" s="13">
        <v>353.0</v>
      </c>
      <c r="AS70" s="13" t="s">
        <v>271</v>
      </c>
      <c r="AT70" s="13" t="s">
        <v>549</v>
      </c>
      <c r="AU70" s="50"/>
      <c r="AV70" s="50"/>
      <c r="AW70" s="50"/>
      <c r="AX70" s="42">
        <f t="shared" si="14"/>
        <v>14094.39426</v>
      </c>
      <c r="AY70" s="156">
        <f t="shared" si="15"/>
        <v>0.816091954</v>
      </c>
      <c r="AZ70" s="42">
        <f>average(900,1500)</f>
        <v>1200</v>
      </c>
      <c r="BA70" s="13" t="s">
        <v>160</v>
      </c>
      <c r="BB70" s="13">
        <v>900.0</v>
      </c>
      <c r="BC70" s="13">
        <v>1500.0</v>
      </c>
      <c r="BD70" s="24">
        <f t="shared" si="57"/>
        <v>5.75</v>
      </c>
      <c r="BE70" s="13">
        <v>4.0</v>
      </c>
      <c r="BF70" s="13">
        <v>7.5</v>
      </c>
      <c r="BG70" s="35">
        <f>IFERROR(__xludf.DUMMYFUNCTION("BD70*GoogleFinance(""CURRENCY:GBPUSD"")"),7.16332125)</f>
        <v>7.16332125</v>
      </c>
      <c r="BH70" s="157">
        <f t="shared" si="17"/>
        <v>373.7641945</v>
      </c>
      <c r="BI70" s="42">
        <f t="shared" si="18"/>
        <v>3513.383429</v>
      </c>
      <c r="BJ70" s="158"/>
      <c r="BK70" s="42">
        <f t="shared" si="19"/>
        <v>9181.010832</v>
      </c>
      <c r="BL70" s="42">
        <f>IFERROR(__xludf.DUMMYFUNCTION("BM70*GoogleFinance(""CURRENCY:GBPUSD"")"),976.70328)</f>
        <v>976.70328</v>
      </c>
      <c r="BM70" s="24">
        <f t="shared" si="20"/>
        <v>784</v>
      </c>
      <c r="BN70" s="13">
        <v>121.0</v>
      </c>
      <c r="BO70" s="13">
        <v>126.0</v>
      </c>
      <c r="BP70" s="13">
        <v>244.0</v>
      </c>
      <c r="BQ70" s="13">
        <v>177.0</v>
      </c>
      <c r="BR70" s="13">
        <v>116.0</v>
      </c>
      <c r="BS70" s="13">
        <v>200.0</v>
      </c>
      <c r="BT70" s="50"/>
      <c r="BU70" s="53"/>
      <c r="BV70" s="53"/>
      <c r="BW70" s="50"/>
      <c r="BX70" s="50"/>
      <c r="BY70" s="50"/>
      <c r="BZ70" s="50"/>
      <c r="CA70" s="50"/>
    </row>
    <row r="71">
      <c r="A71" s="13" t="s">
        <v>156</v>
      </c>
      <c r="B71" s="27"/>
      <c r="C71" s="13" t="s">
        <v>53</v>
      </c>
      <c r="D71" s="27"/>
      <c r="E71" s="150">
        <v>2.08</v>
      </c>
      <c r="F71" s="13">
        <v>88.0</v>
      </c>
      <c r="G71" s="24">
        <f t="shared" si="3"/>
        <v>66</v>
      </c>
      <c r="H71" s="26">
        <v>24077.0</v>
      </c>
      <c r="I71" s="151">
        <v>0.11</v>
      </c>
      <c r="J71" s="27"/>
      <c r="K71" s="13">
        <v>80.0</v>
      </c>
      <c r="L71" s="152">
        <f t="shared" si="4"/>
        <v>0.01149425287</v>
      </c>
      <c r="M71" s="67">
        <v>11.92</v>
      </c>
      <c r="N71" s="153">
        <f t="shared" si="5"/>
        <v>0.5862068966</v>
      </c>
      <c r="O71" s="13">
        <v>0.0</v>
      </c>
      <c r="P71" s="152">
        <f t="shared" si="6"/>
        <v>1</v>
      </c>
      <c r="Q71" s="26">
        <v>890.0</v>
      </c>
      <c r="R71" s="153">
        <f t="shared" si="7"/>
        <v>0.4022988506</v>
      </c>
      <c r="S71" s="26">
        <v>709.7118328125</v>
      </c>
      <c r="T71" s="153">
        <f t="shared" si="8"/>
        <v>0.05747126437</v>
      </c>
      <c r="U71" s="13">
        <v>1.0</v>
      </c>
      <c r="V71" s="154">
        <v>0.5</v>
      </c>
      <c r="W71" s="13">
        <v>1.0</v>
      </c>
      <c r="X71" s="153">
        <f t="shared" ref="X71:X72" si="60">100%</f>
        <v>1</v>
      </c>
      <c r="Y71" s="27"/>
      <c r="Z71" s="35">
        <f t="shared" si="9"/>
        <v>3.327586207</v>
      </c>
      <c r="AA71" s="24">
        <f t="shared" si="10"/>
        <v>67</v>
      </c>
      <c r="AB71" s="24">
        <f t="shared" si="11"/>
        <v>60</v>
      </c>
      <c r="AC71" s="35">
        <f t="shared" si="12"/>
        <v>2.077586207</v>
      </c>
      <c r="AD71" s="24">
        <f t="shared" si="13"/>
        <v>88</v>
      </c>
      <c r="AE71" s="27"/>
      <c r="AF71" s="13" t="s">
        <v>166</v>
      </c>
      <c r="AG71" s="16">
        <f t="shared" si="59"/>
        <v>24.94758035</v>
      </c>
      <c r="AH71" s="108">
        <f>average(50,60)</f>
        <v>55</v>
      </c>
      <c r="AI71" s="16">
        <f t="shared" si="58"/>
        <v>66.04</v>
      </c>
      <c r="AJ71" s="108">
        <f>average(25,27)</f>
        <v>26</v>
      </c>
      <c r="AK71" s="27"/>
      <c r="AL71" s="50"/>
      <c r="AM71" s="50"/>
      <c r="AN71" s="50"/>
      <c r="AO71" s="13" t="s">
        <v>157</v>
      </c>
      <c r="AP71" s="13" t="s">
        <v>158</v>
      </c>
      <c r="AQ71" s="13" t="s">
        <v>159</v>
      </c>
      <c r="AR71" s="13">
        <v>154.0</v>
      </c>
      <c r="AS71" s="13" t="s">
        <v>145</v>
      </c>
      <c r="AT71" s="13" t="s">
        <v>145</v>
      </c>
      <c r="AU71" s="50"/>
      <c r="AV71" s="50"/>
      <c r="AW71" s="50"/>
      <c r="AX71" s="42">
        <f t="shared" si="14"/>
        <v>19512.06057</v>
      </c>
      <c r="AY71" s="156">
        <f t="shared" si="15"/>
        <v>0.08045977011</v>
      </c>
      <c r="AZ71" s="42">
        <f>average(1000,450,800,1000,1200,1000,1000,1000,1000,450)</f>
        <v>890</v>
      </c>
      <c r="BA71" s="13" t="s">
        <v>160</v>
      </c>
      <c r="BB71" s="13">
        <v>450.0</v>
      </c>
      <c r="BC71" s="13">
        <v>1000.0</v>
      </c>
      <c r="BD71" s="24">
        <f t="shared" si="57"/>
        <v>8.75</v>
      </c>
      <c r="BE71" s="13">
        <v>7.5</v>
      </c>
      <c r="BF71" s="13">
        <v>10.0</v>
      </c>
      <c r="BG71" s="35">
        <f>IFERROR(__xludf.DUMMYFUNCTION("BD71*GoogleFinance(""CURRENCY:GBPUSD"")"),10.90070625)</f>
        <v>10.90070625</v>
      </c>
      <c r="BH71" s="157">
        <f t="shared" si="17"/>
        <v>568.7716004</v>
      </c>
      <c r="BI71" s="42">
        <f t="shared" si="18"/>
        <v>6779.757476</v>
      </c>
      <c r="BJ71" s="158"/>
      <c r="BK71" s="42">
        <f t="shared" si="19"/>
        <v>11642.3031</v>
      </c>
      <c r="BL71" s="42">
        <f>IFERROR(__xludf.DUMMYFUNCTION("BM71*GoogleFinance(""CURRENCY:GBPUSD"")"),976.70328)</f>
        <v>976.70328</v>
      </c>
      <c r="BM71" s="24">
        <f t="shared" si="20"/>
        <v>784</v>
      </c>
      <c r="BN71" s="13">
        <v>121.0</v>
      </c>
      <c r="BO71" s="13">
        <v>126.0</v>
      </c>
      <c r="BP71" s="13">
        <v>244.0</v>
      </c>
      <c r="BQ71" s="13">
        <v>177.0</v>
      </c>
      <c r="BR71" s="13">
        <v>116.0</v>
      </c>
      <c r="BS71" s="13">
        <v>200.0</v>
      </c>
      <c r="BT71" s="50"/>
      <c r="BU71" s="53"/>
      <c r="BV71" s="53"/>
      <c r="BW71" s="50"/>
      <c r="BX71" s="50"/>
      <c r="BY71" s="50"/>
      <c r="BZ71" s="50"/>
      <c r="CA71" s="50"/>
    </row>
    <row r="72">
      <c r="A72" s="13" t="s">
        <v>682</v>
      </c>
      <c r="B72" s="181"/>
      <c r="C72" s="13" t="s">
        <v>38</v>
      </c>
      <c r="D72" s="27"/>
      <c r="E72" s="150">
        <v>2.07</v>
      </c>
      <c r="F72" s="13">
        <v>43.0</v>
      </c>
      <c r="G72" s="24">
        <f t="shared" si="3"/>
        <v>37</v>
      </c>
      <c r="H72" s="26">
        <v>19351.0</v>
      </c>
      <c r="I72" s="151">
        <v>0.6</v>
      </c>
      <c r="J72" s="27"/>
      <c r="K72" s="13">
        <v>34.0</v>
      </c>
      <c r="L72" s="152">
        <f t="shared" si="4"/>
        <v>0.6436781609</v>
      </c>
      <c r="M72" s="67">
        <v>9.32</v>
      </c>
      <c r="N72" s="153">
        <f t="shared" si="5"/>
        <v>0.183908046</v>
      </c>
      <c r="O72" s="13">
        <v>2.0</v>
      </c>
      <c r="P72" s="152">
        <f t="shared" si="6"/>
        <v>0.7777777778</v>
      </c>
      <c r="Q72" s="26">
        <v>1177.5</v>
      </c>
      <c r="R72" s="153">
        <f t="shared" si="7"/>
        <v>0.1264367816</v>
      </c>
      <c r="S72" s="26">
        <v>709.7118328125</v>
      </c>
      <c r="T72" s="153">
        <f t="shared" si="8"/>
        <v>0.05747126437</v>
      </c>
      <c r="U72" s="13">
        <v>2.0</v>
      </c>
      <c r="V72" s="154">
        <v>0.75</v>
      </c>
      <c r="W72" s="13">
        <v>1.0</v>
      </c>
      <c r="X72" s="153">
        <f t="shared" si="60"/>
        <v>1</v>
      </c>
      <c r="Y72" s="27"/>
      <c r="Z72" s="35">
        <f t="shared" si="9"/>
        <v>3.447318008</v>
      </c>
      <c r="AA72" s="24">
        <f t="shared" si="10"/>
        <v>68</v>
      </c>
      <c r="AB72" s="24">
        <f t="shared" si="11"/>
        <v>58</v>
      </c>
      <c r="AC72" s="35">
        <f t="shared" si="12"/>
        <v>2.072318008</v>
      </c>
      <c r="AD72" s="24">
        <f t="shared" si="13"/>
        <v>43</v>
      </c>
      <c r="AE72" s="27"/>
      <c r="AF72" s="13" t="s">
        <v>166</v>
      </c>
      <c r="AG72" s="16">
        <f t="shared" si="59"/>
        <v>56.69904625</v>
      </c>
      <c r="AH72" s="108">
        <f>average(100,150)</f>
        <v>125</v>
      </c>
      <c r="AI72" s="16">
        <f t="shared" si="58"/>
        <v>68.58</v>
      </c>
      <c r="AJ72" s="108">
        <f>average(26,28)</f>
        <v>27</v>
      </c>
      <c r="AK72" s="27"/>
      <c r="AL72" s="50"/>
      <c r="AM72" s="50"/>
      <c r="AN72" s="50"/>
      <c r="AO72" s="13" t="s">
        <v>142</v>
      </c>
      <c r="AP72" s="13" t="s">
        <v>143</v>
      </c>
      <c r="AQ72" s="13" t="s">
        <v>144</v>
      </c>
      <c r="AR72" s="13">
        <v>340.0</v>
      </c>
      <c r="AS72" s="13" t="s">
        <v>683</v>
      </c>
      <c r="AT72" s="13" t="s">
        <v>684</v>
      </c>
      <c r="AU72" s="64"/>
      <c r="AV72" s="50"/>
      <c r="AW72" s="50"/>
      <c r="AX72" s="42">
        <f t="shared" si="14"/>
        <v>15781.32588</v>
      </c>
      <c r="AY72" s="156">
        <f t="shared" si="15"/>
        <v>0.5747126437</v>
      </c>
      <c r="AZ72" s="42">
        <f>average(550,1200,2000,1300,950,800,2000,975,500,1500)</f>
        <v>1177.5</v>
      </c>
      <c r="BA72" s="13" t="s">
        <v>160</v>
      </c>
      <c r="BB72" s="13">
        <v>500.0</v>
      </c>
      <c r="BC72" s="13">
        <v>2000.0</v>
      </c>
      <c r="BD72" s="24">
        <f t="shared" si="57"/>
        <v>8.75</v>
      </c>
      <c r="BE72" s="13">
        <v>7.5</v>
      </c>
      <c r="BF72" s="13">
        <v>10.0</v>
      </c>
      <c r="BG72" s="35">
        <f>IFERROR(__xludf.DUMMYFUNCTION("BD72*GoogleFinance(""CURRENCY:GBPUSD"")"),10.90070625)</f>
        <v>10.90070625</v>
      </c>
      <c r="BH72" s="157">
        <f t="shared" si="17"/>
        <v>568.7716004</v>
      </c>
      <c r="BI72" s="42">
        <f t="shared" si="18"/>
        <v>5300.951315</v>
      </c>
      <c r="BJ72" s="158"/>
      <c r="BK72" s="42">
        <f t="shared" si="19"/>
        <v>9102.87457</v>
      </c>
      <c r="BL72" s="42">
        <f>IFERROR(__xludf.DUMMYFUNCTION("BM72*GoogleFinance(""CURRENCY:GBPUSD"")"),976.70328)</f>
        <v>976.70328</v>
      </c>
      <c r="BM72" s="24">
        <f t="shared" si="20"/>
        <v>784</v>
      </c>
      <c r="BN72" s="13">
        <v>121.0</v>
      </c>
      <c r="BO72" s="13">
        <v>126.0</v>
      </c>
      <c r="BP72" s="13">
        <v>244.0</v>
      </c>
      <c r="BQ72" s="13">
        <v>177.0</v>
      </c>
      <c r="BR72" s="13">
        <v>116.0</v>
      </c>
      <c r="BS72" s="13">
        <v>200.0</v>
      </c>
      <c r="BT72" s="50"/>
      <c r="BU72" s="53"/>
      <c r="BV72" s="53"/>
      <c r="BW72" s="50"/>
      <c r="BX72" s="50"/>
      <c r="BY72" s="50"/>
      <c r="BZ72" s="50"/>
      <c r="CA72" s="50"/>
    </row>
    <row r="73">
      <c r="A73" s="13" t="s">
        <v>35</v>
      </c>
      <c r="B73" s="27"/>
      <c r="C73" s="13" t="s">
        <v>32</v>
      </c>
      <c r="D73" s="27"/>
      <c r="E73" s="150">
        <v>2.06</v>
      </c>
      <c r="F73" s="13">
        <v>2.0</v>
      </c>
      <c r="G73" s="24">
        <f t="shared" si="3"/>
        <v>2</v>
      </c>
      <c r="H73" s="26">
        <v>17416.0</v>
      </c>
      <c r="I73" s="151">
        <v>0.8</v>
      </c>
      <c r="J73" s="27"/>
      <c r="K73" s="13">
        <v>3.0</v>
      </c>
      <c r="L73" s="152">
        <f t="shared" si="4"/>
        <v>0.9770114943</v>
      </c>
      <c r="M73" s="67">
        <v>9.73</v>
      </c>
      <c r="N73" s="153">
        <f t="shared" si="5"/>
        <v>0.2413793103</v>
      </c>
      <c r="O73" s="13">
        <v>8.0</v>
      </c>
      <c r="P73" s="152">
        <f t="shared" si="6"/>
        <v>0.1111111111</v>
      </c>
      <c r="Q73" s="26">
        <v>819.5</v>
      </c>
      <c r="R73" s="153">
        <f t="shared" si="7"/>
        <v>0.4827586207</v>
      </c>
      <c r="S73" s="26">
        <v>466.3820615625</v>
      </c>
      <c r="T73" s="153">
        <f t="shared" si="8"/>
        <v>0.2298850575</v>
      </c>
      <c r="U73" s="13">
        <v>2.0</v>
      </c>
      <c r="V73" s="154">
        <v>0.75</v>
      </c>
      <c r="W73" s="13">
        <v>2.0</v>
      </c>
      <c r="X73" s="151">
        <v>0.5</v>
      </c>
      <c r="Y73" s="27"/>
      <c r="Z73" s="35">
        <f t="shared" si="9"/>
        <v>2.935823755</v>
      </c>
      <c r="AA73" s="24">
        <f t="shared" si="10"/>
        <v>69</v>
      </c>
      <c r="AB73" s="24">
        <f t="shared" si="11"/>
        <v>74</v>
      </c>
      <c r="AC73" s="35">
        <f t="shared" si="12"/>
        <v>2.060823755</v>
      </c>
      <c r="AD73" s="24">
        <f t="shared" si="13"/>
        <v>2</v>
      </c>
      <c r="AE73" s="27"/>
      <c r="AF73" s="13" t="s">
        <v>166</v>
      </c>
      <c r="AG73" s="115" t="s">
        <v>150</v>
      </c>
      <c r="AH73" s="107" t="s">
        <v>150</v>
      </c>
      <c r="AI73" s="16">
        <f t="shared" si="58"/>
        <v>60.96</v>
      </c>
      <c r="AJ73" s="108">
        <f>average(22,26)</f>
        <v>24</v>
      </c>
      <c r="AK73" s="27"/>
      <c r="AL73" s="50"/>
      <c r="AM73" s="50"/>
      <c r="AN73" s="50"/>
      <c r="AO73" s="13" t="s">
        <v>250</v>
      </c>
      <c r="AP73" s="13" t="s">
        <v>251</v>
      </c>
      <c r="AQ73" s="13" t="s">
        <v>252</v>
      </c>
      <c r="AR73" s="13">
        <v>795.0</v>
      </c>
      <c r="AS73" s="13" t="s">
        <v>607</v>
      </c>
      <c r="AT73" s="13" t="s">
        <v>608</v>
      </c>
      <c r="AU73" s="50"/>
      <c r="AV73" s="50"/>
      <c r="AW73" s="50"/>
      <c r="AX73" s="42">
        <f t="shared" si="14"/>
        <v>14159.54853</v>
      </c>
      <c r="AY73" s="156">
        <f t="shared" si="15"/>
        <v>0.7931034483</v>
      </c>
      <c r="AZ73" s="42">
        <f>average(400,1495,600,800,600,600,1000,700,800,1200)</f>
        <v>819.5</v>
      </c>
      <c r="BA73" s="13" t="s">
        <v>160</v>
      </c>
      <c r="BB73" s="13">
        <v>400.0</v>
      </c>
      <c r="BC73" s="13">
        <v>1495.0</v>
      </c>
      <c r="BD73" s="24">
        <f t="shared" si="57"/>
        <v>5.75</v>
      </c>
      <c r="BE73" s="13">
        <v>4.0</v>
      </c>
      <c r="BF73" s="13">
        <v>7.5</v>
      </c>
      <c r="BG73" s="35">
        <f>IFERROR(__xludf.DUMMYFUNCTION("BD73*GoogleFinance(""CURRENCY:GBPUSD"")"),7.16332125)</f>
        <v>7.16332125</v>
      </c>
      <c r="BH73" s="157">
        <f t="shared" si="17"/>
        <v>373.7641945</v>
      </c>
      <c r="BI73" s="42">
        <f t="shared" si="18"/>
        <v>3636.725613</v>
      </c>
      <c r="BJ73" s="158"/>
      <c r="BK73" s="42">
        <f t="shared" si="19"/>
        <v>9503.322914</v>
      </c>
      <c r="BL73" s="42">
        <f>IFERROR(__xludf.DUMMYFUNCTION("BM73*GoogleFinance(""CURRENCY:GBPUSD"")"),976.70328)</f>
        <v>976.70328</v>
      </c>
      <c r="BM73" s="24">
        <f t="shared" si="20"/>
        <v>784</v>
      </c>
      <c r="BN73" s="13">
        <v>121.0</v>
      </c>
      <c r="BO73" s="13">
        <v>126.0</v>
      </c>
      <c r="BP73" s="13">
        <v>244.0</v>
      </c>
      <c r="BQ73" s="13">
        <v>177.0</v>
      </c>
      <c r="BR73" s="13">
        <v>116.0</v>
      </c>
      <c r="BS73" s="13">
        <v>200.0</v>
      </c>
      <c r="BT73" s="50"/>
      <c r="BU73" s="53"/>
      <c r="BV73" s="53"/>
      <c r="BW73" s="50"/>
      <c r="BX73" s="50"/>
      <c r="BY73" s="50"/>
      <c r="BZ73" s="50"/>
      <c r="CA73" s="50"/>
    </row>
    <row r="74">
      <c r="A74" s="13" t="s">
        <v>710</v>
      </c>
      <c r="B74" s="27"/>
      <c r="C74" s="13" t="s">
        <v>43</v>
      </c>
      <c r="D74" s="27"/>
      <c r="E74" s="150">
        <v>2.05</v>
      </c>
      <c r="F74" s="13">
        <v>64.0</v>
      </c>
      <c r="G74" s="24">
        <f t="shared" si="3"/>
        <v>52</v>
      </c>
      <c r="H74" s="26">
        <v>20565.0</v>
      </c>
      <c r="I74" s="151">
        <v>0.4</v>
      </c>
      <c r="J74" s="27"/>
      <c r="K74" s="13">
        <v>74.0</v>
      </c>
      <c r="L74" s="152">
        <f t="shared" si="4"/>
        <v>0.08045977011</v>
      </c>
      <c r="M74" s="67">
        <v>11.56</v>
      </c>
      <c r="N74" s="153">
        <f t="shared" si="5"/>
        <v>0.5057471264</v>
      </c>
      <c r="O74" s="13">
        <v>1.0</v>
      </c>
      <c r="P74" s="152">
        <f t="shared" si="6"/>
        <v>0.8888888889</v>
      </c>
      <c r="Q74" s="26">
        <v>885.0</v>
      </c>
      <c r="R74" s="153">
        <f t="shared" si="7"/>
        <v>0.4137931034</v>
      </c>
      <c r="S74" s="26">
        <v>466.3820615625</v>
      </c>
      <c r="T74" s="153">
        <f t="shared" si="8"/>
        <v>0.2298850575</v>
      </c>
      <c r="U74" s="13">
        <v>1.0</v>
      </c>
      <c r="V74" s="154">
        <v>0.5</v>
      </c>
      <c r="W74" s="13">
        <v>2.0</v>
      </c>
      <c r="X74" s="151">
        <v>0.5</v>
      </c>
      <c r="Y74" s="27"/>
      <c r="Z74" s="35">
        <f t="shared" si="9"/>
        <v>2.796934866</v>
      </c>
      <c r="AA74" s="24">
        <f t="shared" si="10"/>
        <v>70</v>
      </c>
      <c r="AB74" s="24">
        <f t="shared" si="11"/>
        <v>78</v>
      </c>
      <c r="AC74" s="35">
        <f t="shared" si="12"/>
        <v>2.046934866</v>
      </c>
      <c r="AD74" s="24">
        <f t="shared" si="13"/>
        <v>64</v>
      </c>
      <c r="AE74" s="27"/>
      <c r="AF74" s="13" t="s">
        <v>149</v>
      </c>
      <c r="AG74" s="16">
        <f>AH74*0.45359237</f>
        <v>5.89670081</v>
      </c>
      <c r="AH74" s="107">
        <v>13.0</v>
      </c>
      <c r="AI74" s="107" t="s">
        <v>150</v>
      </c>
      <c r="AJ74" s="107" t="s">
        <v>150</v>
      </c>
      <c r="AK74" s="27"/>
      <c r="AL74" s="13" t="s">
        <v>712</v>
      </c>
      <c r="AM74" s="50"/>
      <c r="AN74" s="50"/>
      <c r="AO74" s="13" t="s">
        <v>157</v>
      </c>
      <c r="AP74" s="13" t="s">
        <v>158</v>
      </c>
      <c r="AQ74" s="13" t="s">
        <v>159</v>
      </c>
      <c r="AR74" s="13">
        <v>94.0</v>
      </c>
      <c r="AS74" s="13" t="s">
        <v>457</v>
      </c>
      <c r="AT74" s="13" t="s">
        <v>458</v>
      </c>
      <c r="AU74" s="50"/>
      <c r="AV74" s="50"/>
      <c r="AW74" s="50"/>
      <c r="AX74" s="42">
        <f t="shared" si="14"/>
        <v>16696.40401</v>
      </c>
      <c r="AY74" s="156">
        <f t="shared" si="15"/>
        <v>0.3908045977</v>
      </c>
      <c r="AZ74" s="42">
        <f>average(3800,200,1050,450,1000,600,350,450,500,450)</f>
        <v>885</v>
      </c>
      <c r="BA74" s="13" t="s">
        <v>160</v>
      </c>
      <c r="BB74" s="13">
        <v>200.0</v>
      </c>
      <c r="BC74" s="13">
        <v>3800.0</v>
      </c>
      <c r="BD74" s="24">
        <f t="shared" si="57"/>
        <v>5.75</v>
      </c>
      <c r="BE74" s="13">
        <v>4.0</v>
      </c>
      <c r="BF74" s="13">
        <v>7.5</v>
      </c>
      <c r="BG74" s="35">
        <f>IFERROR(__xludf.DUMMYFUNCTION("BD74*GoogleFinance(""CURRENCY:GBPUSD"")"),7.16332125)</f>
        <v>7.16332125</v>
      </c>
      <c r="BH74" s="157">
        <f t="shared" si="17"/>
        <v>373.7641945</v>
      </c>
      <c r="BI74" s="42">
        <f t="shared" si="18"/>
        <v>4320.714089</v>
      </c>
      <c r="BJ74" s="158"/>
      <c r="BK74" s="42">
        <f t="shared" si="19"/>
        <v>11290.68992</v>
      </c>
      <c r="BL74" s="42">
        <f>IFERROR(__xludf.DUMMYFUNCTION("BM74*GoogleFinance(""CURRENCY:GBPUSD"")"),976.70328)</f>
        <v>976.70328</v>
      </c>
      <c r="BM74" s="24">
        <f t="shared" si="20"/>
        <v>784</v>
      </c>
      <c r="BN74" s="13">
        <v>121.0</v>
      </c>
      <c r="BO74" s="13">
        <v>126.0</v>
      </c>
      <c r="BP74" s="13">
        <v>244.0</v>
      </c>
      <c r="BQ74" s="13">
        <v>177.0</v>
      </c>
      <c r="BR74" s="13">
        <v>116.0</v>
      </c>
      <c r="BS74" s="13">
        <v>200.0</v>
      </c>
      <c r="BT74" s="50"/>
      <c r="BU74" s="53"/>
      <c r="BV74" s="53"/>
      <c r="BW74" s="50"/>
      <c r="BX74" s="50"/>
      <c r="BY74" s="50"/>
      <c r="BZ74" s="50"/>
      <c r="CA74" s="50"/>
    </row>
    <row r="75">
      <c r="A75" s="13" t="s">
        <v>699</v>
      </c>
      <c r="B75" s="27"/>
      <c r="C75" s="13" t="s">
        <v>32</v>
      </c>
      <c r="D75" s="27"/>
      <c r="E75" s="150">
        <v>2.04</v>
      </c>
      <c r="F75" s="13">
        <v>84.0</v>
      </c>
      <c r="G75" s="24">
        <f t="shared" si="3"/>
        <v>63</v>
      </c>
      <c r="H75" s="26">
        <v>22611.0</v>
      </c>
      <c r="I75" s="151">
        <v>0.15</v>
      </c>
      <c r="J75" s="27"/>
      <c r="K75" s="13">
        <v>63.0</v>
      </c>
      <c r="L75" s="152">
        <f t="shared" si="4"/>
        <v>0.2068965517</v>
      </c>
      <c r="M75" s="67">
        <v>11.19</v>
      </c>
      <c r="N75" s="153">
        <f t="shared" si="5"/>
        <v>0.4367816092</v>
      </c>
      <c r="O75" s="13">
        <v>1.0</v>
      </c>
      <c r="P75" s="152">
        <f t="shared" si="6"/>
        <v>0.8888888889</v>
      </c>
      <c r="Q75" s="26">
        <v>831.5</v>
      </c>
      <c r="R75" s="153">
        <f t="shared" si="7"/>
        <v>0.4597701149</v>
      </c>
      <c r="S75" s="26">
        <v>709.7118328125</v>
      </c>
      <c r="T75" s="153">
        <f t="shared" si="8"/>
        <v>0.05747126437</v>
      </c>
      <c r="U75" s="13">
        <v>1.0</v>
      </c>
      <c r="V75" s="154">
        <v>0.5</v>
      </c>
      <c r="W75" s="13">
        <v>1.0</v>
      </c>
      <c r="X75" s="153">
        <f>100%</f>
        <v>1</v>
      </c>
      <c r="Y75" s="27"/>
      <c r="Z75" s="35">
        <f t="shared" si="9"/>
        <v>3.291187739</v>
      </c>
      <c r="AA75" s="24">
        <f t="shared" si="10"/>
        <v>71</v>
      </c>
      <c r="AB75" s="24">
        <f t="shared" si="11"/>
        <v>61</v>
      </c>
      <c r="AC75" s="35">
        <f t="shared" si="12"/>
        <v>2.041187739</v>
      </c>
      <c r="AD75" s="24">
        <f t="shared" si="13"/>
        <v>84</v>
      </c>
      <c r="AE75" s="27"/>
      <c r="AF75" s="13" t="s">
        <v>148</v>
      </c>
      <c r="AG75" s="107" t="s">
        <v>150</v>
      </c>
      <c r="AH75" s="107" t="s">
        <v>150</v>
      </c>
      <c r="AI75" s="16">
        <f t="shared" ref="AI75:AI77" si="61">AJ75*2.54</f>
        <v>55.88</v>
      </c>
      <c r="AJ75" s="107">
        <v>22.0</v>
      </c>
      <c r="AK75" s="27"/>
      <c r="AL75" s="50"/>
      <c r="AM75" s="50"/>
      <c r="AN75" s="50"/>
      <c r="AO75" s="13" t="s">
        <v>400</v>
      </c>
      <c r="AP75" s="13" t="s">
        <v>401</v>
      </c>
      <c r="AQ75" s="13" t="s">
        <v>402</v>
      </c>
      <c r="AR75" s="13">
        <v>111.0</v>
      </c>
      <c r="AS75" s="13" t="s">
        <v>174</v>
      </c>
      <c r="AT75" s="13" t="s">
        <v>175</v>
      </c>
      <c r="AU75" s="50"/>
      <c r="AV75" s="50"/>
      <c r="AW75" s="50"/>
      <c r="AX75" s="42">
        <f t="shared" si="14"/>
        <v>18325.36391</v>
      </c>
      <c r="AY75" s="156">
        <f t="shared" si="15"/>
        <v>0.1264367816</v>
      </c>
      <c r="AZ75" s="42">
        <f>average(900,1000,900,1000,640,650,1000,750,975,500)</f>
        <v>831.5</v>
      </c>
      <c r="BA75" s="13" t="s">
        <v>160</v>
      </c>
      <c r="BB75" s="13">
        <v>500.0</v>
      </c>
      <c r="BC75" s="13">
        <v>1000.0</v>
      </c>
      <c r="BD75" s="24">
        <f t="shared" si="57"/>
        <v>8.75</v>
      </c>
      <c r="BE75" s="13">
        <v>7.5</v>
      </c>
      <c r="BF75" s="13">
        <v>10.0</v>
      </c>
      <c r="BG75" s="35">
        <f>IFERROR(__xludf.DUMMYFUNCTION("BD75*GoogleFinance(""CURRENCY:GBPUSD"")"),10.90070625)</f>
        <v>10.90070625</v>
      </c>
      <c r="BH75" s="157">
        <f t="shared" si="17"/>
        <v>568.7716004</v>
      </c>
      <c r="BI75" s="42">
        <f t="shared" si="18"/>
        <v>6364.554208</v>
      </c>
      <c r="BJ75" s="158"/>
      <c r="BK75" s="42">
        <f t="shared" si="19"/>
        <v>10929.3097</v>
      </c>
      <c r="BL75" s="42">
        <f>IFERROR(__xludf.DUMMYFUNCTION("BM75*GoogleFinance(""CURRENCY:GBPUSD"")"),976.70328)</f>
        <v>976.70328</v>
      </c>
      <c r="BM75" s="24">
        <f t="shared" si="20"/>
        <v>784</v>
      </c>
      <c r="BN75" s="13">
        <v>121.0</v>
      </c>
      <c r="BO75" s="13">
        <v>126.0</v>
      </c>
      <c r="BP75" s="13">
        <v>244.0</v>
      </c>
      <c r="BQ75" s="13">
        <v>177.0</v>
      </c>
      <c r="BR75" s="13">
        <v>116.0</v>
      </c>
      <c r="BS75" s="13">
        <v>200.0</v>
      </c>
      <c r="BT75" s="50"/>
      <c r="BU75" s="53"/>
      <c r="BV75" s="53"/>
      <c r="BW75" s="50"/>
      <c r="BX75" s="50"/>
      <c r="BY75" s="50"/>
      <c r="BZ75" s="50"/>
      <c r="CA75" s="50"/>
    </row>
    <row r="76">
      <c r="A76" s="13" t="s">
        <v>183</v>
      </c>
      <c r="B76" s="27"/>
      <c r="C76" s="13" t="s">
        <v>38</v>
      </c>
      <c r="D76" s="27"/>
      <c r="E76" s="150">
        <v>1.95</v>
      </c>
      <c r="F76" s="13">
        <v>47.0</v>
      </c>
      <c r="G76" s="24">
        <f t="shared" si="3"/>
        <v>41</v>
      </c>
      <c r="H76" s="26">
        <v>20994.0</v>
      </c>
      <c r="I76" s="151">
        <v>0.37</v>
      </c>
      <c r="J76" s="27"/>
      <c r="K76" s="13">
        <v>54.0</v>
      </c>
      <c r="L76" s="152">
        <f t="shared" si="4"/>
        <v>0.3103448276</v>
      </c>
      <c r="M76" s="67">
        <v>10.16</v>
      </c>
      <c r="N76" s="153">
        <f t="shared" si="5"/>
        <v>0.2988505747</v>
      </c>
      <c r="O76" s="13">
        <v>1.0</v>
      </c>
      <c r="P76" s="152">
        <f t="shared" si="6"/>
        <v>0.8888888889</v>
      </c>
      <c r="Q76" s="26">
        <v>1201.5</v>
      </c>
      <c r="R76" s="153">
        <f t="shared" si="7"/>
        <v>0.1034482759</v>
      </c>
      <c r="S76" s="26">
        <v>709.7118328125</v>
      </c>
      <c r="T76" s="153">
        <f t="shared" si="8"/>
        <v>0.05747126437</v>
      </c>
      <c r="U76" s="13">
        <v>2.0</v>
      </c>
      <c r="V76" s="154">
        <v>0.75</v>
      </c>
      <c r="W76" s="13">
        <v>3.0</v>
      </c>
      <c r="X76" s="151">
        <v>0.0</v>
      </c>
      <c r="Y76" s="27"/>
      <c r="Z76" s="35">
        <f t="shared" si="9"/>
        <v>2.328544061</v>
      </c>
      <c r="AA76" s="24">
        <f t="shared" si="10"/>
        <v>72</v>
      </c>
      <c r="AB76" s="24">
        <f t="shared" si="11"/>
        <v>86</v>
      </c>
      <c r="AC76" s="35">
        <f t="shared" si="12"/>
        <v>1.953544061</v>
      </c>
      <c r="AD76" s="24">
        <f t="shared" si="13"/>
        <v>47</v>
      </c>
      <c r="AE76" s="27"/>
      <c r="AF76" s="13" t="s">
        <v>166</v>
      </c>
      <c r="AG76" s="107" t="s">
        <v>150</v>
      </c>
      <c r="AH76" s="107" t="s">
        <v>150</v>
      </c>
      <c r="AI76" s="16">
        <f t="shared" si="61"/>
        <v>66.04</v>
      </c>
      <c r="AJ76" s="108">
        <f>average(24,28)</f>
        <v>26</v>
      </c>
      <c r="AK76" s="27"/>
      <c r="AL76" s="50"/>
      <c r="AM76" s="50"/>
      <c r="AN76" s="50"/>
      <c r="AO76" s="13" t="s">
        <v>184</v>
      </c>
      <c r="AP76" s="159" t="s">
        <v>185</v>
      </c>
      <c r="AQ76" s="13" t="s">
        <v>187</v>
      </c>
      <c r="AR76" s="13">
        <v>192.0</v>
      </c>
      <c r="AS76" s="13" t="s">
        <v>174</v>
      </c>
      <c r="AT76" s="13" t="s">
        <v>175</v>
      </c>
      <c r="AU76" s="50"/>
      <c r="AV76" s="50"/>
      <c r="AW76" s="50"/>
      <c r="AX76" s="42">
        <f t="shared" si="14"/>
        <v>17103.52478</v>
      </c>
      <c r="AY76" s="156">
        <f t="shared" si="15"/>
        <v>0.3333333333</v>
      </c>
      <c r="AZ76" s="42">
        <f>average(750,1400,1350,1500,565,850,1000,1800,1000,1800)</f>
        <v>1201.5</v>
      </c>
      <c r="BA76" s="13" t="s">
        <v>160</v>
      </c>
      <c r="BB76" s="13">
        <v>565.0</v>
      </c>
      <c r="BC76" s="13">
        <v>1800.0</v>
      </c>
      <c r="BD76" s="24">
        <f t="shared" si="57"/>
        <v>8.75</v>
      </c>
      <c r="BE76" s="13">
        <v>7.5</v>
      </c>
      <c r="BF76" s="13">
        <v>10.0</v>
      </c>
      <c r="BG76" s="35">
        <f>IFERROR(__xludf.DUMMYFUNCTION("BD76*GoogleFinance(""CURRENCY:GBPUSD"")"),10.90070625)</f>
        <v>10.90070625</v>
      </c>
      <c r="BH76" s="157">
        <f t="shared" si="17"/>
        <v>568.7716004</v>
      </c>
      <c r="BI76" s="42">
        <f t="shared" si="18"/>
        <v>5778.71946</v>
      </c>
      <c r="BJ76" s="158"/>
      <c r="BK76" s="42">
        <f t="shared" si="19"/>
        <v>9923.305325</v>
      </c>
      <c r="BL76" s="42">
        <f>IFERROR(__xludf.DUMMYFUNCTION("BM76*GoogleFinance(""CURRENCY:GBPUSD"")"),976.70328)</f>
        <v>976.70328</v>
      </c>
      <c r="BM76" s="24">
        <f t="shared" si="20"/>
        <v>784</v>
      </c>
      <c r="BN76" s="13">
        <v>121.0</v>
      </c>
      <c r="BO76" s="13">
        <v>126.0</v>
      </c>
      <c r="BP76" s="13">
        <v>244.0</v>
      </c>
      <c r="BQ76" s="13">
        <v>177.0</v>
      </c>
      <c r="BR76" s="13">
        <v>116.0</v>
      </c>
      <c r="BS76" s="13">
        <v>200.0</v>
      </c>
      <c r="BT76" s="50"/>
      <c r="BU76" s="53"/>
      <c r="BV76" s="53"/>
      <c r="BW76" s="50"/>
      <c r="BX76" s="50"/>
      <c r="BY76" s="50"/>
      <c r="BZ76" s="50"/>
      <c r="CA76" s="50"/>
    </row>
    <row r="77">
      <c r="A77" s="13" t="s">
        <v>723</v>
      </c>
      <c r="B77" s="27"/>
      <c r="C77" s="13" t="s">
        <v>53</v>
      </c>
      <c r="D77" s="27"/>
      <c r="E77" s="150">
        <v>1.91</v>
      </c>
      <c r="F77" s="13">
        <v>44.0</v>
      </c>
      <c r="G77" s="24">
        <f t="shared" si="3"/>
        <v>38</v>
      </c>
      <c r="H77" s="26">
        <v>16530.0</v>
      </c>
      <c r="I77" s="151">
        <v>0.85</v>
      </c>
      <c r="J77" s="27"/>
      <c r="K77" s="13">
        <v>52.0</v>
      </c>
      <c r="L77" s="152">
        <f t="shared" si="4"/>
        <v>0.3333333333</v>
      </c>
      <c r="M77" s="67">
        <v>9.1</v>
      </c>
      <c r="N77" s="153">
        <f t="shared" si="5"/>
        <v>0.1609195402</v>
      </c>
      <c r="O77" s="13">
        <v>2.0</v>
      </c>
      <c r="P77" s="152">
        <f t="shared" si="6"/>
        <v>0.7777777778</v>
      </c>
      <c r="Q77" s="26">
        <v>995.0</v>
      </c>
      <c r="R77" s="153">
        <f t="shared" si="7"/>
        <v>0.2873563218</v>
      </c>
      <c r="S77" s="26">
        <v>466.3820615625</v>
      </c>
      <c r="T77" s="153">
        <f t="shared" si="8"/>
        <v>0.2298850575</v>
      </c>
      <c r="U77" s="13">
        <v>2.0</v>
      </c>
      <c r="V77" s="154">
        <v>0.75</v>
      </c>
      <c r="W77" s="13">
        <v>2.0</v>
      </c>
      <c r="X77" s="151">
        <v>0.5</v>
      </c>
      <c r="Y77" s="27"/>
      <c r="Z77" s="35">
        <f t="shared" si="9"/>
        <v>2.780651341</v>
      </c>
      <c r="AA77" s="24">
        <f t="shared" si="10"/>
        <v>73</v>
      </c>
      <c r="AB77" s="24">
        <f t="shared" si="11"/>
        <v>79</v>
      </c>
      <c r="AC77" s="35">
        <f t="shared" si="12"/>
        <v>1.905651341</v>
      </c>
      <c r="AD77" s="24">
        <f t="shared" si="13"/>
        <v>44</v>
      </c>
      <c r="AE77" s="27"/>
      <c r="AF77" s="13" t="s">
        <v>166</v>
      </c>
      <c r="AG77" s="16">
        <f t="shared" ref="AG77:AG79" si="62">AH77*0.45359237</f>
        <v>35.15340868</v>
      </c>
      <c r="AH77" s="108">
        <f>average(70,85)</f>
        <v>77.5</v>
      </c>
      <c r="AI77" s="16">
        <f t="shared" si="61"/>
        <v>64.77</v>
      </c>
      <c r="AJ77" s="108">
        <f>average(24,27)</f>
        <v>25.5</v>
      </c>
      <c r="AK77" s="27"/>
      <c r="AL77" s="50"/>
      <c r="AM77" s="50"/>
      <c r="AN77" s="50"/>
      <c r="AO77" s="13" t="s">
        <v>184</v>
      </c>
      <c r="AP77" s="159" t="s">
        <v>185</v>
      </c>
      <c r="AQ77" s="13" t="s">
        <v>187</v>
      </c>
      <c r="AR77" s="13">
        <v>10.0</v>
      </c>
      <c r="AS77" s="13" t="s">
        <v>725</v>
      </c>
      <c r="AT77" s="13" t="s">
        <v>726</v>
      </c>
      <c r="AU77" s="50"/>
      <c r="AV77" s="50"/>
      <c r="AW77" s="50"/>
      <c r="AX77" s="42">
        <f t="shared" si="14"/>
        <v>13484.25402</v>
      </c>
      <c r="AY77" s="156">
        <f t="shared" si="15"/>
        <v>0.8505747126</v>
      </c>
      <c r="AZ77" s="42">
        <f>average(750,950,950,850,900,950,1300,900,1200,1200)</f>
        <v>995</v>
      </c>
      <c r="BA77" s="13" t="s">
        <v>160</v>
      </c>
      <c r="BB77" s="13">
        <v>750.0</v>
      </c>
      <c r="BC77" s="13">
        <v>1300.0</v>
      </c>
      <c r="BD77" s="24">
        <f t="shared" si="57"/>
        <v>5.75</v>
      </c>
      <c r="BE77" s="13">
        <v>4.0</v>
      </c>
      <c r="BF77" s="13">
        <v>7.5</v>
      </c>
      <c r="BG77" s="35">
        <f>IFERROR(__xludf.DUMMYFUNCTION("BD77*GoogleFinance(""CURRENCY:GBPUSD"")"),7.16332125)</f>
        <v>7.16332125</v>
      </c>
      <c r="BH77" s="157">
        <f t="shared" si="17"/>
        <v>373.7641945</v>
      </c>
      <c r="BI77" s="42">
        <f t="shared" si="18"/>
        <v>3401.25417</v>
      </c>
      <c r="BJ77" s="158"/>
      <c r="BK77" s="42">
        <f t="shared" si="19"/>
        <v>8887.999848</v>
      </c>
      <c r="BL77" s="42">
        <f>IFERROR(__xludf.DUMMYFUNCTION("BM77*GoogleFinance(""CURRENCY:GBPUSD"")"),976.70328)</f>
        <v>976.70328</v>
      </c>
      <c r="BM77" s="24">
        <f t="shared" si="20"/>
        <v>784</v>
      </c>
      <c r="BN77" s="13">
        <v>121.0</v>
      </c>
      <c r="BO77" s="13">
        <v>126.0</v>
      </c>
      <c r="BP77" s="13">
        <v>244.0</v>
      </c>
      <c r="BQ77" s="13">
        <v>177.0</v>
      </c>
      <c r="BR77" s="13">
        <v>116.0</v>
      </c>
      <c r="BS77" s="13">
        <v>200.0</v>
      </c>
      <c r="BT77" s="50"/>
      <c r="BU77" s="53"/>
      <c r="BV77" s="53"/>
      <c r="BW77" s="50"/>
      <c r="BX77" s="50"/>
      <c r="BY77" s="50"/>
      <c r="BZ77" s="50"/>
      <c r="CA77" s="50"/>
    </row>
    <row r="78">
      <c r="A78" s="13" t="s">
        <v>601</v>
      </c>
      <c r="B78" s="27"/>
      <c r="C78" s="13" t="s">
        <v>34</v>
      </c>
      <c r="D78" s="27"/>
      <c r="E78" s="150">
        <v>1.9</v>
      </c>
      <c r="F78" s="13">
        <v>18.0</v>
      </c>
      <c r="G78" s="24">
        <f t="shared" si="3"/>
        <v>18</v>
      </c>
      <c r="H78" s="26">
        <v>17266.0</v>
      </c>
      <c r="I78" s="151">
        <v>0.82</v>
      </c>
      <c r="J78" s="27"/>
      <c r="K78" s="13">
        <v>58.0</v>
      </c>
      <c r="L78" s="152">
        <f t="shared" si="4"/>
        <v>0.275862069</v>
      </c>
      <c r="M78" s="67">
        <v>9.0</v>
      </c>
      <c r="N78" s="153">
        <f t="shared" si="5"/>
        <v>0.1149425287</v>
      </c>
      <c r="O78" s="13">
        <v>0.0</v>
      </c>
      <c r="P78" s="152">
        <f t="shared" si="6"/>
        <v>1</v>
      </c>
      <c r="Q78" s="26">
        <v>1900.0</v>
      </c>
      <c r="R78" s="153">
        <f t="shared" si="7"/>
        <v>0.03448275862</v>
      </c>
      <c r="S78" s="26">
        <v>466.3820615625</v>
      </c>
      <c r="T78" s="153">
        <f t="shared" si="8"/>
        <v>0.2298850575</v>
      </c>
      <c r="U78" s="13">
        <v>2.0</v>
      </c>
      <c r="V78" s="154">
        <v>0.75</v>
      </c>
      <c r="W78" s="13">
        <v>1.0</v>
      </c>
      <c r="X78" s="153">
        <f>100%</f>
        <v>1</v>
      </c>
      <c r="Y78" s="27"/>
      <c r="Z78" s="35">
        <f t="shared" si="9"/>
        <v>3.272988506</v>
      </c>
      <c r="AA78" s="24">
        <f t="shared" si="10"/>
        <v>74</v>
      </c>
      <c r="AB78" s="24">
        <f t="shared" si="11"/>
        <v>62</v>
      </c>
      <c r="AC78" s="35">
        <f t="shared" si="12"/>
        <v>1.897988506</v>
      </c>
      <c r="AD78" s="24">
        <f t="shared" si="13"/>
        <v>18</v>
      </c>
      <c r="AE78" s="27"/>
      <c r="AF78" s="13" t="s">
        <v>148</v>
      </c>
      <c r="AG78" s="16">
        <f t="shared" si="62"/>
        <v>12.24699399</v>
      </c>
      <c r="AH78" s="107">
        <v>27.0</v>
      </c>
      <c r="AI78" s="107" t="s">
        <v>150</v>
      </c>
      <c r="AJ78" s="107" t="s">
        <v>150</v>
      </c>
      <c r="AK78" s="27"/>
      <c r="AL78" s="13" t="s">
        <v>603</v>
      </c>
      <c r="AM78" s="50"/>
      <c r="AN78" s="50"/>
      <c r="AO78" s="13" t="s">
        <v>400</v>
      </c>
      <c r="AP78" s="13" t="s">
        <v>401</v>
      </c>
      <c r="AQ78" s="13" t="s">
        <v>402</v>
      </c>
      <c r="AR78" s="13">
        <v>71.0</v>
      </c>
      <c r="AS78" s="13" t="s">
        <v>145</v>
      </c>
      <c r="AT78" s="13" t="s">
        <v>145</v>
      </c>
      <c r="AU78" s="50"/>
      <c r="AV78" s="50"/>
      <c r="AW78" s="50"/>
      <c r="AX78" s="42">
        <f t="shared" si="14"/>
        <v>14254.20727</v>
      </c>
      <c r="AY78" s="156">
        <f t="shared" si="15"/>
        <v>0.7701149425</v>
      </c>
      <c r="AZ78" s="42">
        <f>average(1350,1800,1800,1600,2500,1800,3500,1350,1300,2000)</f>
        <v>1900</v>
      </c>
      <c r="BA78" s="13" t="s">
        <v>372</v>
      </c>
      <c r="BB78" s="13">
        <v>1300.0</v>
      </c>
      <c r="BC78" s="13">
        <v>3500.0</v>
      </c>
      <c r="BD78" s="24">
        <f t="shared" si="57"/>
        <v>5.75</v>
      </c>
      <c r="BE78" s="13">
        <v>4.0</v>
      </c>
      <c r="BF78" s="13">
        <v>7.5</v>
      </c>
      <c r="BG78" s="35">
        <f>IFERROR(__xludf.DUMMYFUNCTION("BD78*GoogleFinance(""CURRENCY:GBPUSD"")"),7.16332125)</f>
        <v>7.16332125</v>
      </c>
      <c r="BH78" s="157">
        <f t="shared" si="17"/>
        <v>373.7641945</v>
      </c>
      <c r="BI78" s="42">
        <f t="shared" si="18"/>
        <v>3363.877751</v>
      </c>
      <c r="BJ78" s="158"/>
      <c r="BK78" s="42">
        <f t="shared" si="19"/>
        <v>8790.32952</v>
      </c>
      <c r="BL78" s="42">
        <f>IFERROR(__xludf.DUMMYFUNCTION("BM78*GoogleFinance(""CURRENCY:GBPUSD"")"),976.70328)</f>
        <v>976.70328</v>
      </c>
      <c r="BM78" s="24">
        <f t="shared" si="20"/>
        <v>784</v>
      </c>
      <c r="BN78" s="13">
        <v>121.0</v>
      </c>
      <c r="BO78" s="13">
        <v>126.0</v>
      </c>
      <c r="BP78" s="13">
        <v>244.0</v>
      </c>
      <c r="BQ78" s="13">
        <v>177.0</v>
      </c>
      <c r="BR78" s="13">
        <v>116.0</v>
      </c>
      <c r="BS78" s="13">
        <v>200.0</v>
      </c>
      <c r="BT78" s="50"/>
      <c r="BU78" s="53"/>
      <c r="BV78" s="53"/>
      <c r="BW78" s="50"/>
      <c r="BX78" s="50"/>
      <c r="BY78" s="50"/>
      <c r="BZ78" s="50"/>
      <c r="CA78" s="50"/>
    </row>
    <row r="79">
      <c r="A79" s="13" t="s">
        <v>383</v>
      </c>
      <c r="B79" s="27"/>
      <c r="C79" s="13" t="s">
        <v>53</v>
      </c>
      <c r="D79" s="27"/>
      <c r="E79" s="150">
        <v>1.89</v>
      </c>
      <c r="F79" s="13">
        <v>102.0</v>
      </c>
      <c r="G79" s="24">
        <f t="shared" si="3"/>
        <v>71</v>
      </c>
      <c r="H79" s="26">
        <v>16176.0</v>
      </c>
      <c r="I79" s="151">
        <v>0.87</v>
      </c>
      <c r="J79" s="27"/>
      <c r="K79" s="13">
        <v>76.0</v>
      </c>
      <c r="L79" s="152">
        <f t="shared" si="4"/>
        <v>0.05747126437</v>
      </c>
      <c r="M79" s="67">
        <v>9.08</v>
      </c>
      <c r="N79" s="153">
        <f t="shared" si="5"/>
        <v>0.1494252874</v>
      </c>
      <c r="O79" s="13">
        <v>0.0</v>
      </c>
      <c r="P79" s="152">
        <f t="shared" si="6"/>
        <v>1</v>
      </c>
      <c r="Q79" s="26">
        <v>675.0</v>
      </c>
      <c r="R79" s="153">
        <f t="shared" si="7"/>
        <v>0.6436781609</v>
      </c>
      <c r="S79" s="26">
        <v>466.3820615625</v>
      </c>
      <c r="T79" s="153">
        <f t="shared" si="8"/>
        <v>0.2298850575</v>
      </c>
      <c r="U79" s="13">
        <v>1.0</v>
      </c>
      <c r="V79" s="154">
        <v>0.5</v>
      </c>
      <c r="W79" s="13">
        <v>2.0</v>
      </c>
      <c r="X79" s="151">
        <v>0.5</v>
      </c>
      <c r="Y79" s="27"/>
      <c r="Z79" s="35">
        <f t="shared" si="9"/>
        <v>2.643678161</v>
      </c>
      <c r="AA79" s="24">
        <f t="shared" si="10"/>
        <v>75</v>
      </c>
      <c r="AB79" s="24">
        <f t="shared" si="11"/>
        <v>82</v>
      </c>
      <c r="AC79" s="35">
        <f t="shared" si="12"/>
        <v>1.893678161</v>
      </c>
      <c r="AD79" s="24">
        <f t="shared" si="13"/>
        <v>102</v>
      </c>
      <c r="AE79" s="27"/>
      <c r="AF79" s="13" t="s">
        <v>166</v>
      </c>
      <c r="AG79" s="16">
        <f t="shared" si="62"/>
        <v>37.42137053</v>
      </c>
      <c r="AH79" s="108">
        <f>average(60,105)</f>
        <v>82.5</v>
      </c>
      <c r="AI79" s="16">
        <f t="shared" ref="AI79:AI90" si="63">AJ79*2.54</f>
        <v>71.12</v>
      </c>
      <c r="AJ79" s="107">
        <v>28.0</v>
      </c>
      <c r="AK79" s="27"/>
      <c r="AL79" s="13" t="s">
        <v>393</v>
      </c>
      <c r="AM79" s="50"/>
      <c r="AN79" s="50"/>
      <c r="AO79" s="13" t="s">
        <v>157</v>
      </c>
      <c r="AP79" s="13" t="s">
        <v>158</v>
      </c>
      <c r="AQ79" s="13" t="s">
        <v>159</v>
      </c>
      <c r="AR79" s="13">
        <v>87.0</v>
      </c>
      <c r="AS79" s="13" t="s">
        <v>145</v>
      </c>
      <c r="AT79" s="13" t="s">
        <v>145</v>
      </c>
      <c r="AU79" s="50"/>
      <c r="AV79" s="50"/>
      <c r="AW79" s="50"/>
      <c r="AX79" s="42">
        <f t="shared" si="14"/>
        <v>13137.24467</v>
      </c>
      <c r="AY79" s="156">
        <f t="shared" si="15"/>
        <v>0.8850574713</v>
      </c>
      <c r="AZ79" s="42">
        <f>average(400,700,1250,750,300,400,500,400,1250,800)</f>
        <v>675</v>
      </c>
      <c r="BA79" s="13" t="s">
        <v>146</v>
      </c>
      <c r="BB79" s="13">
        <v>300.0</v>
      </c>
      <c r="BC79" s="13">
        <v>1250.0</v>
      </c>
      <c r="BD79" s="24">
        <f t="shared" si="57"/>
        <v>5.75</v>
      </c>
      <c r="BE79" s="13">
        <v>4.0</v>
      </c>
      <c r="BF79" s="13">
        <v>7.5</v>
      </c>
      <c r="BG79" s="35">
        <f>IFERROR(__xludf.DUMMYFUNCTION("BD79*GoogleFinance(""CURRENCY:GBPUSD"")"),7.16332125)</f>
        <v>7.16332125</v>
      </c>
      <c r="BH79" s="157">
        <f t="shared" si="17"/>
        <v>373.7641945</v>
      </c>
      <c r="BI79" s="42">
        <f t="shared" si="18"/>
        <v>3393.778886</v>
      </c>
      <c r="BJ79" s="158"/>
      <c r="BK79" s="42">
        <f t="shared" si="19"/>
        <v>8868.465782</v>
      </c>
      <c r="BL79" s="42">
        <f>IFERROR(__xludf.DUMMYFUNCTION("BM79*GoogleFinance(""CURRENCY:GBPUSD"")"),976.70328)</f>
        <v>976.70328</v>
      </c>
      <c r="BM79" s="24">
        <f t="shared" si="20"/>
        <v>784</v>
      </c>
      <c r="BN79" s="13">
        <v>121.0</v>
      </c>
      <c r="BO79" s="13">
        <v>126.0</v>
      </c>
      <c r="BP79" s="13">
        <v>244.0</v>
      </c>
      <c r="BQ79" s="13">
        <v>177.0</v>
      </c>
      <c r="BR79" s="13">
        <v>116.0</v>
      </c>
      <c r="BS79" s="13">
        <v>200.0</v>
      </c>
      <c r="BT79" s="50"/>
      <c r="BU79" s="53"/>
      <c r="BV79" s="53"/>
      <c r="BW79" s="50"/>
      <c r="BX79" s="50"/>
      <c r="BY79" s="50"/>
      <c r="BZ79" s="50"/>
      <c r="CA79" s="50"/>
    </row>
    <row r="80">
      <c r="A80" s="13" t="s">
        <v>360</v>
      </c>
      <c r="B80" s="27"/>
      <c r="C80" s="13" t="s">
        <v>38</v>
      </c>
      <c r="D80" s="27"/>
      <c r="E80" s="150">
        <v>1.85</v>
      </c>
      <c r="F80" s="13">
        <v>34.0</v>
      </c>
      <c r="G80" s="24">
        <f t="shared" si="3"/>
        <v>31</v>
      </c>
      <c r="H80" s="26">
        <v>16099.0</v>
      </c>
      <c r="I80" s="151">
        <v>0.89</v>
      </c>
      <c r="J80" s="27"/>
      <c r="K80" s="13">
        <v>22.0</v>
      </c>
      <c r="L80" s="152">
        <f t="shared" si="4"/>
        <v>0.7816091954</v>
      </c>
      <c r="M80" s="67">
        <v>7.56</v>
      </c>
      <c r="N80" s="153">
        <f t="shared" si="5"/>
        <v>0.06896551724</v>
      </c>
      <c r="O80" s="13">
        <v>4.0</v>
      </c>
      <c r="P80" s="152">
        <f t="shared" si="6"/>
        <v>0.5555555556</v>
      </c>
      <c r="Q80" s="26">
        <v>1320.0</v>
      </c>
      <c r="R80" s="153">
        <f t="shared" si="7"/>
        <v>0.08045977011</v>
      </c>
      <c r="S80" s="26">
        <v>709.7118328125</v>
      </c>
      <c r="T80" s="153">
        <f t="shared" si="8"/>
        <v>0.05747126437</v>
      </c>
      <c r="U80" s="13">
        <v>2.0</v>
      </c>
      <c r="V80" s="154">
        <v>0.75</v>
      </c>
      <c r="W80" s="13">
        <v>1.0</v>
      </c>
      <c r="X80" s="153">
        <f>100%</f>
        <v>1</v>
      </c>
      <c r="Y80" s="27"/>
      <c r="Z80" s="35">
        <f t="shared" si="9"/>
        <v>3.225095785</v>
      </c>
      <c r="AA80" s="24">
        <f t="shared" si="10"/>
        <v>76</v>
      </c>
      <c r="AB80" s="24">
        <f t="shared" si="11"/>
        <v>63</v>
      </c>
      <c r="AC80" s="35">
        <f t="shared" si="12"/>
        <v>1.850095785</v>
      </c>
      <c r="AD80" s="24">
        <f t="shared" si="13"/>
        <v>34</v>
      </c>
      <c r="AE80" s="27"/>
      <c r="AF80" s="13" t="s">
        <v>166</v>
      </c>
      <c r="AG80" s="107" t="s">
        <v>150</v>
      </c>
      <c r="AH80" s="107" t="s">
        <v>150</v>
      </c>
      <c r="AI80" s="16">
        <f t="shared" si="63"/>
        <v>64.135</v>
      </c>
      <c r="AJ80" s="108">
        <f>average(23,27.5)</f>
        <v>25.25</v>
      </c>
      <c r="AK80" s="27"/>
      <c r="AL80" s="50"/>
      <c r="AM80" s="50"/>
      <c r="AN80" s="50"/>
      <c r="AO80" s="13" t="s">
        <v>267</v>
      </c>
      <c r="AP80" s="159" t="s">
        <v>268</v>
      </c>
      <c r="AQ80" s="13" t="s">
        <v>269</v>
      </c>
      <c r="AR80" s="13">
        <v>701.0</v>
      </c>
      <c r="AS80" s="13" t="s">
        <v>361</v>
      </c>
      <c r="AT80" s="13" t="s">
        <v>362</v>
      </c>
      <c r="AU80" s="50"/>
      <c r="AV80" s="50"/>
      <c r="AW80" s="50"/>
      <c r="AX80" s="42">
        <f t="shared" si="14"/>
        <v>13203.7901</v>
      </c>
      <c r="AY80" s="156">
        <f t="shared" si="15"/>
        <v>0.8735632184</v>
      </c>
      <c r="AZ80" s="42">
        <f>average(1600,1200,1200,800,750,1000,2500,1750,1200,1200)</f>
        <v>1320</v>
      </c>
      <c r="BA80" s="13" t="s">
        <v>160</v>
      </c>
      <c r="BB80" s="13">
        <v>750.0</v>
      </c>
      <c r="BC80" s="13">
        <v>2500.0</v>
      </c>
      <c r="BD80" s="24">
        <f t="shared" si="57"/>
        <v>8.75</v>
      </c>
      <c r="BE80" s="13">
        <v>7.5</v>
      </c>
      <c r="BF80" s="13">
        <v>10.0</v>
      </c>
      <c r="BG80" s="35">
        <f>IFERROR(__xludf.DUMMYFUNCTION("BD80*GoogleFinance(""CURRENCY:GBPUSD"")"),10.90070625)</f>
        <v>10.90070625</v>
      </c>
      <c r="BH80" s="157">
        <f t="shared" si="17"/>
        <v>568.7716004</v>
      </c>
      <c r="BI80" s="42">
        <f t="shared" si="18"/>
        <v>4299.913299</v>
      </c>
      <c r="BJ80" s="158"/>
      <c r="BK80" s="42">
        <f t="shared" si="19"/>
        <v>7383.876797</v>
      </c>
      <c r="BL80" s="42">
        <f>IFERROR(__xludf.DUMMYFUNCTION("BM80*GoogleFinance(""CURRENCY:GBPUSD"")"),976.70328)</f>
        <v>976.70328</v>
      </c>
      <c r="BM80" s="24">
        <f t="shared" si="20"/>
        <v>784</v>
      </c>
      <c r="BN80" s="13">
        <v>121.0</v>
      </c>
      <c r="BO80" s="13">
        <v>126.0</v>
      </c>
      <c r="BP80" s="13">
        <v>244.0</v>
      </c>
      <c r="BQ80" s="13">
        <v>177.0</v>
      </c>
      <c r="BR80" s="13">
        <v>116.0</v>
      </c>
      <c r="BS80" s="13">
        <v>200.0</v>
      </c>
      <c r="BT80" s="50"/>
      <c r="BU80" s="53"/>
      <c r="BV80" s="53"/>
      <c r="BW80" s="50"/>
      <c r="BX80" s="50"/>
      <c r="BY80" s="50"/>
      <c r="BZ80" s="50"/>
      <c r="CA80" s="50"/>
    </row>
    <row r="81">
      <c r="A81" s="13" t="s">
        <v>451</v>
      </c>
      <c r="B81" s="27"/>
      <c r="C81" s="13" t="s">
        <v>23</v>
      </c>
      <c r="D81" s="27"/>
      <c r="E81" s="150">
        <v>1.85</v>
      </c>
      <c r="F81" s="13">
        <v>51.0</v>
      </c>
      <c r="G81" s="24">
        <f t="shared" si="3"/>
        <v>44</v>
      </c>
      <c r="H81" s="26">
        <v>18490.0</v>
      </c>
      <c r="I81" s="151">
        <v>0.69</v>
      </c>
      <c r="J81" s="27"/>
      <c r="K81" s="13">
        <v>66.0</v>
      </c>
      <c r="L81" s="152">
        <f t="shared" si="4"/>
        <v>0.1724137931</v>
      </c>
      <c r="M81" s="67">
        <v>10.21</v>
      </c>
      <c r="N81" s="153">
        <f t="shared" si="5"/>
        <v>0.3103448276</v>
      </c>
      <c r="O81" s="13">
        <v>2.0</v>
      </c>
      <c r="P81" s="152">
        <f t="shared" si="6"/>
        <v>0.7777777778</v>
      </c>
      <c r="Q81" s="26">
        <v>1085.0</v>
      </c>
      <c r="R81" s="153">
        <f t="shared" si="7"/>
        <v>0.1954022989</v>
      </c>
      <c r="S81" s="26">
        <v>466.3820615625</v>
      </c>
      <c r="T81" s="153">
        <f t="shared" si="8"/>
        <v>0.2298850575</v>
      </c>
      <c r="U81" s="13">
        <v>2.0</v>
      </c>
      <c r="V81" s="154">
        <v>0.75</v>
      </c>
      <c r="W81" s="13">
        <v>2.0</v>
      </c>
      <c r="X81" s="151">
        <v>0.5</v>
      </c>
      <c r="Y81" s="27"/>
      <c r="Z81" s="35">
        <f t="shared" si="9"/>
        <v>2.723180077</v>
      </c>
      <c r="AA81" s="24">
        <f t="shared" si="10"/>
        <v>77</v>
      </c>
      <c r="AB81" s="24">
        <f t="shared" si="11"/>
        <v>80</v>
      </c>
      <c r="AC81" s="35">
        <f t="shared" si="12"/>
        <v>1.848180077</v>
      </c>
      <c r="AD81" s="24">
        <f t="shared" si="13"/>
        <v>51</v>
      </c>
      <c r="AE81" s="27"/>
      <c r="AF81" s="13" t="s">
        <v>148</v>
      </c>
      <c r="AG81" s="16">
        <f>AH81*0.45359237</f>
        <v>27.2155422</v>
      </c>
      <c r="AH81" s="108">
        <f>average(50,70)</f>
        <v>60</v>
      </c>
      <c r="AI81" s="16">
        <f t="shared" si="63"/>
        <v>54.61</v>
      </c>
      <c r="AJ81" s="108">
        <f>average(21,22)</f>
        <v>21.5</v>
      </c>
      <c r="AK81" s="27"/>
      <c r="AL81" s="50"/>
      <c r="AM81" s="50"/>
      <c r="AN81" s="50"/>
      <c r="AO81" s="13" t="s">
        <v>400</v>
      </c>
      <c r="AP81" s="13" t="s">
        <v>401</v>
      </c>
      <c r="AQ81" s="13" t="s">
        <v>402</v>
      </c>
      <c r="AR81" s="13">
        <v>225.0</v>
      </c>
      <c r="AS81" s="13" t="s">
        <v>453</v>
      </c>
      <c r="AT81" s="13" t="s">
        <v>454</v>
      </c>
      <c r="AU81" s="50"/>
      <c r="AV81" s="50"/>
      <c r="AW81" s="50"/>
      <c r="AX81" s="42">
        <f t="shared" si="14"/>
        <v>15073.27291</v>
      </c>
      <c r="AY81" s="156">
        <f t="shared" si="15"/>
        <v>0.6781609195</v>
      </c>
      <c r="AZ81" s="42">
        <f>average(600,1500,1500,300,1750,1600,500,1300,600,1200)</f>
        <v>1085</v>
      </c>
      <c r="BA81" s="13" t="s">
        <v>160</v>
      </c>
      <c r="BB81" s="13">
        <v>300.0</v>
      </c>
      <c r="BC81" s="13">
        <v>1750.0</v>
      </c>
      <c r="BD81" s="24">
        <f t="shared" si="57"/>
        <v>5.75</v>
      </c>
      <c r="BE81" s="13">
        <v>4.0</v>
      </c>
      <c r="BF81" s="13">
        <v>7.5</v>
      </c>
      <c r="BG81" s="35">
        <f>IFERROR(__xludf.DUMMYFUNCTION("BD81*GoogleFinance(""CURRENCY:GBPUSD"")"),7.16332125)</f>
        <v>7.16332125</v>
      </c>
      <c r="BH81" s="157">
        <f t="shared" si="17"/>
        <v>373.7641945</v>
      </c>
      <c r="BI81" s="42">
        <f t="shared" si="18"/>
        <v>3816.132426</v>
      </c>
      <c r="BJ81" s="158"/>
      <c r="BK81" s="42">
        <f t="shared" si="19"/>
        <v>9972.140489</v>
      </c>
      <c r="BL81" s="42">
        <f>IFERROR(__xludf.DUMMYFUNCTION("BM81*GoogleFinance(""CURRENCY:GBPUSD"")"),976.70328)</f>
        <v>976.70328</v>
      </c>
      <c r="BM81" s="24">
        <f t="shared" si="20"/>
        <v>784</v>
      </c>
      <c r="BN81" s="13">
        <v>121.0</v>
      </c>
      <c r="BO81" s="13">
        <v>126.0</v>
      </c>
      <c r="BP81" s="13">
        <v>244.0</v>
      </c>
      <c r="BQ81" s="13">
        <v>177.0</v>
      </c>
      <c r="BR81" s="13">
        <v>116.0</v>
      </c>
      <c r="BS81" s="13">
        <v>200.0</v>
      </c>
      <c r="BT81" s="50"/>
      <c r="BU81" s="53"/>
      <c r="BV81" s="53"/>
      <c r="BW81" s="50"/>
      <c r="BX81" s="50"/>
      <c r="BY81" s="50"/>
      <c r="BZ81" s="50"/>
      <c r="CA81" s="50"/>
    </row>
    <row r="82">
      <c r="A82" s="13" t="s">
        <v>411</v>
      </c>
      <c r="B82" s="27"/>
      <c r="C82" s="13" t="s">
        <v>38</v>
      </c>
      <c r="D82" s="27"/>
      <c r="E82" s="150">
        <v>1.83</v>
      </c>
      <c r="F82" s="13">
        <v>7.0</v>
      </c>
      <c r="G82" s="24">
        <f t="shared" si="3"/>
        <v>7</v>
      </c>
      <c r="H82" s="26">
        <v>15746.0</v>
      </c>
      <c r="I82" s="151">
        <v>0.94</v>
      </c>
      <c r="J82" s="27"/>
      <c r="K82" s="13">
        <v>48.0</v>
      </c>
      <c r="L82" s="152">
        <f t="shared" si="4"/>
        <v>0.3908045977</v>
      </c>
      <c r="M82" s="67">
        <v>8.81</v>
      </c>
      <c r="N82" s="153">
        <f t="shared" si="5"/>
        <v>0.1034482759</v>
      </c>
      <c r="O82" s="13">
        <v>4.0</v>
      </c>
      <c r="P82" s="152">
        <f t="shared" si="6"/>
        <v>0.5555555556</v>
      </c>
      <c r="Q82" s="26">
        <v>700.0</v>
      </c>
      <c r="R82" s="153">
        <f t="shared" si="7"/>
        <v>0.5862068966</v>
      </c>
      <c r="S82" s="26">
        <v>466.3820615625</v>
      </c>
      <c r="T82" s="153">
        <f t="shared" si="8"/>
        <v>0.2298850575</v>
      </c>
      <c r="U82" s="13">
        <v>2.0</v>
      </c>
      <c r="V82" s="154">
        <v>0.75</v>
      </c>
      <c r="W82" s="13">
        <v>1.0</v>
      </c>
      <c r="X82" s="153">
        <f>100%</f>
        <v>1</v>
      </c>
      <c r="Y82" s="27"/>
      <c r="Z82" s="35">
        <f t="shared" si="9"/>
        <v>3.207854406</v>
      </c>
      <c r="AA82" s="24">
        <f t="shared" si="10"/>
        <v>78</v>
      </c>
      <c r="AB82" s="24">
        <f t="shared" si="11"/>
        <v>64</v>
      </c>
      <c r="AC82" s="35">
        <f t="shared" si="12"/>
        <v>1.832854406</v>
      </c>
      <c r="AD82" s="24">
        <f t="shared" si="13"/>
        <v>7</v>
      </c>
      <c r="AE82" s="27"/>
      <c r="AF82" s="13" t="s">
        <v>148</v>
      </c>
      <c r="AG82" s="107" t="s">
        <v>150</v>
      </c>
      <c r="AH82" s="107" t="s">
        <v>150</v>
      </c>
      <c r="AI82" s="16">
        <f t="shared" si="63"/>
        <v>59.055</v>
      </c>
      <c r="AJ82" s="108">
        <f>average(21.5,25)</f>
        <v>23.25</v>
      </c>
      <c r="AK82" s="27"/>
      <c r="AL82" s="50"/>
      <c r="AM82" s="50"/>
      <c r="AN82" s="50"/>
      <c r="AO82" s="13" t="s">
        <v>184</v>
      </c>
      <c r="AP82" s="159" t="s">
        <v>185</v>
      </c>
      <c r="AQ82" s="13" t="s">
        <v>187</v>
      </c>
      <c r="AR82" s="13">
        <v>2112.0</v>
      </c>
      <c r="AS82" s="13" t="s">
        <v>412</v>
      </c>
      <c r="AT82" s="13" t="s">
        <v>413</v>
      </c>
      <c r="AU82" s="50"/>
      <c r="AV82" s="50"/>
      <c r="AW82" s="50"/>
      <c r="AX82" s="42">
        <f t="shared" si="14"/>
        <v>12797.61845</v>
      </c>
      <c r="AY82" s="156">
        <f t="shared" si="15"/>
        <v>0.9425287356</v>
      </c>
      <c r="AZ82" s="42">
        <f>average(500,550,700,500,650,2500,600,350,300,350)</f>
        <v>700</v>
      </c>
      <c r="BA82" s="13" t="s">
        <v>160</v>
      </c>
      <c r="BB82" s="13">
        <v>300.0</v>
      </c>
      <c r="BC82" s="13">
        <v>2500.0</v>
      </c>
      <c r="BD82" s="24">
        <f t="shared" si="57"/>
        <v>5.75</v>
      </c>
      <c r="BE82" s="13">
        <v>4.0</v>
      </c>
      <c r="BF82" s="13">
        <v>7.5</v>
      </c>
      <c r="BG82" s="35">
        <f>IFERROR(__xludf.DUMMYFUNCTION("BD82*GoogleFinance(""CURRENCY:GBPUSD"")"),7.16332125)</f>
        <v>7.16332125</v>
      </c>
      <c r="BH82" s="157">
        <f t="shared" si="17"/>
        <v>373.7641945</v>
      </c>
      <c r="BI82" s="42">
        <f t="shared" si="18"/>
        <v>3292.862554</v>
      </c>
      <c r="BJ82" s="158"/>
      <c r="BK82" s="42">
        <f t="shared" si="19"/>
        <v>8604.755897</v>
      </c>
      <c r="BL82" s="42">
        <f>IFERROR(__xludf.DUMMYFUNCTION("BM82*GoogleFinance(""CURRENCY:GBPUSD"")"),976.70328)</f>
        <v>976.70328</v>
      </c>
      <c r="BM82" s="24">
        <f t="shared" si="20"/>
        <v>784</v>
      </c>
      <c r="BN82" s="13">
        <v>121.0</v>
      </c>
      <c r="BO82" s="13">
        <v>126.0</v>
      </c>
      <c r="BP82" s="13">
        <v>244.0</v>
      </c>
      <c r="BQ82" s="13">
        <v>177.0</v>
      </c>
      <c r="BR82" s="13">
        <v>116.0</v>
      </c>
      <c r="BS82" s="13">
        <v>200.0</v>
      </c>
      <c r="BT82" s="50"/>
      <c r="BU82" s="53"/>
      <c r="BV82" s="53"/>
      <c r="BW82" s="50"/>
      <c r="BX82" s="50"/>
      <c r="BY82" s="50"/>
      <c r="BZ82" s="50"/>
      <c r="CA82" s="50"/>
    </row>
    <row r="83">
      <c r="A83" s="13" t="s">
        <v>212</v>
      </c>
      <c r="B83" s="27"/>
      <c r="C83" s="13" t="s">
        <v>38</v>
      </c>
      <c r="D83" s="27"/>
      <c r="E83" s="150">
        <v>1.82</v>
      </c>
      <c r="F83" s="13">
        <v>58.0</v>
      </c>
      <c r="G83" s="24">
        <f t="shared" si="3"/>
        <v>47</v>
      </c>
      <c r="H83" s="26">
        <v>21986.0</v>
      </c>
      <c r="I83" s="151">
        <v>0.23</v>
      </c>
      <c r="J83" s="27"/>
      <c r="K83" s="13">
        <v>50.0</v>
      </c>
      <c r="L83" s="152">
        <f t="shared" si="4"/>
        <v>0.3563218391</v>
      </c>
      <c r="M83" s="67">
        <v>10.67</v>
      </c>
      <c r="N83" s="153">
        <f t="shared" si="5"/>
        <v>0.3563218391</v>
      </c>
      <c r="O83" s="13">
        <v>2.0</v>
      </c>
      <c r="P83" s="152">
        <f t="shared" si="6"/>
        <v>0.7777777778</v>
      </c>
      <c r="Q83" s="26">
        <v>1209.5</v>
      </c>
      <c r="R83" s="153">
        <f t="shared" si="7"/>
        <v>0.09195402299</v>
      </c>
      <c r="S83" s="26">
        <v>709.7118328125</v>
      </c>
      <c r="T83" s="153">
        <f t="shared" si="8"/>
        <v>0.05747126437</v>
      </c>
      <c r="U83" s="13">
        <v>1.0</v>
      </c>
      <c r="V83" s="154">
        <v>0.5</v>
      </c>
      <c r="W83" s="13">
        <v>2.0</v>
      </c>
      <c r="X83" s="151">
        <v>0.5</v>
      </c>
      <c r="Y83" s="27"/>
      <c r="Z83" s="35">
        <f t="shared" si="9"/>
        <v>2.5651341</v>
      </c>
      <c r="AA83" s="24">
        <f t="shared" si="10"/>
        <v>79</v>
      </c>
      <c r="AB83" s="24">
        <f t="shared" si="11"/>
        <v>83</v>
      </c>
      <c r="AC83" s="35">
        <f t="shared" si="12"/>
        <v>1.8151341</v>
      </c>
      <c r="AD83" s="24">
        <f t="shared" si="13"/>
        <v>58</v>
      </c>
      <c r="AE83" s="27"/>
      <c r="AF83" s="13" t="s">
        <v>166</v>
      </c>
      <c r="AG83" s="16">
        <f>AH83*0.45359237</f>
        <v>36.2873896</v>
      </c>
      <c r="AH83" s="108">
        <f>average(75,85)</f>
        <v>80</v>
      </c>
      <c r="AI83" s="16">
        <f t="shared" si="63"/>
        <v>60.96</v>
      </c>
      <c r="AJ83" s="108">
        <f>average(23,25)</f>
        <v>24</v>
      </c>
      <c r="AK83" s="27"/>
      <c r="AL83" s="13" t="s">
        <v>222</v>
      </c>
      <c r="AM83" s="13" t="s">
        <v>223</v>
      </c>
      <c r="AN83" s="128" t="s">
        <v>224</v>
      </c>
      <c r="AO83" s="13" t="s">
        <v>184</v>
      </c>
      <c r="AP83" s="159" t="s">
        <v>185</v>
      </c>
      <c r="AQ83" s="13" t="s">
        <v>187</v>
      </c>
      <c r="AR83" s="13">
        <v>14.0</v>
      </c>
      <c r="AS83" s="13" t="s">
        <v>217</v>
      </c>
      <c r="AT83" s="13" t="s">
        <v>218</v>
      </c>
      <c r="AU83" s="50"/>
      <c r="AV83" s="50"/>
      <c r="AW83" s="50"/>
      <c r="AX83" s="42">
        <f t="shared" si="14"/>
        <v>17899.71697</v>
      </c>
      <c r="AY83" s="156">
        <f t="shared" si="15"/>
        <v>0.183908046</v>
      </c>
      <c r="AZ83" s="42">
        <f>average(900,550,800,695,800,1800,1000,1550,1650,2350)</f>
        <v>1209.5</v>
      </c>
      <c r="BA83" s="13" t="s">
        <v>160</v>
      </c>
      <c r="BB83" s="13">
        <v>550.0</v>
      </c>
      <c r="BC83" s="13">
        <v>2350.0</v>
      </c>
      <c r="BD83" s="24">
        <f t="shared" si="57"/>
        <v>8.75</v>
      </c>
      <c r="BE83" s="13">
        <v>7.5</v>
      </c>
      <c r="BF83" s="13">
        <v>10.0</v>
      </c>
      <c r="BG83" s="35">
        <f>IFERROR(__xludf.DUMMYFUNCTION("BD83*GoogleFinance(""CURRENCY:GBPUSD"")"),10.90070625)</f>
        <v>10.90070625</v>
      </c>
      <c r="BH83" s="157">
        <f t="shared" si="17"/>
        <v>568.7716004</v>
      </c>
      <c r="BI83" s="42">
        <f t="shared" si="18"/>
        <v>6068.792976</v>
      </c>
      <c r="BJ83" s="158"/>
      <c r="BK83" s="42">
        <f t="shared" si="19"/>
        <v>10421.424</v>
      </c>
      <c r="BL83" s="42">
        <f>IFERROR(__xludf.DUMMYFUNCTION("BM83*GoogleFinance(""CURRENCY:GBPUSD"")"),976.70328)</f>
        <v>976.70328</v>
      </c>
      <c r="BM83" s="24">
        <f t="shared" si="20"/>
        <v>784</v>
      </c>
      <c r="BN83" s="13">
        <v>121.0</v>
      </c>
      <c r="BO83" s="13">
        <v>126.0</v>
      </c>
      <c r="BP83" s="13">
        <v>244.0</v>
      </c>
      <c r="BQ83" s="13">
        <v>177.0</v>
      </c>
      <c r="BR83" s="13">
        <v>116.0</v>
      </c>
      <c r="BS83" s="13">
        <v>200.0</v>
      </c>
      <c r="BT83" s="50"/>
      <c r="BU83" s="53"/>
      <c r="BV83" s="53"/>
      <c r="BW83" s="50"/>
      <c r="BX83" s="50"/>
      <c r="BY83" s="50"/>
      <c r="BZ83" s="50"/>
      <c r="CA83" s="50"/>
    </row>
    <row r="84">
      <c r="A84" s="13" t="s">
        <v>532</v>
      </c>
      <c r="B84" s="27"/>
      <c r="C84" s="13" t="s">
        <v>34</v>
      </c>
      <c r="D84" s="27"/>
      <c r="E84" s="150">
        <v>1.76</v>
      </c>
      <c r="F84" s="13">
        <v>68.0</v>
      </c>
      <c r="G84" s="24">
        <f t="shared" si="3"/>
        <v>54</v>
      </c>
      <c r="H84" s="26">
        <v>15898.0</v>
      </c>
      <c r="I84" s="151">
        <v>0.91</v>
      </c>
      <c r="J84" s="27"/>
      <c r="K84" s="13">
        <v>77.0</v>
      </c>
      <c r="L84" s="152">
        <f t="shared" si="4"/>
        <v>0.04597701149</v>
      </c>
      <c r="M84" s="67">
        <v>9.01</v>
      </c>
      <c r="N84" s="153">
        <f t="shared" si="5"/>
        <v>0.1264367816</v>
      </c>
      <c r="O84" s="13">
        <v>2.0</v>
      </c>
      <c r="P84" s="152">
        <f t="shared" si="6"/>
        <v>0.7777777778</v>
      </c>
      <c r="Q84" s="26">
        <v>515.0</v>
      </c>
      <c r="R84" s="153">
        <f t="shared" si="7"/>
        <v>0.8850574713</v>
      </c>
      <c r="S84" s="26">
        <v>466.3820615625</v>
      </c>
      <c r="T84" s="153">
        <f t="shared" si="8"/>
        <v>0.2298850575</v>
      </c>
      <c r="U84" s="13">
        <v>1.0</v>
      </c>
      <c r="V84" s="154">
        <v>0.5</v>
      </c>
      <c r="W84" s="13">
        <v>2.0</v>
      </c>
      <c r="X84" s="151">
        <v>0.5</v>
      </c>
      <c r="Y84" s="27"/>
      <c r="Z84" s="35">
        <f t="shared" si="9"/>
        <v>2.507662835</v>
      </c>
      <c r="AA84" s="24">
        <f t="shared" si="10"/>
        <v>80</v>
      </c>
      <c r="AB84" s="24">
        <f t="shared" si="11"/>
        <v>85</v>
      </c>
      <c r="AC84" s="35">
        <f t="shared" si="12"/>
        <v>1.757662835</v>
      </c>
      <c r="AD84" s="24">
        <f t="shared" si="13"/>
        <v>68</v>
      </c>
      <c r="AE84" s="27"/>
      <c r="AF84" s="13" t="s">
        <v>148</v>
      </c>
      <c r="AG84" s="107" t="s">
        <v>150</v>
      </c>
      <c r="AH84" s="107" t="s">
        <v>150</v>
      </c>
      <c r="AI84" s="16">
        <f t="shared" si="63"/>
        <v>46.99</v>
      </c>
      <c r="AJ84" s="108">
        <f>average(17,20)</f>
        <v>18.5</v>
      </c>
      <c r="AK84" s="27"/>
      <c r="AL84" s="50"/>
      <c r="AM84" s="50"/>
      <c r="AN84" s="50"/>
      <c r="AO84" s="13" t="s">
        <v>157</v>
      </c>
      <c r="AP84" s="13" t="s">
        <v>158</v>
      </c>
      <c r="AQ84" s="13" t="s">
        <v>159</v>
      </c>
      <c r="AR84" s="13">
        <v>38.0</v>
      </c>
      <c r="AS84" s="13" t="s">
        <v>470</v>
      </c>
      <c r="AT84" s="13" t="s">
        <v>471</v>
      </c>
      <c r="AU84" s="50"/>
      <c r="AV84" s="50"/>
      <c r="AW84" s="50"/>
      <c r="AX84" s="42">
        <f t="shared" si="14"/>
        <v>12882.71195</v>
      </c>
      <c r="AY84" s="156">
        <f t="shared" si="15"/>
        <v>0.9195402299</v>
      </c>
      <c r="AZ84" s="42">
        <f>average(200,700,750,550,600,500,550,400,400,500)</f>
        <v>515</v>
      </c>
      <c r="BA84" s="13" t="s">
        <v>146</v>
      </c>
      <c r="BB84" s="13">
        <v>200.0</v>
      </c>
      <c r="BC84" s="13">
        <v>750.0</v>
      </c>
      <c r="BD84" s="24">
        <f t="shared" si="57"/>
        <v>5.75</v>
      </c>
      <c r="BE84" s="13">
        <v>4.0</v>
      </c>
      <c r="BF84" s="13">
        <v>7.5</v>
      </c>
      <c r="BG84" s="35">
        <f>IFERROR(__xludf.DUMMYFUNCTION("BD84*GoogleFinance(""CURRENCY:GBPUSD"")"),7.16332125)</f>
        <v>7.16332125</v>
      </c>
      <c r="BH84" s="157">
        <f t="shared" si="17"/>
        <v>373.7641945</v>
      </c>
      <c r="BI84" s="42">
        <f t="shared" si="18"/>
        <v>3367.615393</v>
      </c>
      <c r="BJ84" s="158"/>
      <c r="BK84" s="42">
        <f t="shared" si="19"/>
        <v>8800.096553</v>
      </c>
      <c r="BL84" s="42">
        <f>IFERROR(__xludf.DUMMYFUNCTION("BM84*GoogleFinance(""CURRENCY:GBPUSD"")"),976.70328)</f>
        <v>976.70328</v>
      </c>
      <c r="BM84" s="24">
        <f t="shared" si="20"/>
        <v>784</v>
      </c>
      <c r="BN84" s="13">
        <v>121.0</v>
      </c>
      <c r="BO84" s="13">
        <v>126.0</v>
      </c>
      <c r="BP84" s="13">
        <v>244.0</v>
      </c>
      <c r="BQ84" s="13">
        <v>177.0</v>
      </c>
      <c r="BR84" s="13">
        <v>116.0</v>
      </c>
      <c r="BS84" s="13">
        <v>200.0</v>
      </c>
      <c r="BT84" s="50"/>
      <c r="BU84" s="53"/>
      <c r="BV84" s="53"/>
      <c r="BW84" s="50"/>
      <c r="BX84" s="50"/>
      <c r="BY84" s="50"/>
      <c r="BZ84" s="50"/>
      <c r="CA84" s="50"/>
    </row>
    <row r="85">
      <c r="A85" s="13" t="s">
        <v>52</v>
      </c>
      <c r="B85" s="27"/>
      <c r="C85" s="13" t="s">
        <v>53</v>
      </c>
      <c r="D85" s="27"/>
      <c r="E85" s="150">
        <v>1.66</v>
      </c>
      <c r="F85" s="13">
        <v>48.0</v>
      </c>
      <c r="G85" s="24">
        <f t="shared" si="3"/>
        <v>42</v>
      </c>
      <c r="H85" s="26">
        <v>13824.0</v>
      </c>
      <c r="I85" s="151">
        <v>0.98</v>
      </c>
      <c r="J85" s="27"/>
      <c r="K85" s="13">
        <v>75.0</v>
      </c>
      <c r="L85" s="152">
        <f t="shared" si="4"/>
        <v>0.06896551724</v>
      </c>
      <c r="M85" s="67">
        <v>6.75</v>
      </c>
      <c r="N85" s="153">
        <f t="shared" si="5"/>
        <v>0.03448275862</v>
      </c>
      <c r="O85" s="13">
        <v>2.0</v>
      </c>
      <c r="P85" s="152">
        <f t="shared" si="6"/>
        <v>0.7777777778</v>
      </c>
      <c r="Q85" s="26">
        <v>607.5</v>
      </c>
      <c r="R85" s="153">
        <f t="shared" si="7"/>
        <v>0.7586206897</v>
      </c>
      <c r="S85" s="26">
        <v>709.7118328125</v>
      </c>
      <c r="T85" s="153">
        <f t="shared" si="8"/>
        <v>0.05747126437</v>
      </c>
      <c r="U85" s="13">
        <v>2.0</v>
      </c>
      <c r="V85" s="154">
        <v>0.75</v>
      </c>
      <c r="W85" s="13">
        <v>2.0</v>
      </c>
      <c r="X85" s="151">
        <v>0.5</v>
      </c>
      <c r="Y85" s="27"/>
      <c r="Z85" s="35">
        <f t="shared" si="9"/>
        <v>2.539272031</v>
      </c>
      <c r="AA85" s="24">
        <f t="shared" si="10"/>
        <v>81</v>
      </c>
      <c r="AB85" s="24">
        <f t="shared" si="11"/>
        <v>84</v>
      </c>
      <c r="AC85" s="35">
        <f t="shared" si="12"/>
        <v>1.664272031</v>
      </c>
      <c r="AD85" s="24">
        <f t="shared" si="13"/>
        <v>48</v>
      </c>
      <c r="AE85" s="27"/>
      <c r="AF85" s="13" t="s">
        <v>166</v>
      </c>
      <c r="AG85" s="16">
        <f>AH85*0.45359237</f>
        <v>38.55535145</v>
      </c>
      <c r="AH85" s="108">
        <f>average(80,90)</f>
        <v>85</v>
      </c>
      <c r="AI85" s="16">
        <f t="shared" si="63"/>
        <v>63.5</v>
      </c>
      <c r="AJ85" s="108">
        <f>average(23,27)</f>
        <v>25</v>
      </c>
      <c r="AK85" s="27"/>
      <c r="AL85" s="50"/>
      <c r="AM85" s="50"/>
      <c r="AN85" s="50"/>
      <c r="AO85" s="13" t="s">
        <v>157</v>
      </c>
      <c r="AP85" s="13" t="s">
        <v>158</v>
      </c>
      <c r="AQ85" s="13" t="s">
        <v>159</v>
      </c>
      <c r="AR85" s="13">
        <v>82.0</v>
      </c>
      <c r="AS85" s="13" t="s">
        <v>373</v>
      </c>
      <c r="AT85" s="13" t="s">
        <v>374</v>
      </c>
      <c r="AU85" s="50"/>
      <c r="AV85" s="50"/>
      <c r="AW85" s="50"/>
      <c r="AX85" s="42">
        <f t="shared" si="14"/>
        <v>11239.45544</v>
      </c>
      <c r="AY85" s="156">
        <f t="shared" si="15"/>
        <v>0.9885057471</v>
      </c>
      <c r="AZ85" s="42">
        <f>average(400,500,400,800,200,400,750,1000,625,1000)</f>
        <v>607.5</v>
      </c>
      <c r="BA85" s="13" t="s">
        <v>146</v>
      </c>
      <c r="BB85" s="13">
        <v>200.0</v>
      </c>
      <c r="BC85" s="13">
        <v>1000.0</v>
      </c>
      <c r="BD85" s="24">
        <f t="shared" si="57"/>
        <v>8.75</v>
      </c>
      <c r="BE85" s="13">
        <v>7.5</v>
      </c>
      <c r="BF85" s="13">
        <v>10.0</v>
      </c>
      <c r="BG85" s="35">
        <f>IFERROR(__xludf.DUMMYFUNCTION("BD85*GoogleFinance(""CURRENCY:GBPUSD"")"),10.90070625)</f>
        <v>10.90070625</v>
      </c>
      <c r="BH85" s="157">
        <f t="shared" si="17"/>
        <v>568.7716004</v>
      </c>
      <c r="BI85" s="42">
        <f t="shared" si="18"/>
        <v>3839.208302</v>
      </c>
      <c r="BJ85" s="158"/>
      <c r="BK85" s="42">
        <f t="shared" si="19"/>
        <v>6592.74714</v>
      </c>
      <c r="BL85" s="42">
        <f>IFERROR(__xludf.DUMMYFUNCTION("BM85*GoogleFinance(""CURRENCY:GBPUSD"")"),976.70328)</f>
        <v>976.70328</v>
      </c>
      <c r="BM85" s="24">
        <f t="shared" si="20"/>
        <v>784</v>
      </c>
      <c r="BN85" s="13">
        <v>121.0</v>
      </c>
      <c r="BO85" s="13">
        <v>126.0</v>
      </c>
      <c r="BP85" s="13">
        <v>244.0</v>
      </c>
      <c r="BQ85" s="13">
        <v>177.0</v>
      </c>
      <c r="BR85" s="13">
        <v>116.0</v>
      </c>
      <c r="BS85" s="13">
        <v>200.0</v>
      </c>
      <c r="BT85" s="50"/>
      <c r="BU85" s="53"/>
      <c r="BV85" s="53"/>
      <c r="BW85" s="50"/>
      <c r="BX85" s="50"/>
      <c r="BY85" s="50"/>
      <c r="BZ85" s="50"/>
      <c r="CA85" s="50"/>
    </row>
    <row r="86">
      <c r="A86" s="13" t="s">
        <v>644</v>
      </c>
      <c r="B86" s="27"/>
      <c r="C86" s="13" t="s">
        <v>53</v>
      </c>
      <c r="D86" s="27"/>
      <c r="E86" s="150">
        <v>1.66</v>
      </c>
      <c r="F86" s="13">
        <v>79.0</v>
      </c>
      <c r="G86" s="24">
        <f t="shared" si="3"/>
        <v>60</v>
      </c>
      <c r="H86" s="26">
        <v>18435.0</v>
      </c>
      <c r="I86" s="151">
        <v>0.7</v>
      </c>
      <c r="J86" s="27"/>
      <c r="K86" s="13">
        <v>41.0</v>
      </c>
      <c r="L86" s="152">
        <f t="shared" si="4"/>
        <v>0.5287356322</v>
      </c>
      <c r="M86" s="67">
        <v>6.94</v>
      </c>
      <c r="N86" s="153">
        <f t="shared" si="5"/>
        <v>0.04597701149</v>
      </c>
      <c r="O86" s="13">
        <v>3.0</v>
      </c>
      <c r="P86" s="152">
        <f t="shared" si="6"/>
        <v>0.6666666667</v>
      </c>
      <c r="Q86" s="26">
        <v>1333.33333333333</v>
      </c>
      <c r="R86" s="153">
        <f t="shared" si="7"/>
        <v>0.06896551724</v>
      </c>
      <c r="S86" s="26">
        <v>1216.64885625</v>
      </c>
      <c r="T86" s="153">
        <f t="shared" si="8"/>
        <v>0.02298850575</v>
      </c>
      <c r="U86" s="13">
        <v>2.0</v>
      </c>
      <c r="V86" s="154">
        <v>0.75</v>
      </c>
      <c r="W86" s="13">
        <v>1.0</v>
      </c>
      <c r="X86" s="153">
        <f t="shared" ref="X86:X87" si="64">100%</f>
        <v>1</v>
      </c>
      <c r="Y86" s="27"/>
      <c r="Z86" s="35">
        <f t="shared" si="9"/>
        <v>3.037356322</v>
      </c>
      <c r="AA86" s="24">
        <f t="shared" si="10"/>
        <v>82</v>
      </c>
      <c r="AB86" s="24">
        <f t="shared" si="11"/>
        <v>70</v>
      </c>
      <c r="AC86" s="35">
        <f t="shared" si="12"/>
        <v>1.662356322</v>
      </c>
      <c r="AD86" s="24">
        <f t="shared" si="13"/>
        <v>79</v>
      </c>
      <c r="AE86" s="27"/>
      <c r="AF86" s="13" t="s">
        <v>166</v>
      </c>
      <c r="AG86" s="107" t="s">
        <v>150</v>
      </c>
      <c r="AH86" s="107" t="s">
        <v>150</v>
      </c>
      <c r="AI86" s="16">
        <f t="shared" si="63"/>
        <v>81.28</v>
      </c>
      <c r="AJ86" s="108">
        <f>average(30,34)</f>
        <v>32</v>
      </c>
      <c r="AK86" s="27"/>
      <c r="AL86" s="50"/>
      <c r="AM86" s="50"/>
      <c r="AN86" s="50"/>
      <c r="AO86" s="13" t="s">
        <v>184</v>
      </c>
      <c r="AP86" s="159" t="s">
        <v>185</v>
      </c>
      <c r="AQ86" s="13" t="s">
        <v>187</v>
      </c>
      <c r="AR86" s="13">
        <v>121.0</v>
      </c>
      <c r="AS86" s="13" t="s">
        <v>645</v>
      </c>
      <c r="AT86" s="13" t="s">
        <v>646</v>
      </c>
      <c r="AU86" s="50"/>
      <c r="AV86" s="50"/>
      <c r="AW86" s="50"/>
      <c r="AX86" s="42">
        <f t="shared" si="14"/>
        <v>15078.41108</v>
      </c>
      <c r="AY86" s="156">
        <f t="shared" si="15"/>
        <v>0.6666666667</v>
      </c>
      <c r="AZ86" s="42">
        <f>average(1550,1550,1200,1550,1200,1100,1550,800,1500)</f>
        <v>1333.333333</v>
      </c>
      <c r="BA86" s="13" t="s">
        <v>160</v>
      </c>
      <c r="BB86" s="13">
        <v>800.0</v>
      </c>
      <c r="BC86" s="13">
        <v>1550.0</v>
      </c>
      <c r="BD86" s="24">
        <f t="shared" si="57"/>
        <v>15</v>
      </c>
      <c r="BE86" s="13">
        <v>15.0</v>
      </c>
      <c r="BF86" s="13">
        <v>15.0</v>
      </c>
      <c r="BG86" s="35">
        <f>IFERROR(__xludf.DUMMYFUNCTION("BD86*GoogleFinance(""CURRENCY:GBPUSD"")"),18.686925)</f>
        <v>18.686925</v>
      </c>
      <c r="BH86" s="157">
        <f t="shared" si="17"/>
        <v>975.0370292</v>
      </c>
      <c r="BI86" s="42">
        <f t="shared" si="18"/>
        <v>6766.756983</v>
      </c>
      <c r="BJ86" s="158"/>
      <c r="BK86" s="42">
        <f t="shared" si="19"/>
        <v>6778.320763</v>
      </c>
      <c r="BL86" s="42">
        <f>IFERROR(__xludf.DUMMYFUNCTION("BM86*GoogleFinance(""CURRENCY:GBPUSD"")"),976.70328)</f>
        <v>976.70328</v>
      </c>
      <c r="BM86" s="24">
        <f t="shared" si="20"/>
        <v>784</v>
      </c>
      <c r="BN86" s="13">
        <v>121.0</v>
      </c>
      <c r="BO86" s="13">
        <v>126.0</v>
      </c>
      <c r="BP86" s="13">
        <v>244.0</v>
      </c>
      <c r="BQ86" s="13">
        <v>177.0</v>
      </c>
      <c r="BR86" s="13">
        <v>116.0</v>
      </c>
      <c r="BS86" s="13">
        <v>200.0</v>
      </c>
      <c r="BT86" s="50"/>
      <c r="BU86" s="53"/>
      <c r="BV86" s="53"/>
      <c r="BW86" s="50"/>
      <c r="BX86" s="50"/>
      <c r="BY86" s="50"/>
      <c r="BZ86" s="50"/>
      <c r="CA86" s="50"/>
    </row>
    <row r="87">
      <c r="A87" s="13" t="s">
        <v>55</v>
      </c>
      <c r="B87" s="27"/>
      <c r="C87" s="13" t="s">
        <v>38</v>
      </c>
      <c r="D87" s="27"/>
      <c r="E87" s="150">
        <v>1.64</v>
      </c>
      <c r="F87" s="13">
        <v>40.0</v>
      </c>
      <c r="G87" s="24">
        <f t="shared" si="3"/>
        <v>35</v>
      </c>
      <c r="H87" s="26">
        <v>13936.0</v>
      </c>
      <c r="I87" s="151">
        <v>0.97</v>
      </c>
      <c r="J87" s="27"/>
      <c r="K87" s="13">
        <v>69.0</v>
      </c>
      <c r="L87" s="152">
        <f t="shared" si="4"/>
        <v>0.1379310345</v>
      </c>
      <c r="M87" s="67">
        <v>7.57</v>
      </c>
      <c r="N87" s="153">
        <f t="shared" si="5"/>
        <v>0.08045977011</v>
      </c>
      <c r="O87" s="13">
        <v>2.0</v>
      </c>
      <c r="P87" s="152">
        <f t="shared" si="6"/>
        <v>0.7777777778</v>
      </c>
      <c r="Q87" s="26">
        <v>980.0</v>
      </c>
      <c r="R87" s="153">
        <f t="shared" si="7"/>
        <v>0.2988505747</v>
      </c>
      <c r="S87" s="26">
        <v>466.3820615625</v>
      </c>
      <c r="T87" s="153">
        <f t="shared" si="8"/>
        <v>0.2298850575</v>
      </c>
      <c r="U87" s="13">
        <v>2.0</v>
      </c>
      <c r="V87" s="154">
        <v>0.75</v>
      </c>
      <c r="W87" s="13">
        <v>1.0</v>
      </c>
      <c r="X87" s="153">
        <f t="shared" si="64"/>
        <v>1</v>
      </c>
      <c r="Y87" s="27"/>
      <c r="Z87" s="35">
        <f t="shared" si="9"/>
        <v>3.010536398</v>
      </c>
      <c r="AA87" s="24">
        <f t="shared" si="10"/>
        <v>83</v>
      </c>
      <c r="AB87" s="24">
        <f t="shared" si="11"/>
        <v>72</v>
      </c>
      <c r="AC87" s="35">
        <f t="shared" si="12"/>
        <v>1.635536398</v>
      </c>
      <c r="AD87" s="24">
        <f t="shared" si="13"/>
        <v>40</v>
      </c>
      <c r="AE87" s="27"/>
      <c r="AF87" s="13" t="s">
        <v>166</v>
      </c>
      <c r="AG87" s="16">
        <f t="shared" ref="AG87:AG88" si="65">AH87*0.45359237</f>
        <v>52.16312255</v>
      </c>
      <c r="AH87" s="108">
        <f>average(100,130)</f>
        <v>115</v>
      </c>
      <c r="AI87" s="16">
        <f t="shared" si="63"/>
        <v>64.77</v>
      </c>
      <c r="AJ87" s="108">
        <f>average(24,27)</f>
        <v>25.5</v>
      </c>
      <c r="AK87" s="27"/>
      <c r="AL87" s="50"/>
      <c r="AM87" s="50"/>
      <c r="AN87" s="50"/>
      <c r="AO87" s="13" t="s">
        <v>400</v>
      </c>
      <c r="AP87" s="13" t="s">
        <v>401</v>
      </c>
      <c r="AQ87" s="13" t="s">
        <v>402</v>
      </c>
      <c r="AR87" s="13">
        <v>103.0</v>
      </c>
      <c r="AS87" s="13" t="s">
        <v>470</v>
      </c>
      <c r="AT87" s="13" t="s">
        <v>471</v>
      </c>
      <c r="AU87" s="50"/>
      <c r="AV87" s="50"/>
      <c r="AW87" s="50"/>
      <c r="AX87" s="42">
        <f t="shared" si="14"/>
        <v>11403.03878</v>
      </c>
      <c r="AY87" s="156">
        <f t="shared" si="15"/>
        <v>0.9655172414</v>
      </c>
      <c r="AZ87" s="42">
        <f>average(600,750,850,1200,600,1000,1200,1000,1000,1600)</f>
        <v>980</v>
      </c>
      <c r="BA87" s="13" t="s">
        <v>160</v>
      </c>
      <c r="BB87" s="13">
        <v>600.0</v>
      </c>
      <c r="BC87" s="13">
        <v>1600.0</v>
      </c>
      <c r="BD87" s="24">
        <f t="shared" si="57"/>
        <v>5.75</v>
      </c>
      <c r="BE87" s="13">
        <v>4.0</v>
      </c>
      <c r="BF87" s="13">
        <v>7.5</v>
      </c>
      <c r="BG87" s="35">
        <f>IFERROR(__xludf.DUMMYFUNCTION("BD87*GoogleFinance(""CURRENCY:GBPUSD"")"),7.16332125)</f>
        <v>7.16332125</v>
      </c>
      <c r="BH87" s="157">
        <f t="shared" si="17"/>
        <v>373.7641945</v>
      </c>
      <c r="BI87" s="42">
        <f t="shared" si="18"/>
        <v>2829.394953</v>
      </c>
      <c r="BJ87" s="158"/>
      <c r="BK87" s="42">
        <f t="shared" si="19"/>
        <v>7393.64383</v>
      </c>
      <c r="BL87" s="42">
        <f>IFERROR(__xludf.DUMMYFUNCTION("BM87*GoogleFinance(""CURRENCY:GBPUSD"")"),976.70328)</f>
        <v>976.70328</v>
      </c>
      <c r="BM87" s="24">
        <f t="shared" si="20"/>
        <v>784</v>
      </c>
      <c r="BN87" s="13">
        <v>121.0</v>
      </c>
      <c r="BO87" s="13">
        <v>126.0</v>
      </c>
      <c r="BP87" s="13">
        <v>244.0</v>
      </c>
      <c r="BQ87" s="13">
        <v>177.0</v>
      </c>
      <c r="BR87" s="13">
        <v>116.0</v>
      </c>
      <c r="BS87" s="13">
        <v>200.0</v>
      </c>
      <c r="BT87" s="50"/>
      <c r="BU87" s="53"/>
      <c r="BV87" s="53"/>
      <c r="BW87" s="50"/>
      <c r="BX87" s="50"/>
      <c r="BY87" s="50"/>
      <c r="BZ87" s="50"/>
      <c r="CA87" s="50"/>
    </row>
    <row r="88">
      <c r="A88" s="47" t="s">
        <v>51</v>
      </c>
      <c r="B88" s="181"/>
      <c r="C88" s="47" t="s">
        <v>38</v>
      </c>
      <c r="D88" s="27"/>
      <c r="E88" s="150">
        <v>1.57</v>
      </c>
      <c r="F88" s="47">
        <v>28.0</v>
      </c>
      <c r="G88" s="24">
        <f t="shared" si="3"/>
        <v>28</v>
      </c>
      <c r="H88" s="26">
        <v>13581.0</v>
      </c>
      <c r="I88" s="151">
        <v>0.99</v>
      </c>
      <c r="J88" s="27"/>
      <c r="K88" s="47">
        <v>72.0</v>
      </c>
      <c r="L88" s="152">
        <f t="shared" si="4"/>
        <v>0.1034482759</v>
      </c>
      <c r="M88" s="180">
        <v>6.5</v>
      </c>
      <c r="N88" s="153">
        <f t="shared" si="5"/>
        <v>0.02298850575</v>
      </c>
      <c r="O88" s="47">
        <v>2.0</v>
      </c>
      <c r="P88" s="152">
        <f t="shared" si="6"/>
        <v>0.7777777778</v>
      </c>
      <c r="Q88" s="26">
        <v>900.0</v>
      </c>
      <c r="R88" s="153">
        <f t="shared" si="7"/>
        <v>0.3793103448</v>
      </c>
      <c r="S88" s="26">
        <v>701.30212425</v>
      </c>
      <c r="T88" s="153">
        <f t="shared" si="8"/>
        <v>0.1954022989</v>
      </c>
      <c r="U88" s="47">
        <v>2.0</v>
      </c>
      <c r="V88" s="154">
        <v>0.75</v>
      </c>
      <c r="W88" s="47">
        <v>1.0</v>
      </c>
      <c r="X88" s="169">
        <v>1.0</v>
      </c>
      <c r="Y88" s="27"/>
      <c r="Z88" s="35">
        <f t="shared" si="9"/>
        <v>2.941570881</v>
      </c>
      <c r="AA88" s="24">
        <f t="shared" si="10"/>
        <v>84</v>
      </c>
      <c r="AB88" s="24">
        <f t="shared" si="11"/>
        <v>73</v>
      </c>
      <c r="AC88" s="35">
        <f t="shared" si="12"/>
        <v>1.566570881</v>
      </c>
      <c r="AD88" s="24">
        <f t="shared" si="13"/>
        <v>28</v>
      </c>
      <c r="AE88" s="27"/>
      <c r="AF88" s="47" t="s">
        <v>166</v>
      </c>
      <c r="AG88" s="172">
        <f t="shared" si="65"/>
        <v>79.37866475</v>
      </c>
      <c r="AH88" s="174">
        <f>SUM(120+230)/2</f>
        <v>175</v>
      </c>
      <c r="AI88" s="172">
        <f t="shared" si="63"/>
        <v>76.2</v>
      </c>
      <c r="AJ88" s="173">
        <v>30.0</v>
      </c>
      <c r="AK88" s="27"/>
      <c r="AL88" s="47" t="s">
        <v>672</v>
      </c>
      <c r="AM88" s="129"/>
      <c r="AN88" s="129"/>
      <c r="AO88" s="47" t="s">
        <v>157</v>
      </c>
      <c r="AP88" s="47" t="s">
        <v>158</v>
      </c>
      <c r="AQ88" s="47" t="s">
        <v>159</v>
      </c>
      <c r="AR88" s="47">
        <v>94.0</v>
      </c>
      <c r="AS88" s="47" t="s">
        <v>669</v>
      </c>
      <c r="AT88" s="47" t="s">
        <v>670</v>
      </c>
      <c r="AU88" s="228"/>
      <c r="AV88" s="129"/>
      <c r="AW88" s="129"/>
      <c r="AX88" s="157">
        <f t="shared" si="14"/>
        <v>10255.36197</v>
      </c>
      <c r="AY88" s="156">
        <f t="shared" si="15"/>
        <v>1</v>
      </c>
      <c r="AZ88" s="157">
        <f>average(1000,1000,1000,1000,1200,500,1200,850,1100,150)</f>
        <v>900</v>
      </c>
      <c r="BA88" s="47" t="s">
        <v>160</v>
      </c>
      <c r="BB88" s="47">
        <v>150.0</v>
      </c>
      <c r="BC88" s="47">
        <v>1200.0</v>
      </c>
      <c r="BD88" s="176" t="s">
        <v>182</v>
      </c>
      <c r="BE88" s="176" t="s">
        <v>182</v>
      </c>
      <c r="BF88" s="176" t="s">
        <v>182</v>
      </c>
      <c r="BG88" s="157">
        <f>IFERROR(__xludf.DUMMYFUNCTION("SUM(13*GoogleFinance(""CURRENCY:AUDUSD""))"),8.275865)</f>
        <v>8.275865</v>
      </c>
      <c r="BH88" s="157">
        <f t="shared" si="17"/>
        <v>431.813946</v>
      </c>
      <c r="BI88" s="157">
        <f t="shared" si="18"/>
        <v>2806.790649</v>
      </c>
      <c r="BJ88" s="158"/>
      <c r="BK88" s="157">
        <f t="shared" si="19"/>
        <v>6348.57132</v>
      </c>
      <c r="BL88" s="157">
        <f>IFERROR(__xludf.DUMMYFUNCTION("BM88*GoogleFinance(""CURRENCY:GBPUSD"")"),976.70328)</f>
        <v>976.70328</v>
      </c>
      <c r="BM88" s="177">
        <f t="shared" si="20"/>
        <v>784</v>
      </c>
      <c r="BN88" s="47">
        <v>121.0</v>
      </c>
      <c r="BO88" s="47">
        <v>126.0</v>
      </c>
      <c r="BP88" s="47">
        <v>244.0</v>
      </c>
      <c r="BQ88" s="47">
        <v>177.0</v>
      </c>
      <c r="BR88" s="47">
        <v>116.0</v>
      </c>
      <c r="BS88" s="47">
        <v>200.0</v>
      </c>
      <c r="BT88" s="129"/>
      <c r="BU88" s="178" t="s">
        <v>748</v>
      </c>
      <c r="BV88" s="178" t="s">
        <v>750</v>
      </c>
      <c r="BW88" s="129"/>
      <c r="BX88" s="129"/>
      <c r="BY88" s="129"/>
      <c r="BZ88" s="129"/>
      <c r="CA88" s="129"/>
    </row>
    <row r="89">
      <c r="A89" s="13" t="s">
        <v>56</v>
      </c>
      <c r="B89" s="181"/>
      <c r="C89" s="13" t="s">
        <v>38</v>
      </c>
      <c r="D89" s="27"/>
      <c r="E89" s="150">
        <v>1.53</v>
      </c>
      <c r="F89" s="13">
        <v>19.0</v>
      </c>
      <c r="G89" s="24">
        <f t="shared" si="3"/>
        <v>19</v>
      </c>
      <c r="H89" s="26">
        <v>14662.0</v>
      </c>
      <c r="I89" s="151">
        <v>0.95</v>
      </c>
      <c r="J89" s="27"/>
      <c r="K89" s="13">
        <v>48.0</v>
      </c>
      <c r="L89" s="152">
        <f t="shared" si="4"/>
        <v>0.3908045977</v>
      </c>
      <c r="M89" s="67">
        <v>6.96</v>
      </c>
      <c r="N89" s="153">
        <f t="shared" si="5"/>
        <v>0.05747126437</v>
      </c>
      <c r="O89" s="13">
        <v>4.0</v>
      </c>
      <c r="P89" s="152">
        <f t="shared" si="6"/>
        <v>0.5555555556</v>
      </c>
      <c r="Q89" s="26">
        <v>1040.0</v>
      </c>
      <c r="R89" s="153">
        <f t="shared" si="7"/>
        <v>0.2528735632</v>
      </c>
      <c r="S89" s="26">
        <v>709.7118328125</v>
      </c>
      <c r="T89" s="153">
        <f t="shared" si="8"/>
        <v>0.05747126437</v>
      </c>
      <c r="U89" s="13">
        <v>2.0</v>
      </c>
      <c r="V89" s="154">
        <v>0.75</v>
      </c>
      <c r="W89" s="13">
        <v>1.0</v>
      </c>
      <c r="X89" s="153">
        <f t="shared" ref="X89:X90" si="66">100%</f>
        <v>1</v>
      </c>
      <c r="Y89" s="27"/>
      <c r="Z89" s="35">
        <f t="shared" si="9"/>
        <v>2.909003831</v>
      </c>
      <c r="AA89" s="24">
        <f t="shared" si="10"/>
        <v>85</v>
      </c>
      <c r="AB89" s="24">
        <f t="shared" si="11"/>
        <v>75</v>
      </c>
      <c r="AC89" s="35">
        <f t="shared" si="12"/>
        <v>1.534003831</v>
      </c>
      <c r="AD89" s="24">
        <f t="shared" si="13"/>
        <v>19</v>
      </c>
      <c r="AE89" s="27"/>
      <c r="AF89" s="13" t="s">
        <v>166</v>
      </c>
      <c r="AG89" s="107" t="s">
        <v>150</v>
      </c>
      <c r="AH89" s="107" t="s">
        <v>150</v>
      </c>
      <c r="AI89" s="16">
        <f t="shared" si="63"/>
        <v>76.2</v>
      </c>
      <c r="AJ89" s="108">
        <f>average(30)</f>
        <v>30</v>
      </c>
      <c r="AK89" s="27"/>
      <c r="AL89" s="13" t="s">
        <v>622</v>
      </c>
      <c r="AM89" s="50"/>
      <c r="AN89" s="50"/>
      <c r="AO89" s="13" t="s">
        <v>184</v>
      </c>
      <c r="AP89" s="159" t="s">
        <v>185</v>
      </c>
      <c r="AQ89" s="13" t="s">
        <v>187</v>
      </c>
      <c r="AR89" s="13">
        <v>667.0</v>
      </c>
      <c r="AS89" s="13" t="s">
        <v>619</v>
      </c>
      <c r="AT89" s="13" t="s">
        <v>620</v>
      </c>
      <c r="AU89" s="64"/>
      <c r="AV89" s="50"/>
      <c r="AW89" s="50"/>
      <c r="AX89" s="42">
        <f t="shared" si="14"/>
        <v>11996.50517</v>
      </c>
      <c r="AY89" s="156">
        <f t="shared" si="15"/>
        <v>0.9540229885</v>
      </c>
      <c r="AZ89" s="42">
        <f>average(500,2500,1000,1250,800,1250,650,950,700,800)</f>
        <v>1040</v>
      </c>
      <c r="BA89" s="13" t="s">
        <v>160</v>
      </c>
      <c r="BB89" s="13">
        <v>500.0</v>
      </c>
      <c r="BC89" s="13">
        <v>2500.0</v>
      </c>
      <c r="BD89" s="24">
        <f t="shared" ref="BD89:BD91" si="67">average(BE89,BF89)</f>
        <v>8.75</v>
      </c>
      <c r="BE89" s="13">
        <v>7.5</v>
      </c>
      <c r="BF89" s="13">
        <v>10.0</v>
      </c>
      <c r="BG89" s="35">
        <f>IFERROR(__xludf.DUMMYFUNCTION("BD89*GoogleFinance(""CURRENCY:GBPUSD"")"),10.90070625)</f>
        <v>10.90070625</v>
      </c>
      <c r="BH89" s="157">
        <f t="shared" si="17"/>
        <v>568.7716004</v>
      </c>
      <c r="BI89" s="42">
        <f t="shared" si="18"/>
        <v>3958.650339</v>
      </c>
      <c r="BJ89" s="158"/>
      <c r="BK89" s="42">
        <f t="shared" si="19"/>
        <v>6797.854829</v>
      </c>
      <c r="BL89" s="42">
        <f>IFERROR(__xludf.DUMMYFUNCTION("BM89*GoogleFinance(""CURRENCY:GBPUSD"")"),976.70328)</f>
        <v>976.70328</v>
      </c>
      <c r="BM89" s="24">
        <f t="shared" si="20"/>
        <v>784</v>
      </c>
      <c r="BN89" s="13">
        <v>121.0</v>
      </c>
      <c r="BO89" s="13">
        <v>126.0</v>
      </c>
      <c r="BP89" s="13">
        <v>244.0</v>
      </c>
      <c r="BQ89" s="13">
        <v>177.0</v>
      </c>
      <c r="BR89" s="13">
        <v>116.0</v>
      </c>
      <c r="BS89" s="13">
        <v>200.0</v>
      </c>
      <c r="BT89" s="50"/>
      <c r="BU89" s="53"/>
      <c r="BV89" s="53"/>
      <c r="BW89" s="50"/>
      <c r="BX89" s="50"/>
      <c r="BY89" s="50"/>
      <c r="BZ89" s="50"/>
      <c r="CA89" s="50"/>
    </row>
    <row r="90">
      <c r="A90" s="13" t="s">
        <v>732</v>
      </c>
      <c r="B90" s="181"/>
      <c r="C90" s="13" t="s">
        <v>38</v>
      </c>
      <c r="D90" s="27"/>
      <c r="E90" s="150">
        <v>1.42</v>
      </c>
      <c r="F90" s="13">
        <v>49.0</v>
      </c>
      <c r="G90" s="24">
        <f t="shared" si="3"/>
        <v>43</v>
      </c>
      <c r="H90" s="26">
        <v>20022.0</v>
      </c>
      <c r="I90" s="151">
        <v>0.52</v>
      </c>
      <c r="J90" s="27"/>
      <c r="K90" s="13">
        <v>65.0</v>
      </c>
      <c r="L90" s="152">
        <f t="shared" si="4"/>
        <v>0.183908046</v>
      </c>
      <c r="M90" s="67">
        <v>7.78</v>
      </c>
      <c r="N90" s="153">
        <f t="shared" si="5"/>
        <v>0.09195402299</v>
      </c>
      <c r="O90" s="13">
        <v>3.0</v>
      </c>
      <c r="P90" s="152">
        <f t="shared" si="6"/>
        <v>0.6666666667</v>
      </c>
      <c r="Q90" s="26">
        <v>875.0</v>
      </c>
      <c r="R90" s="153">
        <f t="shared" si="7"/>
        <v>0.4252873563</v>
      </c>
      <c r="S90" s="26">
        <v>1216.64885625</v>
      </c>
      <c r="T90" s="153">
        <f t="shared" si="8"/>
        <v>0.02298850575</v>
      </c>
      <c r="U90" s="13">
        <v>1.0</v>
      </c>
      <c r="V90" s="154">
        <v>0.5</v>
      </c>
      <c r="W90" s="13">
        <v>1.0</v>
      </c>
      <c r="X90" s="153">
        <f t="shared" si="66"/>
        <v>1</v>
      </c>
      <c r="Y90" s="27"/>
      <c r="Z90" s="35">
        <f t="shared" si="9"/>
        <v>2.666666667</v>
      </c>
      <c r="AA90" s="24">
        <f t="shared" si="10"/>
        <v>86</v>
      </c>
      <c r="AB90" s="24">
        <f t="shared" si="11"/>
        <v>81</v>
      </c>
      <c r="AC90" s="35">
        <f t="shared" si="12"/>
        <v>1.416666667</v>
      </c>
      <c r="AD90" s="24">
        <f t="shared" si="13"/>
        <v>49</v>
      </c>
      <c r="AE90" s="27"/>
      <c r="AF90" s="13" t="s">
        <v>166</v>
      </c>
      <c r="AG90" s="16">
        <f t="shared" ref="AG90:AG91" si="68">AH90*0.45359237</f>
        <v>70.30681735</v>
      </c>
      <c r="AH90" s="108">
        <f>average(130,180)</f>
        <v>155</v>
      </c>
      <c r="AI90" s="16">
        <f t="shared" si="63"/>
        <v>67.31</v>
      </c>
      <c r="AJ90" s="108">
        <f>average(25.5,27.5)</f>
        <v>26.5</v>
      </c>
      <c r="AK90" s="27"/>
      <c r="AL90" s="50"/>
      <c r="AM90" s="50"/>
      <c r="AN90" s="50"/>
      <c r="AO90" s="13" t="s">
        <v>400</v>
      </c>
      <c r="AP90" s="13" t="s">
        <v>401</v>
      </c>
      <c r="AQ90" s="13" t="s">
        <v>402</v>
      </c>
      <c r="AR90" s="13">
        <v>93.0</v>
      </c>
      <c r="AS90" s="13" t="s">
        <v>733</v>
      </c>
      <c r="AT90" s="13" t="s">
        <v>734</v>
      </c>
      <c r="AU90" s="64"/>
      <c r="AV90" s="50"/>
      <c r="AW90" s="50"/>
      <c r="AX90" s="42">
        <f t="shared" si="14"/>
        <v>16259.53961</v>
      </c>
      <c r="AY90" s="156">
        <f t="shared" si="15"/>
        <v>0.4827586207</v>
      </c>
      <c r="AZ90" s="42">
        <f>average(1500,850,450,450,1200,1200,500,900,500,1200)</f>
        <v>875</v>
      </c>
      <c r="BA90" s="13" t="s">
        <v>160</v>
      </c>
      <c r="BB90" s="13">
        <v>450.0</v>
      </c>
      <c r="BC90" s="13">
        <v>1500.0</v>
      </c>
      <c r="BD90" s="24">
        <f t="shared" si="67"/>
        <v>15</v>
      </c>
      <c r="BE90" s="13">
        <v>15.0</v>
      </c>
      <c r="BF90" s="13">
        <v>15.0</v>
      </c>
      <c r="BG90" s="35">
        <f>IFERROR(__xludf.DUMMYFUNCTION("BD90*GoogleFinance(""CURRENCY:GBPUSD"")"),18.686925)</f>
        <v>18.686925</v>
      </c>
      <c r="BH90" s="157">
        <f t="shared" si="17"/>
        <v>975.0370292</v>
      </c>
      <c r="BI90" s="42">
        <f t="shared" si="18"/>
        <v>7585.788087</v>
      </c>
      <c r="BJ90" s="158"/>
      <c r="BK90" s="42">
        <f t="shared" si="19"/>
        <v>7598.751518</v>
      </c>
      <c r="BL90" s="42">
        <f>IFERROR(__xludf.DUMMYFUNCTION("BM90*GoogleFinance(""CURRENCY:GBPUSD"")"),976.70328)</f>
        <v>976.70328</v>
      </c>
      <c r="BM90" s="24">
        <f t="shared" si="20"/>
        <v>784</v>
      </c>
      <c r="BN90" s="13">
        <v>121.0</v>
      </c>
      <c r="BO90" s="13">
        <v>126.0</v>
      </c>
      <c r="BP90" s="13">
        <v>244.0</v>
      </c>
      <c r="BQ90" s="13">
        <v>177.0</v>
      </c>
      <c r="BR90" s="13">
        <v>116.0</v>
      </c>
      <c r="BS90" s="13">
        <v>200.0</v>
      </c>
      <c r="BT90" s="50"/>
      <c r="BU90" s="53"/>
      <c r="BV90" s="53"/>
      <c r="BW90" s="50"/>
      <c r="BX90" s="50"/>
      <c r="BY90" s="50"/>
      <c r="BZ90" s="50"/>
      <c r="CA90" s="50"/>
    </row>
    <row r="91">
      <c r="A91" s="13" t="s">
        <v>50</v>
      </c>
      <c r="B91" s="27"/>
      <c r="C91" s="13" t="s">
        <v>34</v>
      </c>
      <c r="D91" s="27"/>
      <c r="E91" s="150">
        <v>0.99</v>
      </c>
      <c r="F91" s="13">
        <v>6.0</v>
      </c>
      <c r="G91" s="24">
        <f t="shared" si="3"/>
        <v>6</v>
      </c>
      <c r="H91" s="26">
        <v>13479.0</v>
      </c>
      <c r="I91" s="151">
        <v>1.0</v>
      </c>
      <c r="J91" s="27"/>
      <c r="K91" s="13">
        <v>78.0</v>
      </c>
      <c r="L91" s="152">
        <f t="shared" si="4"/>
        <v>0.03448275862</v>
      </c>
      <c r="M91" s="67">
        <v>6.29</v>
      </c>
      <c r="N91" s="153">
        <f t="shared" si="5"/>
        <v>0.01149425287</v>
      </c>
      <c r="O91" s="13">
        <v>5.0</v>
      </c>
      <c r="P91" s="152">
        <f t="shared" si="6"/>
        <v>0.4444444444</v>
      </c>
      <c r="Q91" s="26">
        <v>2680.0</v>
      </c>
      <c r="R91" s="153">
        <f t="shared" si="7"/>
        <v>0.01149425287</v>
      </c>
      <c r="S91" s="26">
        <v>466.3820615625</v>
      </c>
      <c r="T91" s="153">
        <f t="shared" si="8"/>
        <v>0.2298850575</v>
      </c>
      <c r="U91" s="13">
        <v>2.0</v>
      </c>
      <c r="V91" s="154">
        <v>0.75</v>
      </c>
      <c r="W91" s="13">
        <v>2.0</v>
      </c>
      <c r="X91" s="151">
        <v>0.5</v>
      </c>
      <c r="Y91" s="27"/>
      <c r="Z91" s="35">
        <f t="shared" si="9"/>
        <v>1.861111111</v>
      </c>
      <c r="AA91" s="24">
        <f t="shared" si="10"/>
        <v>87</v>
      </c>
      <c r="AB91" s="24">
        <f t="shared" si="11"/>
        <v>87</v>
      </c>
      <c r="AC91" s="35">
        <f t="shared" si="12"/>
        <v>0.9861111111</v>
      </c>
      <c r="AD91" s="24">
        <f t="shared" si="13"/>
        <v>6</v>
      </c>
      <c r="AE91" s="27"/>
      <c r="AF91" s="13" t="s">
        <v>148</v>
      </c>
      <c r="AG91" s="16">
        <f t="shared" si="68"/>
        <v>20.41165665</v>
      </c>
      <c r="AH91" s="108">
        <f>average(40,50)</f>
        <v>45</v>
      </c>
      <c r="AI91" s="107" t="s">
        <v>150</v>
      </c>
      <c r="AJ91" s="107" t="s">
        <v>150</v>
      </c>
      <c r="AK91" s="27"/>
      <c r="AL91" s="13" t="s">
        <v>469</v>
      </c>
      <c r="AM91" s="50"/>
      <c r="AN91" s="50"/>
      <c r="AO91" s="13" t="s">
        <v>157</v>
      </c>
      <c r="AP91" s="13" t="s">
        <v>158</v>
      </c>
      <c r="AQ91" s="13" t="s">
        <v>159</v>
      </c>
      <c r="AR91" s="13">
        <v>197.0</v>
      </c>
      <c r="AS91" s="13" t="s">
        <v>463</v>
      </c>
      <c r="AT91" s="13" t="s">
        <v>464</v>
      </c>
      <c r="AU91" s="50"/>
      <c r="AV91" s="50"/>
      <c r="AW91" s="50"/>
      <c r="AX91" s="42">
        <f t="shared" si="14"/>
        <v>11374.44041</v>
      </c>
      <c r="AY91" s="156">
        <f t="shared" si="15"/>
        <v>0.9770114943</v>
      </c>
      <c r="AZ91" s="42">
        <f>average(1800,2500,1900,5500,2000,2500,1800,5500,1800,1500)</f>
        <v>2680</v>
      </c>
      <c r="BA91" s="13" t="s">
        <v>372</v>
      </c>
      <c r="BB91" s="13">
        <v>1500.0</v>
      </c>
      <c r="BC91" s="13">
        <v>5500.0</v>
      </c>
      <c r="BD91" s="24">
        <f t="shared" si="67"/>
        <v>5.75</v>
      </c>
      <c r="BE91" s="13">
        <v>4.0</v>
      </c>
      <c r="BF91" s="13">
        <v>7.5</v>
      </c>
      <c r="BG91" s="35">
        <f>IFERROR(__xludf.DUMMYFUNCTION("BD91*GoogleFinance(""CURRENCY:GBPUSD"")"),7.16332125)</f>
        <v>7.16332125</v>
      </c>
      <c r="BH91" s="157">
        <f t="shared" si="17"/>
        <v>373.7641945</v>
      </c>
      <c r="BI91" s="42">
        <f t="shared" si="18"/>
        <v>2350.976784</v>
      </c>
      <c r="BJ91" s="158"/>
      <c r="BK91" s="42">
        <f t="shared" si="19"/>
        <v>6143.463631</v>
      </c>
      <c r="BL91" s="42">
        <f>IFERROR(__xludf.DUMMYFUNCTION("BM91*GoogleFinance(""CURRENCY:GBPUSD"")"),976.70328)</f>
        <v>976.70328</v>
      </c>
      <c r="BM91" s="24">
        <f t="shared" si="20"/>
        <v>784</v>
      </c>
      <c r="BN91" s="13">
        <v>121.0</v>
      </c>
      <c r="BO91" s="13">
        <v>126.0</v>
      </c>
      <c r="BP91" s="13">
        <v>244.0</v>
      </c>
      <c r="BQ91" s="13">
        <v>177.0</v>
      </c>
      <c r="BR91" s="13">
        <v>116.0</v>
      </c>
      <c r="BS91" s="13">
        <v>200.0</v>
      </c>
      <c r="BT91" s="50"/>
      <c r="BU91" s="53"/>
      <c r="BV91" s="53"/>
      <c r="BW91" s="50"/>
      <c r="BX91" s="50"/>
      <c r="BY91" s="50"/>
      <c r="BZ91" s="50"/>
      <c r="CA91" s="50"/>
    </row>
    <row r="92">
      <c r="A92" s="13" t="s">
        <v>173</v>
      </c>
      <c r="B92" s="27"/>
      <c r="C92" s="13" t="s">
        <v>23</v>
      </c>
      <c r="D92" s="27"/>
      <c r="E92" s="17"/>
      <c r="F92" s="13">
        <v>55.0</v>
      </c>
      <c r="G92" s="50"/>
      <c r="H92" s="26" t="s">
        <v>150</v>
      </c>
      <c r="I92" s="18"/>
      <c r="J92" s="27"/>
      <c r="K92" s="13">
        <v>29.0</v>
      </c>
      <c r="L92" s="236"/>
      <c r="M92" s="67">
        <v>11.45</v>
      </c>
      <c r="N92" s="18"/>
      <c r="O92" s="13">
        <v>1.0</v>
      </c>
      <c r="P92" s="236"/>
      <c r="Q92" s="26">
        <v>732.5</v>
      </c>
      <c r="R92" s="18"/>
      <c r="S92" s="48"/>
      <c r="T92" s="18"/>
      <c r="U92" s="13" t="s">
        <v>182</v>
      </c>
      <c r="V92" s="18"/>
      <c r="W92" s="13" t="s">
        <v>182</v>
      </c>
      <c r="X92" s="18"/>
      <c r="Y92" s="27"/>
      <c r="Z92" s="35"/>
      <c r="AA92" s="50"/>
      <c r="AB92" s="50"/>
      <c r="AC92" s="50"/>
      <c r="AD92" s="50"/>
      <c r="AE92" s="27"/>
      <c r="AF92" s="13" t="s">
        <v>148</v>
      </c>
      <c r="AG92" s="107" t="s">
        <v>150</v>
      </c>
      <c r="AH92" s="107" t="s">
        <v>150</v>
      </c>
      <c r="AI92" s="16">
        <f t="shared" ref="AI92:AI137" si="69">AJ92*2.54</f>
        <v>58.42</v>
      </c>
      <c r="AJ92" s="107">
        <v>23.0</v>
      </c>
      <c r="AK92" s="27"/>
      <c r="AL92" s="50"/>
      <c r="AM92" s="50"/>
      <c r="AN92" s="50"/>
      <c r="AO92" s="13" t="s">
        <v>142</v>
      </c>
      <c r="AP92" s="13" t="s">
        <v>143</v>
      </c>
      <c r="AQ92" s="13" t="s">
        <v>144</v>
      </c>
      <c r="AR92" s="13">
        <v>307.0</v>
      </c>
      <c r="AS92" s="13" t="s">
        <v>174</v>
      </c>
      <c r="AT92" s="13" t="s">
        <v>175</v>
      </c>
      <c r="AU92" s="50"/>
      <c r="AV92" s="50"/>
      <c r="AW92" s="50"/>
      <c r="AX92" s="62" t="s">
        <v>150</v>
      </c>
      <c r="AY92" s="50"/>
      <c r="AZ92" s="42">
        <f>average(550,800,750,1200,650,500,500,475,700,1200)</f>
        <v>732.5</v>
      </c>
      <c r="BA92" s="13" t="s">
        <v>160</v>
      </c>
      <c r="BB92" s="13">
        <v>475.0</v>
      </c>
      <c r="BC92" s="13">
        <v>1200.0</v>
      </c>
      <c r="BD92" s="62" t="s">
        <v>150</v>
      </c>
      <c r="BE92" s="62" t="s">
        <v>150</v>
      </c>
      <c r="BF92" s="62" t="s">
        <v>150</v>
      </c>
      <c r="BG92" s="62" t="s">
        <v>150</v>
      </c>
      <c r="BH92" s="42"/>
      <c r="BI92" s="62" t="s">
        <v>150</v>
      </c>
      <c r="BJ92" s="158"/>
      <c r="BK92" s="42">
        <f t="shared" si="19"/>
        <v>11183.25256</v>
      </c>
      <c r="BL92" s="42">
        <f>IFERROR(__xludf.DUMMYFUNCTION("BM92*GoogleFinance(""CURRENCY:GBPUSD"")"),976.70328)</f>
        <v>976.70328</v>
      </c>
      <c r="BM92" s="24">
        <f t="shared" si="20"/>
        <v>784</v>
      </c>
      <c r="BN92" s="13">
        <v>121.0</v>
      </c>
      <c r="BO92" s="13">
        <v>126.0</v>
      </c>
      <c r="BP92" s="13">
        <v>244.0</v>
      </c>
      <c r="BQ92" s="13">
        <v>177.0</v>
      </c>
      <c r="BR92" s="13">
        <v>116.0</v>
      </c>
      <c r="BS92" s="13">
        <v>200.0</v>
      </c>
      <c r="BT92" s="50"/>
      <c r="BU92" s="53"/>
      <c r="BV92" s="53"/>
      <c r="BW92" s="50"/>
      <c r="BX92" s="50"/>
      <c r="BY92" s="50"/>
      <c r="BZ92" s="50"/>
      <c r="CA92" s="50"/>
    </row>
    <row r="93">
      <c r="A93" s="13" t="s">
        <v>225</v>
      </c>
      <c r="B93" s="27"/>
      <c r="C93" s="13" t="s">
        <v>53</v>
      </c>
      <c r="D93" s="27"/>
      <c r="E93" s="17"/>
      <c r="F93" s="13">
        <v>33.0</v>
      </c>
      <c r="G93" s="50"/>
      <c r="H93" s="26" t="s">
        <v>150</v>
      </c>
      <c r="I93" s="18"/>
      <c r="J93" s="27"/>
      <c r="K93" s="13" t="s">
        <v>150</v>
      </c>
      <c r="L93" s="236"/>
      <c r="M93" s="13">
        <v>11.5</v>
      </c>
      <c r="N93" s="18"/>
      <c r="O93" s="13" t="s">
        <v>150</v>
      </c>
      <c r="P93" s="236"/>
      <c r="Q93" s="26">
        <v>283.333333333333</v>
      </c>
      <c r="R93" s="18"/>
      <c r="S93" s="48"/>
      <c r="T93" s="18"/>
      <c r="U93" s="13" t="s">
        <v>182</v>
      </c>
      <c r="V93" s="18"/>
      <c r="W93" s="13" t="s">
        <v>182</v>
      </c>
      <c r="X93" s="18"/>
      <c r="Y93" s="27"/>
      <c r="Z93" s="35"/>
      <c r="AA93" s="50"/>
      <c r="AB93" s="50"/>
      <c r="AC93" s="50"/>
      <c r="AD93" s="50"/>
      <c r="AE93" s="27"/>
      <c r="AF93" s="13" t="s">
        <v>166</v>
      </c>
      <c r="AG93" s="107" t="s">
        <v>150</v>
      </c>
      <c r="AH93" s="107" t="s">
        <v>150</v>
      </c>
      <c r="AI93" s="16">
        <f t="shared" si="69"/>
        <v>62.23</v>
      </c>
      <c r="AJ93" s="108">
        <f>average(23,26)</f>
        <v>24.5</v>
      </c>
      <c r="AK93" s="27"/>
      <c r="AL93" s="13" t="s">
        <v>226</v>
      </c>
      <c r="AM93" s="50"/>
      <c r="AN93" s="50"/>
      <c r="AO93" s="13" t="s">
        <v>150</v>
      </c>
      <c r="AP93" s="13" t="s">
        <v>150</v>
      </c>
      <c r="AQ93" s="13" t="s">
        <v>150</v>
      </c>
      <c r="AR93" s="13" t="s">
        <v>182</v>
      </c>
      <c r="AS93" s="13" t="s">
        <v>150</v>
      </c>
      <c r="AT93" s="13" t="s">
        <v>150</v>
      </c>
      <c r="AU93" s="50"/>
      <c r="AV93" s="50"/>
      <c r="AW93" s="50"/>
      <c r="AX93" s="62" t="s">
        <v>150</v>
      </c>
      <c r="AY93" s="50"/>
      <c r="AZ93" s="42">
        <f>average(300,100,350,300,350,300)</f>
        <v>283.3333333</v>
      </c>
      <c r="BA93" s="13" t="s">
        <v>146</v>
      </c>
      <c r="BB93" s="13">
        <v>100.0</v>
      </c>
      <c r="BC93" s="13">
        <v>350.0</v>
      </c>
      <c r="BD93" s="62" t="s">
        <v>150</v>
      </c>
      <c r="BE93" s="62" t="s">
        <v>150</v>
      </c>
      <c r="BF93" s="62" t="s">
        <v>150</v>
      </c>
      <c r="BG93" s="62" t="s">
        <v>150</v>
      </c>
      <c r="BH93" s="42"/>
      <c r="BI93" s="62" t="s">
        <v>150</v>
      </c>
      <c r="BJ93" s="158"/>
      <c r="BK93" s="62" t="s">
        <v>150</v>
      </c>
      <c r="BL93" s="42">
        <f>IFERROR(__xludf.DUMMYFUNCTION("BM93*GoogleFinance(""CURRENCY:GBPUSD"")"),976.70328)</f>
        <v>976.70328</v>
      </c>
      <c r="BM93" s="24">
        <f t="shared" si="20"/>
        <v>784</v>
      </c>
      <c r="BN93" s="13">
        <v>121.0</v>
      </c>
      <c r="BO93" s="13">
        <v>126.0</v>
      </c>
      <c r="BP93" s="13">
        <v>244.0</v>
      </c>
      <c r="BQ93" s="13">
        <v>177.0</v>
      </c>
      <c r="BR93" s="13">
        <v>116.0</v>
      </c>
      <c r="BS93" s="13">
        <v>200.0</v>
      </c>
      <c r="BT93" s="50"/>
      <c r="BU93" s="53"/>
      <c r="BV93" s="53"/>
      <c r="BW93" s="50"/>
      <c r="BX93" s="50"/>
      <c r="BY93" s="50"/>
      <c r="BZ93" s="50"/>
      <c r="CA93" s="50"/>
    </row>
    <row r="94">
      <c r="A94" s="13" t="s">
        <v>227</v>
      </c>
      <c r="B94" s="27"/>
      <c r="C94" s="13" t="s">
        <v>34</v>
      </c>
      <c r="D94" s="27"/>
      <c r="E94" s="17"/>
      <c r="F94" s="13">
        <v>116.0</v>
      </c>
      <c r="G94" s="50"/>
      <c r="H94" s="26" t="s">
        <v>150</v>
      </c>
      <c r="I94" s="18"/>
      <c r="J94" s="27"/>
      <c r="K94" s="13" t="s">
        <v>150</v>
      </c>
      <c r="L94" s="236"/>
      <c r="M94" s="67" t="s">
        <v>150</v>
      </c>
      <c r="N94" s="18"/>
      <c r="O94" s="13">
        <v>0.0</v>
      </c>
      <c r="P94" s="236"/>
      <c r="Q94" s="26">
        <v>560.0</v>
      </c>
      <c r="R94" s="18"/>
      <c r="S94" s="48"/>
      <c r="T94" s="18"/>
      <c r="U94" s="13" t="s">
        <v>182</v>
      </c>
      <c r="V94" s="18"/>
      <c r="W94" s="13" t="s">
        <v>182</v>
      </c>
      <c r="X94" s="18"/>
      <c r="Y94" s="27"/>
      <c r="Z94" s="35"/>
      <c r="AA94" s="50"/>
      <c r="AB94" s="50"/>
      <c r="AC94" s="50"/>
      <c r="AD94" s="50"/>
      <c r="AE94" s="27"/>
      <c r="AF94" s="13" t="s">
        <v>149</v>
      </c>
      <c r="AG94" s="107" t="s">
        <v>150</v>
      </c>
      <c r="AH94" s="107" t="s">
        <v>150</v>
      </c>
      <c r="AI94" s="16">
        <f t="shared" si="69"/>
        <v>35.56</v>
      </c>
      <c r="AJ94" s="108">
        <f>average(9,19)</f>
        <v>14</v>
      </c>
      <c r="AK94" s="27"/>
      <c r="AL94" s="50"/>
      <c r="AM94" s="50"/>
      <c r="AN94" s="50"/>
      <c r="AO94" s="13" t="s">
        <v>150</v>
      </c>
      <c r="AP94" s="13" t="s">
        <v>150</v>
      </c>
      <c r="AQ94" s="13" t="s">
        <v>150</v>
      </c>
      <c r="AR94" s="13" t="s">
        <v>182</v>
      </c>
      <c r="AS94" s="13" t="s">
        <v>145</v>
      </c>
      <c r="AT94" s="13" t="s">
        <v>145</v>
      </c>
      <c r="AU94" s="50"/>
      <c r="AV94" s="50"/>
      <c r="AW94" s="50"/>
      <c r="AX94" s="62" t="s">
        <v>150</v>
      </c>
      <c r="AY94" s="50"/>
      <c r="AZ94" s="42">
        <f>average(400,300,350,350,500,600,800,800,550,950)</f>
        <v>560</v>
      </c>
      <c r="BA94" s="13" t="s">
        <v>146</v>
      </c>
      <c r="BB94" s="13">
        <v>300.0</v>
      </c>
      <c r="BC94" s="13">
        <v>950.0</v>
      </c>
      <c r="BD94" s="62" t="s">
        <v>150</v>
      </c>
      <c r="BE94" s="62" t="s">
        <v>150</v>
      </c>
      <c r="BF94" s="62" t="s">
        <v>150</v>
      </c>
      <c r="BG94" s="62" t="s">
        <v>150</v>
      </c>
      <c r="BH94" s="42"/>
      <c r="BI94" s="62" t="s">
        <v>150</v>
      </c>
      <c r="BJ94" s="158"/>
      <c r="BK94" s="62" t="s">
        <v>150</v>
      </c>
      <c r="BL94" s="42">
        <f>IFERROR(__xludf.DUMMYFUNCTION("BM94*GoogleFinance(""CURRENCY:GBPUSD"")"),976.70328)</f>
        <v>976.70328</v>
      </c>
      <c r="BM94" s="24">
        <f t="shared" si="20"/>
        <v>784</v>
      </c>
      <c r="BN94" s="13">
        <v>121.0</v>
      </c>
      <c r="BO94" s="13">
        <v>126.0</v>
      </c>
      <c r="BP94" s="13">
        <v>244.0</v>
      </c>
      <c r="BQ94" s="13">
        <v>177.0</v>
      </c>
      <c r="BR94" s="13">
        <v>116.0</v>
      </c>
      <c r="BS94" s="13">
        <v>200.0</v>
      </c>
      <c r="BT94" s="50"/>
      <c r="BU94" s="53"/>
      <c r="BV94" s="53"/>
      <c r="BW94" s="50"/>
      <c r="BX94" s="50"/>
      <c r="BY94" s="50"/>
      <c r="BZ94" s="50"/>
      <c r="CA94" s="50"/>
    </row>
    <row r="95">
      <c r="A95" s="13" t="s">
        <v>241</v>
      </c>
      <c r="B95" s="27"/>
      <c r="C95" s="13" t="s">
        <v>53</v>
      </c>
      <c r="D95" s="27"/>
      <c r="E95" s="17"/>
      <c r="F95" s="13">
        <v>173.0</v>
      </c>
      <c r="G95" s="50"/>
      <c r="H95" s="26" t="s">
        <v>150</v>
      </c>
      <c r="I95" s="18"/>
      <c r="J95" s="27"/>
      <c r="K95" s="13">
        <v>46.0</v>
      </c>
      <c r="L95" s="236"/>
      <c r="M95" s="67" t="s">
        <v>150</v>
      </c>
      <c r="N95" s="18"/>
      <c r="O95" s="13" t="s">
        <v>150</v>
      </c>
      <c r="P95" s="236"/>
      <c r="Q95" s="26">
        <v>757.142857142857</v>
      </c>
      <c r="R95" s="18"/>
      <c r="S95" s="48"/>
      <c r="T95" s="18"/>
      <c r="U95" s="13" t="s">
        <v>182</v>
      </c>
      <c r="V95" s="18"/>
      <c r="W95" s="13" t="s">
        <v>182</v>
      </c>
      <c r="X95" s="18"/>
      <c r="Y95" s="27"/>
      <c r="Z95" s="35"/>
      <c r="AA95" s="50"/>
      <c r="AB95" s="50"/>
      <c r="AC95" s="50"/>
      <c r="AD95" s="50"/>
      <c r="AE95" s="27"/>
      <c r="AF95" s="13" t="s">
        <v>148</v>
      </c>
      <c r="AG95" s="107" t="s">
        <v>150</v>
      </c>
      <c r="AH95" s="107" t="s">
        <v>150</v>
      </c>
      <c r="AI95" s="16">
        <f t="shared" si="69"/>
        <v>58.42</v>
      </c>
      <c r="AJ95" s="108">
        <f>average(21,25)</f>
        <v>23</v>
      </c>
      <c r="AK95" s="27"/>
      <c r="AL95" s="13" t="s">
        <v>244</v>
      </c>
      <c r="AM95" s="50"/>
      <c r="AN95" s="50"/>
      <c r="AO95" s="13" t="s">
        <v>184</v>
      </c>
      <c r="AP95" s="159" t="s">
        <v>185</v>
      </c>
      <c r="AQ95" s="13" t="s">
        <v>187</v>
      </c>
      <c r="AR95" s="13" t="s">
        <v>182</v>
      </c>
      <c r="AS95" s="13" t="s">
        <v>150</v>
      </c>
      <c r="AT95" s="13" t="s">
        <v>150</v>
      </c>
      <c r="AU95" s="50"/>
      <c r="AV95" s="50"/>
      <c r="AW95" s="50"/>
      <c r="AX95" s="62" t="s">
        <v>150</v>
      </c>
      <c r="AY95" s="50"/>
      <c r="AZ95" s="42">
        <f>average(1000,1000,850,850,250,600,750)</f>
        <v>757.1428571</v>
      </c>
      <c r="BA95" s="13" t="s">
        <v>160</v>
      </c>
      <c r="BB95" s="13">
        <v>250.0</v>
      </c>
      <c r="BC95" s="13">
        <v>1000.0</v>
      </c>
      <c r="BD95" s="62" t="s">
        <v>150</v>
      </c>
      <c r="BE95" s="62" t="s">
        <v>150</v>
      </c>
      <c r="BF95" s="62" t="s">
        <v>150</v>
      </c>
      <c r="BG95" s="62" t="s">
        <v>150</v>
      </c>
      <c r="BH95" s="42"/>
      <c r="BI95" s="62" t="s">
        <v>150</v>
      </c>
      <c r="BJ95" s="158"/>
      <c r="BK95" s="62" t="s">
        <v>150</v>
      </c>
      <c r="BL95" s="42">
        <f>IFERROR(__xludf.DUMMYFUNCTION("BM95*GoogleFinance(""CURRENCY:GBPUSD"")"),976.70328)</f>
        <v>976.70328</v>
      </c>
      <c r="BM95" s="24">
        <f t="shared" si="20"/>
        <v>784</v>
      </c>
      <c r="BN95" s="13">
        <v>121.0</v>
      </c>
      <c r="BO95" s="13">
        <v>126.0</v>
      </c>
      <c r="BP95" s="13">
        <v>244.0</v>
      </c>
      <c r="BQ95" s="13">
        <v>177.0</v>
      </c>
      <c r="BR95" s="13">
        <v>116.0</v>
      </c>
      <c r="BS95" s="13">
        <v>200.0</v>
      </c>
      <c r="BT95" s="50"/>
      <c r="BU95" s="53"/>
      <c r="BV95" s="53"/>
      <c r="BW95" s="50"/>
      <c r="BX95" s="50"/>
      <c r="BY95" s="50"/>
      <c r="BZ95" s="50"/>
      <c r="CA95" s="50"/>
    </row>
    <row r="96">
      <c r="A96" s="13" t="s">
        <v>245</v>
      </c>
      <c r="B96" s="27"/>
      <c r="C96" s="13" t="s">
        <v>23</v>
      </c>
      <c r="D96" s="27"/>
      <c r="E96" s="17"/>
      <c r="F96" s="13">
        <v>72.0</v>
      </c>
      <c r="G96" s="50"/>
      <c r="H96" s="26" t="s">
        <v>150</v>
      </c>
      <c r="I96" s="18"/>
      <c r="J96" s="27"/>
      <c r="K96" s="13">
        <v>34.0</v>
      </c>
      <c r="L96" s="236"/>
      <c r="M96" s="67" t="s">
        <v>150</v>
      </c>
      <c r="N96" s="18"/>
      <c r="O96" s="13">
        <v>1.0</v>
      </c>
      <c r="P96" s="236"/>
      <c r="Q96" s="26">
        <v>1043.0</v>
      </c>
      <c r="R96" s="18"/>
      <c r="S96" s="48"/>
      <c r="T96" s="18"/>
      <c r="U96" s="13" t="s">
        <v>182</v>
      </c>
      <c r="V96" s="18"/>
      <c r="W96" s="13" t="s">
        <v>182</v>
      </c>
      <c r="X96" s="18"/>
      <c r="Y96" s="27"/>
      <c r="Z96" s="35"/>
      <c r="AA96" s="50"/>
      <c r="AB96" s="50"/>
      <c r="AC96" s="50"/>
      <c r="AD96" s="50"/>
      <c r="AE96" s="27"/>
      <c r="AF96" s="13" t="s">
        <v>148</v>
      </c>
      <c r="AG96" s="107" t="s">
        <v>150</v>
      </c>
      <c r="AH96" s="107" t="s">
        <v>150</v>
      </c>
      <c r="AI96" s="16">
        <f t="shared" si="69"/>
        <v>45.72</v>
      </c>
      <c r="AJ96" s="108">
        <f>average(17,19)</f>
        <v>18</v>
      </c>
      <c r="AK96" s="27"/>
      <c r="AL96" s="50"/>
      <c r="AM96" s="50"/>
      <c r="AN96" s="50"/>
      <c r="AO96" s="13" t="s">
        <v>142</v>
      </c>
      <c r="AP96" s="13" t="s">
        <v>143</v>
      </c>
      <c r="AQ96" s="13" t="s">
        <v>144</v>
      </c>
      <c r="AR96" s="13" t="s">
        <v>182</v>
      </c>
      <c r="AS96" s="13" t="s">
        <v>246</v>
      </c>
      <c r="AT96" s="13" t="s">
        <v>247</v>
      </c>
      <c r="AU96" s="50"/>
      <c r="AV96" s="50"/>
      <c r="AW96" s="50"/>
      <c r="AX96" s="62" t="s">
        <v>150</v>
      </c>
      <c r="AY96" s="50"/>
      <c r="AZ96" s="42">
        <f>average(1000,600,1500,1000,1500,250,1500,1000,1500,580)</f>
        <v>1043</v>
      </c>
      <c r="BA96" s="13" t="s">
        <v>160</v>
      </c>
      <c r="BB96" s="13">
        <v>250.0</v>
      </c>
      <c r="BC96" s="13">
        <v>1500.0</v>
      </c>
      <c r="BD96" s="62" t="s">
        <v>150</v>
      </c>
      <c r="BE96" s="62" t="s">
        <v>150</v>
      </c>
      <c r="BF96" s="62" t="s">
        <v>150</v>
      </c>
      <c r="BG96" s="62" t="s">
        <v>150</v>
      </c>
      <c r="BH96" s="42"/>
      <c r="BI96" s="62" t="s">
        <v>150</v>
      </c>
      <c r="BJ96" s="158"/>
      <c r="BK96" s="62" t="s">
        <v>150</v>
      </c>
      <c r="BL96" s="42">
        <f>IFERROR(__xludf.DUMMYFUNCTION("BM96*GoogleFinance(""CURRENCY:GBPUSD"")"),976.70328)</f>
        <v>976.70328</v>
      </c>
      <c r="BM96" s="24">
        <f t="shared" si="20"/>
        <v>784</v>
      </c>
      <c r="BN96" s="13">
        <v>121.0</v>
      </c>
      <c r="BO96" s="13">
        <v>126.0</v>
      </c>
      <c r="BP96" s="13">
        <v>244.0</v>
      </c>
      <c r="BQ96" s="13">
        <v>177.0</v>
      </c>
      <c r="BR96" s="13">
        <v>116.0</v>
      </c>
      <c r="BS96" s="13">
        <v>200.0</v>
      </c>
      <c r="BT96" s="50"/>
      <c r="BU96" s="53"/>
      <c r="BV96" s="53"/>
      <c r="BW96" s="50"/>
      <c r="BX96" s="50"/>
      <c r="BY96" s="50"/>
      <c r="BZ96" s="50"/>
      <c r="CA96" s="50"/>
    </row>
    <row r="97">
      <c r="A97" s="13" t="s">
        <v>248</v>
      </c>
      <c r="B97" s="27"/>
      <c r="C97" s="13" t="s">
        <v>27</v>
      </c>
      <c r="D97" s="27"/>
      <c r="E97" s="17"/>
      <c r="F97" s="13">
        <v>157.0</v>
      </c>
      <c r="G97" s="50"/>
      <c r="H97" s="26" t="s">
        <v>150</v>
      </c>
      <c r="I97" s="18"/>
      <c r="J97" s="27"/>
      <c r="K97" s="13">
        <v>44.0</v>
      </c>
      <c r="L97" s="236"/>
      <c r="M97" s="67" t="s">
        <v>150</v>
      </c>
      <c r="N97" s="18"/>
      <c r="O97" s="13">
        <v>0.0</v>
      </c>
      <c r="P97" s="236"/>
      <c r="Q97" s="26">
        <v>730.0</v>
      </c>
      <c r="R97" s="18"/>
      <c r="S97" s="48"/>
      <c r="T97" s="18"/>
      <c r="U97" s="13" t="s">
        <v>182</v>
      </c>
      <c r="V97" s="18"/>
      <c r="W97" s="13" t="s">
        <v>182</v>
      </c>
      <c r="X97" s="18"/>
      <c r="Y97" s="27"/>
      <c r="Z97" s="35"/>
      <c r="AA97" s="50"/>
      <c r="AB97" s="50"/>
      <c r="AC97" s="50"/>
      <c r="AD97" s="50"/>
      <c r="AE97" s="27"/>
      <c r="AF97" s="13" t="s">
        <v>148</v>
      </c>
      <c r="AG97" s="16">
        <f t="shared" ref="AG97:AG98" si="70">AH97*0.45359237</f>
        <v>15.87573295</v>
      </c>
      <c r="AH97" s="108">
        <f>average(25,45)</f>
        <v>35</v>
      </c>
      <c r="AI97" s="16">
        <f t="shared" si="69"/>
        <v>41.91</v>
      </c>
      <c r="AJ97" s="108">
        <f>average(15,18)</f>
        <v>16.5</v>
      </c>
      <c r="AK97" s="27"/>
      <c r="AL97" s="50"/>
      <c r="AM97" s="50"/>
      <c r="AN97" s="50"/>
      <c r="AO97" s="13" t="s">
        <v>184</v>
      </c>
      <c r="AP97" s="159" t="s">
        <v>185</v>
      </c>
      <c r="AQ97" s="13" t="s">
        <v>187</v>
      </c>
      <c r="AR97" s="13" t="s">
        <v>182</v>
      </c>
      <c r="AS97" s="13" t="s">
        <v>145</v>
      </c>
      <c r="AT97" s="13" t="s">
        <v>145</v>
      </c>
      <c r="AU97" s="50"/>
      <c r="AV97" s="50"/>
      <c r="AW97" s="50"/>
      <c r="AX97" s="62" t="s">
        <v>150</v>
      </c>
      <c r="AY97" s="50"/>
      <c r="AZ97" s="42">
        <f>average(1250,600,600,600,600)</f>
        <v>730</v>
      </c>
      <c r="BA97" s="13" t="s">
        <v>160</v>
      </c>
      <c r="BB97" s="13">
        <v>600.0</v>
      </c>
      <c r="BC97" s="13">
        <v>1250.0</v>
      </c>
      <c r="BD97" s="62" t="s">
        <v>150</v>
      </c>
      <c r="BE97" s="62" t="s">
        <v>150</v>
      </c>
      <c r="BF97" s="62" t="s">
        <v>150</v>
      </c>
      <c r="BG97" s="62" t="s">
        <v>150</v>
      </c>
      <c r="BH97" s="42"/>
      <c r="BI97" s="62" t="s">
        <v>150</v>
      </c>
      <c r="BJ97" s="158"/>
      <c r="BK97" s="62" t="s">
        <v>150</v>
      </c>
      <c r="BL97" s="42">
        <f>IFERROR(__xludf.DUMMYFUNCTION("BM97*GoogleFinance(""CURRENCY:GBPUSD"")"),976.70328)</f>
        <v>976.70328</v>
      </c>
      <c r="BM97" s="24">
        <f t="shared" si="20"/>
        <v>784</v>
      </c>
      <c r="BN97" s="13">
        <v>121.0</v>
      </c>
      <c r="BO97" s="13">
        <v>126.0</v>
      </c>
      <c r="BP97" s="13">
        <v>244.0</v>
      </c>
      <c r="BQ97" s="13">
        <v>177.0</v>
      </c>
      <c r="BR97" s="13">
        <v>116.0</v>
      </c>
      <c r="BS97" s="13">
        <v>200.0</v>
      </c>
      <c r="BT97" s="50"/>
      <c r="BU97" s="53"/>
      <c r="BV97" s="53"/>
      <c r="BW97" s="50"/>
      <c r="BX97" s="50"/>
      <c r="BY97" s="50"/>
      <c r="BZ97" s="50"/>
      <c r="CA97" s="50"/>
    </row>
    <row r="98">
      <c r="A98" s="13" t="s">
        <v>249</v>
      </c>
      <c r="B98" s="27"/>
      <c r="C98" s="13" t="s">
        <v>38</v>
      </c>
      <c r="D98" s="27"/>
      <c r="E98" s="17"/>
      <c r="F98" s="13">
        <v>111.0</v>
      </c>
      <c r="G98" s="50"/>
      <c r="H98" s="26" t="s">
        <v>150</v>
      </c>
      <c r="I98" s="18"/>
      <c r="J98" s="27"/>
      <c r="K98" s="13" t="s">
        <v>150</v>
      </c>
      <c r="L98" s="236"/>
      <c r="M98" s="67">
        <v>10.75</v>
      </c>
      <c r="N98" s="18"/>
      <c r="O98" s="13" t="s">
        <v>150</v>
      </c>
      <c r="P98" s="236"/>
      <c r="Q98" s="26" t="s">
        <v>150</v>
      </c>
      <c r="R98" s="18"/>
      <c r="S98" s="48"/>
      <c r="T98" s="18"/>
      <c r="U98" s="13">
        <v>2.0</v>
      </c>
      <c r="V98" s="18"/>
      <c r="W98" s="13">
        <v>2.0</v>
      </c>
      <c r="X98" s="18"/>
      <c r="Y98" s="27"/>
      <c r="Z98" s="35"/>
      <c r="AA98" s="50"/>
      <c r="AB98" s="50"/>
      <c r="AC98" s="50"/>
      <c r="AD98" s="50"/>
      <c r="AE98" s="27"/>
      <c r="AF98" s="13" t="s">
        <v>166</v>
      </c>
      <c r="AG98" s="16">
        <f t="shared" si="70"/>
        <v>52.16312255</v>
      </c>
      <c r="AH98" s="108">
        <f>average(80,150)</f>
        <v>115</v>
      </c>
      <c r="AI98" s="16">
        <f t="shared" si="69"/>
        <v>71.12</v>
      </c>
      <c r="AJ98" s="108">
        <f>average(27,29)</f>
        <v>28</v>
      </c>
      <c r="AK98" s="27"/>
      <c r="AL98" s="50"/>
      <c r="AM98" s="50"/>
      <c r="AN98" s="50"/>
      <c r="AO98" s="13" t="s">
        <v>150</v>
      </c>
      <c r="AP98" s="13" t="s">
        <v>150</v>
      </c>
      <c r="AQ98" s="13" t="s">
        <v>150</v>
      </c>
      <c r="AR98" s="13">
        <v>23.0</v>
      </c>
      <c r="AS98" s="13" t="s">
        <v>150</v>
      </c>
      <c r="AT98" s="13" t="s">
        <v>150</v>
      </c>
      <c r="AU98" s="50"/>
      <c r="AV98" s="50"/>
      <c r="AW98" s="50"/>
      <c r="AX98" s="62" t="s">
        <v>150</v>
      </c>
      <c r="AY98" s="50"/>
      <c r="AZ98" s="62" t="s">
        <v>150</v>
      </c>
      <c r="BA98" s="62" t="s">
        <v>150</v>
      </c>
      <c r="BB98" s="13" t="s">
        <v>150</v>
      </c>
      <c r="BC98" s="13" t="s">
        <v>150</v>
      </c>
      <c r="BD98" s="24">
        <f t="shared" ref="BD98:BD99" si="71">average(BE98,BF98)</f>
        <v>8.75</v>
      </c>
      <c r="BE98" s="13">
        <v>7.5</v>
      </c>
      <c r="BF98" s="13">
        <v>10.0</v>
      </c>
      <c r="BG98" s="35">
        <f>IFERROR(__xludf.DUMMYFUNCTION("BD98*GoogleFinance(""CURRENCY:GBPUSD"")"),10.90070625)</f>
        <v>10.90070625</v>
      </c>
      <c r="BH98" s="50"/>
      <c r="BI98" s="42">
        <f t="shared" ref="BI98:BI99" si="72">BG98*52.1775*M98</f>
        <v>6114.294704</v>
      </c>
      <c r="BJ98" s="158"/>
      <c r="BK98" s="42">
        <f t="shared" ref="BK98:BK99" si="73">BL98*M98</f>
        <v>10499.56026</v>
      </c>
      <c r="BL98" s="42">
        <f>IFERROR(__xludf.DUMMYFUNCTION("BM98*GoogleFinance(""CURRENCY:GBPUSD"")"),976.70328)</f>
        <v>976.70328</v>
      </c>
      <c r="BM98" s="24">
        <f t="shared" si="20"/>
        <v>784</v>
      </c>
      <c r="BN98" s="13">
        <v>121.0</v>
      </c>
      <c r="BO98" s="13">
        <v>126.0</v>
      </c>
      <c r="BP98" s="13">
        <v>244.0</v>
      </c>
      <c r="BQ98" s="13">
        <v>177.0</v>
      </c>
      <c r="BR98" s="13">
        <v>116.0</v>
      </c>
      <c r="BS98" s="13">
        <v>200.0</v>
      </c>
      <c r="BT98" s="50"/>
      <c r="BU98" s="53"/>
      <c r="BV98" s="53"/>
      <c r="BW98" s="50"/>
      <c r="BX98" s="50"/>
      <c r="BY98" s="50"/>
      <c r="BZ98" s="50"/>
      <c r="CA98" s="50"/>
    </row>
    <row r="99">
      <c r="A99" s="13" t="s">
        <v>278</v>
      </c>
      <c r="B99" s="27"/>
      <c r="C99" s="13" t="s">
        <v>32</v>
      </c>
      <c r="D99" s="27"/>
      <c r="E99" s="17"/>
      <c r="F99" s="13">
        <v>112.0</v>
      </c>
      <c r="G99" s="50"/>
      <c r="H99" s="26" t="s">
        <v>150</v>
      </c>
      <c r="I99" s="18"/>
      <c r="J99" s="27"/>
      <c r="K99" s="13">
        <v>34.0</v>
      </c>
      <c r="L99" s="236"/>
      <c r="M99" s="67">
        <v>12.77</v>
      </c>
      <c r="N99" s="18"/>
      <c r="O99" s="13">
        <v>0.0</v>
      </c>
      <c r="P99" s="236"/>
      <c r="Q99" s="26" t="s">
        <v>150</v>
      </c>
      <c r="R99" s="18"/>
      <c r="S99" s="48"/>
      <c r="T99" s="18"/>
      <c r="U99" s="13">
        <v>1.0</v>
      </c>
      <c r="V99" s="18"/>
      <c r="W99" s="13">
        <v>1.0</v>
      </c>
      <c r="X99" s="18"/>
      <c r="Y99" s="27"/>
      <c r="Z99" s="50"/>
      <c r="AA99" s="50"/>
      <c r="AB99" s="50"/>
      <c r="AC99" s="50"/>
      <c r="AD99" s="50"/>
      <c r="AE99" s="27"/>
      <c r="AF99" s="13" t="s">
        <v>148</v>
      </c>
      <c r="AG99" s="107" t="s">
        <v>150</v>
      </c>
      <c r="AH99" s="107" t="s">
        <v>150</v>
      </c>
      <c r="AI99" s="16">
        <f t="shared" si="69"/>
        <v>53.34</v>
      </c>
      <c r="AJ99" s="108">
        <f>average(20,22)</f>
        <v>21</v>
      </c>
      <c r="AK99" s="27"/>
      <c r="AL99" s="50"/>
      <c r="AM99" s="50"/>
      <c r="AN99" s="50"/>
      <c r="AO99" s="13" t="s">
        <v>142</v>
      </c>
      <c r="AP99" s="13" t="s">
        <v>143</v>
      </c>
      <c r="AQ99" s="13" t="s">
        <v>144</v>
      </c>
      <c r="AR99" s="13">
        <v>551.0</v>
      </c>
      <c r="AS99" s="13" t="s">
        <v>145</v>
      </c>
      <c r="AT99" s="13" t="s">
        <v>145</v>
      </c>
      <c r="AU99" s="50"/>
      <c r="AV99" s="50"/>
      <c r="AW99" s="50"/>
      <c r="AX99" s="62" t="s">
        <v>150</v>
      </c>
      <c r="AY99" s="50"/>
      <c r="AZ99" s="62" t="s">
        <v>150</v>
      </c>
      <c r="BA99" s="62" t="s">
        <v>150</v>
      </c>
      <c r="BB99" s="13" t="s">
        <v>150</v>
      </c>
      <c r="BC99" s="13" t="s">
        <v>150</v>
      </c>
      <c r="BD99" s="24">
        <f t="shared" si="71"/>
        <v>5.75</v>
      </c>
      <c r="BE99" s="13">
        <v>4.0</v>
      </c>
      <c r="BF99" s="13">
        <v>7.5</v>
      </c>
      <c r="BG99" s="35">
        <f>IFERROR(__xludf.DUMMYFUNCTION("BD99*GoogleFinance(""CURRENCY:GBPUSD"")"),7.16332125)</f>
        <v>7.16332125</v>
      </c>
      <c r="BH99" s="50"/>
      <c r="BI99" s="42">
        <f t="shared" si="72"/>
        <v>4772.968764</v>
      </c>
      <c r="BJ99" s="158"/>
      <c r="BK99" s="42">
        <f t="shared" si="73"/>
        <v>12472.50089</v>
      </c>
      <c r="BL99" s="42">
        <f>IFERROR(__xludf.DUMMYFUNCTION("BM99*GoogleFinance(""CURRENCY:GBPUSD"")"),976.70328)</f>
        <v>976.70328</v>
      </c>
      <c r="BM99" s="24">
        <f t="shared" si="20"/>
        <v>784</v>
      </c>
      <c r="BN99" s="13">
        <v>121.0</v>
      </c>
      <c r="BO99" s="13">
        <v>126.0</v>
      </c>
      <c r="BP99" s="13">
        <v>244.0</v>
      </c>
      <c r="BQ99" s="13">
        <v>177.0</v>
      </c>
      <c r="BR99" s="13">
        <v>116.0</v>
      </c>
      <c r="BS99" s="13">
        <v>200.0</v>
      </c>
      <c r="BT99" s="50"/>
      <c r="BU99" s="53"/>
      <c r="BV99" s="53"/>
      <c r="BW99" s="50"/>
      <c r="BX99" s="50"/>
      <c r="BY99" s="50"/>
      <c r="BZ99" s="50"/>
      <c r="CA99" s="50"/>
    </row>
    <row r="100">
      <c r="A100" s="13" t="s">
        <v>301</v>
      </c>
      <c r="B100" s="181"/>
      <c r="C100" s="13" t="s">
        <v>32</v>
      </c>
      <c r="D100" s="27"/>
      <c r="E100" s="237"/>
      <c r="F100" s="13">
        <v>144.0</v>
      </c>
      <c r="G100" s="50"/>
      <c r="H100" s="26" t="s">
        <v>150</v>
      </c>
      <c r="I100" s="18"/>
      <c r="J100" s="27"/>
      <c r="K100" s="13" t="s">
        <v>150</v>
      </c>
      <c r="L100" s="236"/>
      <c r="M100" s="67" t="s">
        <v>150</v>
      </c>
      <c r="N100" s="18"/>
      <c r="O100" s="13" t="s">
        <v>150</v>
      </c>
      <c r="P100" s="236"/>
      <c r="Q100" s="26">
        <v>966.666666666667</v>
      </c>
      <c r="R100" s="18"/>
      <c r="S100" s="48"/>
      <c r="T100" s="18"/>
      <c r="U100" s="13" t="s">
        <v>182</v>
      </c>
      <c r="V100" s="18"/>
      <c r="W100" s="13" t="s">
        <v>182</v>
      </c>
      <c r="X100" s="238"/>
      <c r="Y100" s="71"/>
      <c r="Z100" s="50"/>
      <c r="AA100" s="239"/>
      <c r="AB100" s="239"/>
      <c r="AC100" s="50"/>
      <c r="AD100" s="239"/>
      <c r="AE100" s="27"/>
      <c r="AF100" s="13" t="s">
        <v>166</v>
      </c>
      <c r="AG100" s="107" t="s">
        <v>150</v>
      </c>
      <c r="AH100" s="107" t="s">
        <v>150</v>
      </c>
      <c r="AI100" s="16">
        <f t="shared" si="69"/>
        <v>65.405</v>
      </c>
      <c r="AJ100" s="108">
        <f>average(24,27.5)</f>
        <v>25.75</v>
      </c>
      <c r="AK100" s="27"/>
      <c r="AL100" s="13" t="s">
        <v>310</v>
      </c>
      <c r="AM100" s="50"/>
      <c r="AN100" s="50"/>
      <c r="AO100" s="13" t="s">
        <v>150</v>
      </c>
      <c r="AP100" s="13" t="s">
        <v>150</v>
      </c>
      <c r="AQ100" s="13" t="s">
        <v>150</v>
      </c>
      <c r="AR100" s="13" t="s">
        <v>182</v>
      </c>
      <c r="AS100" s="13" t="s">
        <v>150</v>
      </c>
      <c r="AT100" s="13" t="s">
        <v>150</v>
      </c>
      <c r="AU100" s="64"/>
      <c r="AV100" s="239"/>
      <c r="AW100" s="239"/>
      <c r="AX100" s="62" t="s">
        <v>150</v>
      </c>
      <c r="AY100" s="50"/>
      <c r="AZ100" s="42">
        <f>average(950,1000,950)</f>
        <v>966.6666667</v>
      </c>
      <c r="BA100" s="13" t="s">
        <v>160</v>
      </c>
      <c r="BB100" s="62">
        <v>950.0</v>
      </c>
      <c r="BC100" s="62">
        <v>1000.0</v>
      </c>
      <c r="BD100" s="62" t="s">
        <v>150</v>
      </c>
      <c r="BE100" s="62" t="s">
        <v>150</v>
      </c>
      <c r="BF100" s="62" t="s">
        <v>150</v>
      </c>
      <c r="BG100" s="62" t="s">
        <v>150</v>
      </c>
      <c r="BH100" s="42"/>
      <c r="BI100" s="62" t="s">
        <v>150</v>
      </c>
      <c r="BJ100" s="158"/>
      <c r="BK100" s="62" t="s">
        <v>150</v>
      </c>
      <c r="BL100" s="42">
        <f>IFERROR(__xludf.DUMMYFUNCTION("BM100*GoogleFinance(""CURRENCY:GBPUSD"")"),976.70328)</f>
        <v>976.70328</v>
      </c>
      <c r="BM100" s="24">
        <f t="shared" si="20"/>
        <v>784</v>
      </c>
      <c r="BN100" s="13">
        <v>121.0</v>
      </c>
      <c r="BO100" s="13">
        <v>126.0</v>
      </c>
      <c r="BP100" s="13">
        <v>244.0</v>
      </c>
      <c r="BQ100" s="13">
        <v>177.0</v>
      </c>
      <c r="BR100" s="13">
        <v>116.0</v>
      </c>
      <c r="BS100" s="13">
        <v>200.0</v>
      </c>
      <c r="BT100" s="50"/>
      <c r="BU100" s="53"/>
      <c r="BV100" s="53"/>
      <c r="BW100" s="50"/>
      <c r="BX100" s="50"/>
      <c r="BY100" s="50"/>
      <c r="BZ100" s="50"/>
      <c r="CA100" s="50"/>
    </row>
    <row r="101">
      <c r="A101" s="13" t="s">
        <v>341</v>
      </c>
      <c r="B101" s="27"/>
      <c r="C101" s="13" t="s">
        <v>32</v>
      </c>
      <c r="D101" s="27"/>
      <c r="E101" s="17"/>
      <c r="F101" s="13">
        <v>74.0</v>
      </c>
      <c r="G101" s="50"/>
      <c r="H101" s="26" t="s">
        <v>150</v>
      </c>
      <c r="I101" s="18"/>
      <c r="J101" s="27"/>
      <c r="K101" s="13">
        <v>22.0</v>
      </c>
      <c r="L101" s="236"/>
      <c r="M101" s="67" t="s">
        <v>150</v>
      </c>
      <c r="N101" s="18"/>
      <c r="O101" s="13">
        <v>0.0</v>
      </c>
      <c r="P101" s="236"/>
      <c r="Q101" s="26">
        <v>1080.0</v>
      </c>
      <c r="R101" s="18"/>
      <c r="S101" s="48"/>
      <c r="T101" s="18"/>
      <c r="U101" s="13">
        <v>2.0</v>
      </c>
      <c r="V101" s="18"/>
      <c r="W101" s="13">
        <v>1.0</v>
      </c>
      <c r="X101" s="18"/>
      <c r="Y101" s="27"/>
      <c r="Z101" s="50"/>
      <c r="AA101" s="50"/>
      <c r="AB101" s="50"/>
      <c r="AC101" s="50"/>
      <c r="AD101" s="50"/>
      <c r="AE101" s="27"/>
      <c r="AF101" s="13" t="s">
        <v>166</v>
      </c>
      <c r="AG101" s="107" t="s">
        <v>150</v>
      </c>
      <c r="AH101" s="107" t="s">
        <v>150</v>
      </c>
      <c r="AI101" s="16">
        <f t="shared" si="69"/>
        <v>60.96</v>
      </c>
      <c r="AJ101" s="108">
        <f t="shared" ref="AJ101:AJ102" si="74">average(22,26)</f>
        <v>24</v>
      </c>
      <c r="AK101" s="27"/>
      <c r="AL101" s="50"/>
      <c r="AM101" s="50"/>
      <c r="AN101" s="50"/>
      <c r="AO101" s="13" t="s">
        <v>267</v>
      </c>
      <c r="AP101" s="159" t="s">
        <v>268</v>
      </c>
      <c r="AQ101" s="13" t="s">
        <v>269</v>
      </c>
      <c r="AR101" s="13" t="s">
        <v>182</v>
      </c>
      <c r="AS101" s="13" t="s">
        <v>145</v>
      </c>
      <c r="AT101" s="13" t="s">
        <v>145</v>
      </c>
      <c r="AU101" s="50"/>
      <c r="AV101" s="50"/>
      <c r="AW101" s="50"/>
      <c r="AX101" s="62" t="s">
        <v>150</v>
      </c>
      <c r="AY101" s="50"/>
      <c r="AZ101" s="42">
        <f>average(1200,1000,1200,1200,1200,800,550,950,700,2000)</f>
        <v>1080</v>
      </c>
      <c r="BA101" s="13" t="s">
        <v>160</v>
      </c>
      <c r="BB101" s="13">
        <v>550.0</v>
      </c>
      <c r="BC101" s="13">
        <v>2000.0</v>
      </c>
      <c r="BD101" s="24">
        <f>average(BE101,BF101)</f>
        <v>5.75</v>
      </c>
      <c r="BE101" s="13">
        <v>4.0</v>
      </c>
      <c r="BF101" s="13">
        <v>7.5</v>
      </c>
      <c r="BG101" s="35">
        <f>IFERROR(__xludf.DUMMYFUNCTION("BD101*GoogleFinance(""CURRENCY:GBPUSD"")"),7.16332125)</f>
        <v>7.16332125</v>
      </c>
      <c r="BH101" s="50"/>
      <c r="BI101" s="62" t="s">
        <v>150</v>
      </c>
      <c r="BJ101" s="158"/>
      <c r="BK101" s="62" t="s">
        <v>150</v>
      </c>
      <c r="BL101" s="42">
        <f>IFERROR(__xludf.DUMMYFUNCTION("BM101*GoogleFinance(""CURRENCY:GBPUSD"")"),976.70328)</f>
        <v>976.70328</v>
      </c>
      <c r="BM101" s="24">
        <f t="shared" si="20"/>
        <v>784</v>
      </c>
      <c r="BN101" s="13">
        <v>121.0</v>
      </c>
      <c r="BO101" s="13">
        <v>126.0</v>
      </c>
      <c r="BP101" s="13">
        <v>244.0</v>
      </c>
      <c r="BQ101" s="13">
        <v>177.0</v>
      </c>
      <c r="BR101" s="13">
        <v>116.0</v>
      </c>
      <c r="BS101" s="13">
        <v>200.0</v>
      </c>
      <c r="BT101" s="50"/>
      <c r="BU101" s="53"/>
      <c r="BV101" s="53"/>
      <c r="BW101" s="50"/>
      <c r="BX101" s="50"/>
      <c r="BY101" s="50"/>
      <c r="BZ101" s="50"/>
      <c r="CA101" s="50"/>
    </row>
    <row r="102">
      <c r="A102" s="13" t="s">
        <v>762</v>
      </c>
      <c r="B102" s="27"/>
      <c r="C102" s="13" t="s">
        <v>32</v>
      </c>
      <c r="D102" s="27"/>
      <c r="E102" s="17"/>
      <c r="F102" s="13">
        <v>118.0</v>
      </c>
      <c r="G102" s="50"/>
      <c r="H102" s="26" t="s">
        <v>150</v>
      </c>
      <c r="I102" s="18"/>
      <c r="J102" s="27"/>
      <c r="K102" s="13">
        <v>15.0</v>
      </c>
      <c r="L102" s="236"/>
      <c r="M102" s="67" t="s">
        <v>150</v>
      </c>
      <c r="N102" s="18"/>
      <c r="O102" s="13">
        <v>4.0</v>
      </c>
      <c r="P102" s="236"/>
      <c r="Q102" s="26" t="s">
        <v>150</v>
      </c>
      <c r="R102" s="18"/>
      <c r="S102" s="48"/>
      <c r="T102" s="18"/>
      <c r="U102" s="13" t="s">
        <v>182</v>
      </c>
      <c r="V102" s="18"/>
      <c r="W102" s="13" t="s">
        <v>182</v>
      </c>
      <c r="X102" s="18"/>
      <c r="Y102" s="27"/>
      <c r="Z102" s="50"/>
      <c r="AA102" s="50"/>
      <c r="AB102" s="50"/>
      <c r="AC102" s="50"/>
      <c r="AD102" s="50"/>
      <c r="AE102" s="27"/>
      <c r="AF102" s="13" t="s">
        <v>166</v>
      </c>
      <c r="AG102" s="107" t="s">
        <v>150</v>
      </c>
      <c r="AH102" s="107" t="s">
        <v>150</v>
      </c>
      <c r="AI102" s="16">
        <f t="shared" si="69"/>
        <v>60.96</v>
      </c>
      <c r="AJ102" s="108">
        <f t="shared" si="74"/>
        <v>24</v>
      </c>
      <c r="AK102" s="27"/>
      <c r="AL102" s="50"/>
      <c r="AM102" s="50"/>
      <c r="AN102" s="50"/>
      <c r="AO102" s="13" t="s">
        <v>267</v>
      </c>
      <c r="AP102" s="159" t="s">
        <v>268</v>
      </c>
      <c r="AQ102" s="13" t="s">
        <v>269</v>
      </c>
      <c r="AR102" s="13" t="s">
        <v>182</v>
      </c>
      <c r="AS102" s="13" t="s">
        <v>350</v>
      </c>
      <c r="AT102" s="13" t="s">
        <v>351</v>
      </c>
      <c r="AU102" s="50"/>
      <c r="AV102" s="50"/>
      <c r="AW102" s="50"/>
      <c r="AX102" s="62" t="s">
        <v>150</v>
      </c>
      <c r="AY102" s="50"/>
      <c r="AZ102" s="62" t="s">
        <v>150</v>
      </c>
      <c r="BA102" s="62" t="s">
        <v>150</v>
      </c>
      <c r="BB102" s="13" t="s">
        <v>150</v>
      </c>
      <c r="BC102" s="13" t="s">
        <v>150</v>
      </c>
      <c r="BD102" s="62" t="s">
        <v>150</v>
      </c>
      <c r="BE102" s="62" t="s">
        <v>150</v>
      </c>
      <c r="BF102" s="62" t="s">
        <v>150</v>
      </c>
      <c r="BG102" s="62" t="s">
        <v>150</v>
      </c>
      <c r="BH102" s="42"/>
      <c r="BI102" s="62" t="s">
        <v>150</v>
      </c>
      <c r="BJ102" s="158"/>
      <c r="BK102" s="62" t="s">
        <v>150</v>
      </c>
      <c r="BL102" s="42">
        <f>IFERROR(__xludf.DUMMYFUNCTION("BM102*GoogleFinance(""CURRENCY:GBPUSD"")"),976.70328)</f>
        <v>976.70328</v>
      </c>
      <c r="BM102" s="24">
        <f t="shared" si="20"/>
        <v>784</v>
      </c>
      <c r="BN102" s="13">
        <v>121.0</v>
      </c>
      <c r="BO102" s="13">
        <v>126.0</v>
      </c>
      <c r="BP102" s="13">
        <v>244.0</v>
      </c>
      <c r="BQ102" s="13">
        <v>177.0</v>
      </c>
      <c r="BR102" s="13">
        <v>116.0</v>
      </c>
      <c r="BS102" s="13">
        <v>200.0</v>
      </c>
      <c r="BT102" s="50"/>
      <c r="BU102" s="53"/>
      <c r="BV102" s="53"/>
      <c r="BW102" s="50"/>
      <c r="BX102" s="50"/>
      <c r="BY102" s="50"/>
      <c r="BZ102" s="50"/>
      <c r="CA102" s="50"/>
    </row>
    <row r="103">
      <c r="A103" s="13" t="s">
        <v>367</v>
      </c>
      <c r="B103" s="27"/>
      <c r="C103" s="13" t="s">
        <v>53</v>
      </c>
      <c r="D103" s="27"/>
      <c r="E103" s="17"/>
      <c r="F103" s="13">
        <v>109.0</v>
      </c>
      <c r="G103" s="50"/>
      <c r="H103" s="26" t="s">
        <v>150</v>
      </c>
      <c r="I103" s="18"/>
      <c r="J103" s="27"/>
      <c r="K103" s="13">
        <v>44.0</v>
      </c>
      <c r="L103" s="236"/>
      <c r="M103" s="67" t="s">
        <v>150</v>
      </c>
      <c r="N103" s="18"/>
      <c r="O103" s="13">
        <v>0.0</v>
      </c>
      <c r="P103" s="236"/>
      <c r="Q103" s="26">
        <v>325.0</v>
      </c>
      <c r="R103" s="18"/>
      <c r="S103" s="48"/>
      <c r="T103" s="18"/>
      <c r="U103" s="13" t="s">
        <v>182</v>
      </c>
      <c r="V103" s="18"/>
      <c r="W103" s="13" t="s">
        <v>182</v>
      </c>
      <c r="X103" s="18"/>
      <c r="Y103" s="27"/>
      <c r="Z103" s="50"/>
      <c r="AA103" s="50"/>
      <c r="AB103" s="50"/>
      <c r="AC103" s="50"/>
      <c r="AD103" s="50"/>
      <c r="AE103" s="27"/>
      <c r="AF103" s="13" t="s">
        <v>166</v>
      </c>
      <c r="AG103" s="107" t="s">
        <v>150</v>
      </c>
      <c r="AH103" s="107" t="s">
        <v>150</v>
      </c>
      <c r="AI103" s="16">
        <f t="shared" si="69"/>
        <v>63.5</v>
      </c>
      <c r="AJ103" s="108">
        <f>average(23,27)</f>
        <v>25</v>
      </c>
      <c r="AK103" s="27"/>
      <c r="AL103" s="50"/>
      <c r="AM103" s="50"/>
      <c r="AN103" s="50"/>
      <c r="AO103" s="13" t="s">
        <v>184</v>
      </c>
      <c r="AP103" s="159" t="s">
        <v>185</v>
      </c>
      <c r="AQ103" s="13" t="s">
        <v>187</v>
      </c>
      <c r="AR103" s="13" t="s">
        <v>182</v>
      </c>
      <c r="AS103" s="13" t="s">
        <v>145</v>
      </c>
      <c r="AT103" s="13" t="s">
        <v>145</v>
      </c>
      <c r="AU103" s="50"/>
      <c r="AV103" s="50"/>
      <c r="AW103" s="50"/>
      <c r="AX103" s="62" t="s">
        <v>150</v>
      </c>
      <c r="AY103" s="50"/>
      <c r="AZ103" s="42">
        <f>average(450,250,250,300,250,350,200,500,250,450)</f>
        <v>325</v>
      </c>
      <c r="BA103" s="13" t="s">
        <v>146</v>
      </c>
      <c r="BB103" s="13">
        <v>200.0</v>
      </c>
      <c r="BC103" s="13">
        <v>500.0</v>
      </c>
      <c r="BD103" s="62" t="s">
        <v>150</v>
      </c>
      <c r="BE103" s="62" t="s">
        <v>150</v>
      </c>
      <c r="BF103" s="62" t="s">
        <v>150</v>
      </c>
      <c r="BG103" s="62" t="s">
        <v>150</v>
      </c>
      <c r="BH103" s="42"/>
      <c r="BI103" s="62" t="s">
        <v>150</v>
      </c>
      <c r="BJ103" s="158"/>
      <c r="BK103" s="62" t="s">
        <v>150</v>
      </c>
      <c r="BL103" s="42">
        <f>IFERROR(__xludf.DUMMYFUNCTION("BM103*GoogleFinance(""CURRENCY:GBPUSD"")"),976.70328)</f>
        <v>976.70328</v>
      </c>
      <c r="BM103" s="24">
        <f t="shared" si="20"/>
        <v>784</v>
      </c>
      <c r="BN103" s="13">
        <v>121.0</v>
      </c>
      <c r="BO103" s="13">
        <v>126.0</v>
      </c>
      <c r="BP103" s="13">
        <v>244.0</v>
      </c>
      <c r="BQ103" s="13">
        <v>177.0</v>
      </c>
      <c r="BR103" s="13">
        <v>116.0</v>
      </c>
      <c r="BS103" s="13">
        <v>200.0</v>
      </c>
      <c r="BT103" s="50"/>
      <c r="BU103" s="53"/>
      <c r="BV103" s="53"/>
      <c r="BW103" s="50"/>
      <c r="BX103" s="50"/>
      <c r="BY103" s="50"/>
      <c r="BZ103" s="50"/>
      <c r="CA103" s="50"/>
    </row>
    <row r="104">
      <c r="A104" s="13" t="s">
        <v>370</v>
      </c>
      <c r="B104" s="27"/>
      <c r="C104" s="13" t="s">
        <v>38</v>
      </c>
      <c r="D104" s="27"/>
      <c r="E104" s="17"/>
      <c r="F104" s="13">
        <v>128.0</v>
      </c>
      <c r="G104" s="50"/>
      <c r="H104" s="26" t="s">
        <v>150</v>
      </c>
      <c r="I104" s="18"/>
      <c r="J104" s="27"/>
      <c r="K104" s="13" t="s">
        <v>150</v>
      </c>
      <c r="L104" s="236"/>
      <c r="M104" s="67" t="s">
        <v>371</v>
      </c>
      <c r="N104" s="18"/>
      <c r="O104" s="13">
        <v>0.0</v>
      </c>
      <c r="P104" s="236"/>
      <c r="Q104" s="26">
        <v>2833.33333333333</v>
      </c>
      <c r="R104" s="18"/>
      <c r="S104" s="48"/>
      <c r="T104" s="18"/>
      <c r="U104" s="13" t="s">
        <v>182</v>
      </c>
      <c r="V104" s="18"/>
      <c r="W104" s="13" t="s">
        <v>182</v>
      </c>
      <c r="X104" s="18"/>
      <c r="Y104" s="27"/>
      <c r="Z104" s="50"/>
      <c r="AA104" s="50"/>
      <c r="AB104" s="50"/>
      <c r="AC104" s="50"/>
      <c r="AD104" s="50"/>
      <c r="AE104" s="27"/>
      <c r="AF104" s="13" t="s">
        <v>166</v>
      </c>
      <c r="AG104" s="107" t="s">
        <v>150</v>
      </c>
      <c r="AH104" s="107" t="s">
        <v>150</v>
      </c>
      <c r="AI104" s="16">
        <f t="shared" si="69"/>
        <v>71.12</v>
      </c>
      <c r="AJ104" s="108">
        <f>average(26,30)</f>
        <v>28</v>
      </c>
      <c r="AK104" s="27"/>
      <c r="AL104" s="13" t="s">
        <v>310</v>
      </c>
      <c r="AM104" s="50"/>
      <c r="AN104" s="50"/>
      <c r="AO104" s="13" t="s">
        <v>150</v>
      </c>
      <c r="AP104" s="13" t="s">
        <v>150</v>
      </c>
      <c r="AQ104" s="13" t="s">
        <v>150</v>
      </c>
      <c r="AR104" s="13">
        <v>4.0</v>
      </c>
      <c r="AS104" s="13" t="s">
        <v>145</v>
      </c>
      <c r="AT104" s="13" t="s">
        <v>145</v>
      </c>
      <c r="AU104" s="50"/>
      <c r="AV104" s="50"/>
      <c r="AW104" s="50"/>
      <c r="AX104" s="62" t="s">
        <v>150</v>
      </c>
      <c r="AY104" s="50"/>
      <c r="AZ104" s="42">
        <f>average(2500,3000,3000)</f>
        <v>2833.333333</v>
      </c>
      <c r="BA104" s="13" t="s">
        <v>372</v>
      </c>
      <c r="BB104" s="13">
        <v>2500.0</v>
      </c>
      <c r="BC104" s="13">
        <v>3000.0</v>
      </c>
      <c r="BD104" s="62" t="s">
        <v>150</v>
      </c>
      <c r="BE104" s="62" t="s">
        <v>150</v>
      </c>
      <c r="BF104" s="62" t="s">
        <v>150</v>
      </c>
      <c r="BG104" s="62" t="s">
        <v>150</v>
      </c>
      <c r="BH104" s="42"/>
      <c r="BI104" s="62" t="s">
        <v>150</v>
      </c>
      <c r="BJ104" s="158"/>
      <c r="BK104" s="62" t="s">
        <v>150</v>
      </c>
      <c r="BL104" s="42">
        <f>IFERROR(__xludf.DUMMYFUNCTION("BM104*GoogleFinance(""CURRENCY:GBPUSD"")"),976.70328)</f>
        <v>976.70328</v>
      </c>
      <c r="BM104" s="24">
        <f t="shared" si="20"/>
        <v>784</v>
      </c>
      <c r="BN104" s="13">
        <v>121.0</v>
      </c>
      <c r="BO104" s="13">
        <v>126.0</v>
      </c>
      <c r="BP104" s="13">
        <v>244.0</v>
      </c>
      <c r="BQ104" s="13">
        <v>177.0</v>
      </c>
      <c r="BR104" s="13">
        <v>116.0</v>
      </c>
      <c r="BS104" s="13">
        <v>200.0</v>
      </c>
      <c r="BT104" s="50"/>
      <c r="BU104" s="53"/>
      <c r="BV104" s="53"/>
      <c r="BW104" s="50"/>
      <c r="BX104" s="50"/>
      <c r="BY104" s="50"/>
      <c r="BZ104" s="50"/>
      <c r="CA104" s="50"/>
    </row>
    <row r="105">
      <c r="A105" s="13" t="s">
        <v>376</v>
      </c>
      <c r="B105" s="27"/>
      <c r="C105" s="13" t="s">
        <v>53</v>
      </c>
      <c r="D105" s="27"/>
      <c r="E105" s="17"/>
      <c r="F105" s="13">
        <v>136.0</v>
      </c>
      <c r="G105" s="50"/>
      <c r="H105" s="26" t="s">
        <v>150</v>
      </c>
      <c r="I105" s="18"/>
      <c r="J105" s="27"/>
      <c r="K105" s="13" t="s">
        <v>150</v>
      </c>
      <c r="L105" s="236"/>
      <c r="M105" s="67" t="s">
        <v>150</v>
      </c>
      <c r="N105" s="18"/>
      <c r="O105" s="13">
        <v>0.0</v>
      </c>
      <c r="P105" s="236"/>
      <c r="Q105" s="26">
        <v>370.0</v>
      </c>
      <c r="R105" s="18"/>
      <c r="S105" s="48"/>
      <c r="T105" s="18"/>
      <c r="U105" s="13" t="s">
        <v>182</v>
      </c>
      <c r="V105" s="18"/>
      <c r="W105" s="13" t="s">
        <v>182</v>
      </c>
      <c r="X105" s="18"/>
      <c r="Y105" s="27"/>
      <c r="Z105" s="50"/>
      <c r="AA105" s="50"/>
      <c r="AB105" s="50"/>
      <c r="AC105" s="50"/>
      <c r="AD105" s="50"/>
      <c r="AE105" s="27"/>
      <c r="AF105" s="13" t="s">
        <v>166</v>
      </c>
      <c r="AG105" s="16">
        <f>AH105*0.45359237</f>
        <v>28.34952313</v>
      </c>
      <c r="AH105" s="108">
        <f>average(45,80)</f>
        <v>62.5</v>
      </c>
      <c r="AI105" s="16">
        <f t="shared" si="69"/>
        <v>60.96</v>
      </c>
      <c r="AJ105" s="108">
        <f>average(21,27)</f>
        <v>24</v>
      </c>
      <c r="AK105" s="27"/>
      <c r="AL105" s="50"/>
      <c r="AM105" s="50"/>
      <c r="AN105" s="50"/>
      <c r="AO105" s="13" t="s">
        <v>150</v>
      </c>
      <c r="AP105" s="13" t="s">
        <v>150</v>
      </c>
      <c r="AQ105" s="13" t="s">
        <v>150</v>
      </c>
      <c r="AR105" s="13" t="s">
        <v>182</v>
      </c>
      <c r="AS105" s="13" t="s">
        <v>145</v>
      </c>
      <c r="AT105" s="13" t="s">
        <v>145</v>
      </c>
      <c r="AU105" s="50"/>
      <c r="AV105" s="50"/>
      <c r="AW105" s="50"/>
      <c r="AX105" s="62" t="s">
        <v>150</v>
      </c>
      <c r="AY105" s="50"/>
      <c r="AZ105" s="42">
        <f>average(350,300,500,200,300,500,400,250,500,400)</f>
        <v>370</v>
      </c>
      <c r="BA105" s="13" t="s">
        <v>146</v>
      </c>
      <c r="BB105" s="13">
        <v>200.0</v>
      </c>
      <c r="BC105" s="13">
        <v>500.0</v>
      </c>
      <c r="BD105" s="62" t="s">
        <v>150</v>
      </c>
      <c r="BE105" s="62" t="s">
        <v>150</v>
      </c>
      <c r="BF105" s="62" t="s">
        <v>150</v>
      </c>
      <c r="BG105" s="62" t="s">
        <v>150</v>
      </c>
      <c r="BH105" s="42"/>
      <c r="BI105" s="62" t="s">
        <v>150</v>
      </c>
      <c r="BJ105" s="158"/>
      <c r="BK105" s="62" t="s">
        <v>150</v>
      </c>
      <c r="BL105" s="42">
        <f>IFERROR(__xludf.DUMMYFUNCTION("BM105*GoogleFinance(""CURRENCY:GBPUSD"")"),976.70328)</f>
        <v>976.70328</v>
      </c>
      <c r="BM105" s="24">
        <f t="shared" si="20"/>
        <v>784</v>
      </c>
      <c r="BN105" s="13">
        <v>121.0</v>
      </c>
      <c r="BO105" s="13">
        <v>126.0</v>
      </c>
      <c r="BP105" s="13">
        <v>244.0</v>
      </c>
      <c r="BQ105" s="13">
        <v>177.0</v>
      </c>
      <c r="BR105" s="13">
        <v>116.0</v>
      </c>
      <c r="BS105" s="13">
        <v>200.0</v>
      </c>
      <c r="BT105" s="50"/>
      <c r="BU105" s="53"/>
      <c r="BV105" s="53"/>
      <c r="BW105" s="50"/>
      <c r="BX105" s="50"/>
      <c r="BY105" s="50"/>
      <c r="BZ105" s="50"/>
      <c r="CA105" s="50"/>
    </row>
    <row r="106">
      <c r="A106" s="13" t="s">
        <v>420</v>
      </c>
      <c r="B106" s="27"/>
      <c r="C106" s="13" t="s">
        <v>27</v>
      </c>
      <c r="D106" s="27"/>
      <c r="E106" s="17"/>
      <c r="F106" s="13">
        <v>138.0</v>
      </c>
      <c r="G106" s="50"/>
      <c r="H106" s="26" t="s">
        <v>150</v>
      </c>
      <c r="I106" s="18"/>
      <c r="J106" s="27"/>
      <c r="K106" s="13" t="s">
        <v>150</v>
      </c>
      <c r="L106" s="236"/>
      <c r="M106" s="67" t="s">
        <v>150</v>
      </c>
      <c r="N106" s="18"/>
      <c r="O106" s="13" t="s">
        <v>150</v>
      </c>
      <c r="P106" s="236"/>
      <c r="Q106" s="26">
        <v>531.25</v>
      </c>
      <c r="R106" s="18"/>
      <c r="S106" s="48"/>
      <c r="T106" s="18"/>
      <c r="U106" s="13" t="s">
        <v>182</v>
      </c>
      <c r="V106" s="18"/>
      <c r="W106" s="13" t="s">
        <v>182</v>
      </c>
      <c r="X106" s="18"/>
      <c r="Y106" s="27"/>
      <c r="Z106" s="50"/>
      <c r="AA106" s="50"/>
      <c r="AB106" s="50"/>
      <c r="AC106" s="50"/>
      <c r="AD106" s="50"/>
      <c r="AE106" s="27"/>
      <c r="AF106" s="13" t="s">
        <v>148</v>
      </c>
      <c r="AG106" s="115" t="s">
        <v>150</v>
      </c>
      <c r="AH106" s="107" t="s">
        <v>150</v>
      </c>
      <c r="AI106" s="16">
        <f t="shared" si="69"/>
        <v>40.64</v>
      </c>
      <c r="AJ106" s="108">
        <f>average(14,18)</f>
        <v>16</v>
      </c>
      <c r="AK106" s="27"/>
      <c r="AL106" s="50"/>
      <c r="AM106" s="50"/>
      <c r="AN106" s="50"/>
      <c r="AO106" s="13" t="s">
        <v>150</v>
      </c>
      <c r="AP106" s="13" t="s">
        <v>150</v>
      </c>
      <c r="AQ106" s="13" t="s">
        <v>150</v>
      </c>
      <c r="AR106" s="13" t="s">
        <v>182</v>
      </c>
      <c r="AS106" s="13" t="s">
        <v>150</v>
      </c>
      <c r="AT106" s="13" t="s">
        <v>150</v>
      </c>
      <c r="AU106" s="50"/>
      <c r="AV106" s="50"/>
      <c r="AW106" s="50"/>
      <c r="AX106" s="62" t="s">
        <v>150</v>
      </c>
      <c r="AY106" s="50"/>
      <c r="AZ106" s="42">
        <f>average(500,200,800,600,500,650,500,500)</f>
        <v>531.25</v>
      </c>
      <c r="BA106" s="13" t="s">
        <v>146</v>
      </c>
      <c r="BB106" s="13">
        <v>200.0</v>
      </c>
      <c r="BC106" s="13">
        <v>800.0</v>
      </c>
      <c r="BD106" s="62" t="s">
        <v>150</v>
      </c>
      <c r="BE106" s="62" t="s">
        <v>150</v>
      </c>
      <c r="BF106" s="62" t="s">
        <v>150</v>
      </c>
      <c r="BG106" s="62" t="s">
        <v>150</v>
      </c>
      <c r="BH106" s="42"/>
      <c r="BI106" s="62" t="s">
        <v>150</v>
      </c>
      <c r="BJ106" s="158"/>
      <c r="BK106" s="62" t="s">
        <v>150</v>
      </c>
      <c r="BL106" s="42">
        <f>IFERROR(__xludf.DUMMYFUNCTION("BM106*GoogleFinance(""CURRENCY:GBPUSD"")"),976.70328)</f>
        <v>976.70328</v>
      </c>
      <c r="BM106" s="24">
        <f t="shared" si="20"/>
        <v>784</v>
      </c>
      <c r="BN106" s="13">
        <v>121.0</v>
      </c>
      <c r="BO106" s="13">
        <v>126.0</v>
      </c>
      <c r="BP106" s="13">
        <v>244.0</v>
      </c>
      <c r="BQ106" s="13">
        <v>177.0</v>
      </c>
      <c r="BR106" s="13">
        <v>116.0</v>
      </c>
      <c r="BS106" s="13">
        <v>200.0</v>
      </c>
      <c r="BT106" s="50"/>
      <c r="BU106" s="53"/>
      <c r="BV106" s="53"/>
      <c r="BW106" s="50"/>
      <c r="BX106" s="50"/>
      <c r="BY106" s="50"/>
      <c r="BZ106" s="50"/>
      <c r="CA106" s="50"/>
    </row>
    <row r="107">
      <c r="A107" s="13" t="s">
        <v>479</v>
      </c>
      <c r="B107" s="27"/>
      <c r="C107" s="13" t="s">
        <v>32</v>
      </c>
      <c r="D107" s="27"/>
      <c r="E107" s="17"/>
      <c r="F107" s="13">
        <v>168.0</v>
      </c>
      <c r="G107" s="50"/>
      <c r="H107" s="26" t="s">
        <v>150</v>
      </c>
      <c r="I107" s="18"/>
      <c r="J107" s="27"/>
      <c r="K107" s="13" t="s">
        <v>150</v>
      </c>
      <c r="L107" s="236"/>
      <c r="M107" s="67">
        <v>14.67</v>
      </c>
      <c r="N107" s="18"/>
      <c r="O107" s="13">
        <v>0.0</v>
      </c>
      <c r="P107" s="236"/>
      <c r="Q107" s="26" t="s">
        <v>150</v>
      </c>
      <c r="R107" s="18"/>
      <c r="S107" s="48"/>
      <c r="T107" s="18"/>
      <c r="U107" s="13">
        <v>2.0</v>
      </c>
      <c r="V107" s="18"/>
      <c r="W107" s="13">
        <v>1.0</v>
      </c>
      <c r="X107" s="18"/>
      <c r="Y107" s="27"/>
      <c r="Z107" s="50"/>
      <c r="AA107" s="50"/>
      <c r="AB107" s="50"/>
      <c r="AC107" s="50"/>
      <c r="AD107" s="50"/>
      <c r="AE107" s="27"/>
      <c r="AF107" s="13" t="s">
        <v>148</v>
      </c>
      <c r="AG107" s="16">
        <f>AH107*0.45359237</f>
        <v>20.41165665</v>
      </c>
      <c r="AH107" s="108">
        <f>average(35,55)</f>
        <v>45</v>
      </c>
      <c r="AI107" s="16">
        <f t="shared" si="69"/>
        <v>54.61</v>
      </c>
      <c r="AJ107" s="108">
        <f>average(19,24)</f>
        <v>21.5</v>
      </c>
      <c r="AK107" s="27"/>
      <c r="AL107" s="50"/>
      <c r="AM107" s="50"/>
      <c r="AN107" s="50"/>
      <c r="AO107" s="13" t="s">
        <v>150</v>
      </c>
      <c r="AP107" s="13" t="s">
        <v>150</v>
      </c>
      <c r="AQ107" s="13" t="s">
        <v>150</v>
      </c>
      <c r="AR107" s="13">
        <v>2.0</v>
      </c>
      <c r="AS107" s="13" t="s">
        <v>145</v>
      </c>
      <c r="AT107" s="13" t="s">
        <v>145</v>
      </c>
      <c r="AU107" s="50"/>
      <c r="AV107" s="50"/>
      <c r="AW107" s="50"/>
      <c r="AX107" s="62" t="s">
        <v>150</v>
      </c>
      <c r="AY107" s="50"/>
      <c r="AZ107" s="62" t="s">
        <v>150</v>
      </c>
      <c r="BA107" s="62" t="s">
        <v>150</v>
      </c>
      <c r="BB107" s="62" t="s">
        <v>150</v>
      </c>
      <c r="BC107" s="62" t="s">
        <v>150</v>
      </c>
      <c r="BD107" s="24">
        <f>average(BE107,BF107)</f>
        <v>5.75</v>
      </c>
      <c r="BE107" s="13">
        <v>4.0</v>
      </c>
      <c r="BF107" s="13">
        <v>7.5</v>
      </c>
      <c r="BG107" s="35">
        <f>IFERROR(__xludf.DUMMYFUNCTION("BD107*GoogleFinance(""CURRENCY:GBPUSD"")"),7.16332125)</f>
        <v>7.16332125</v>
      </c>
      <c r="BH107" s="50"/>
      <c r="BI107" s="42">
        <f>BG107*52.1775*M107</f>
        <v>5483.120734</v>
      </c>
      <c r="BJ107" s="158"/>
      <c r="BK107" s="42">
        <f>BL107*M107</f>
        <v>14328.23712</v>
      </c>
      <c r="BL107" s="42">
        <f>IFERROR(__xludf.DUMMYFUNCTION("BM107*GoogleFinance(""CURRENCY:GBPUSD"")"),976.70328)</f>
        <v>976.70328</v>
      </c>
      <c r="BM107" s="24">
        <f t="shared" si="20"/>
        <v>784</v>
      </c>
      <c r="BN107" s="13">
        <v>121.0</v>
      </c>
      <c r="BO107" s="13">
        <v>126.0</v>
      </c>
      <c r="BP107" s="13">
        <v>244.0</v>
      </c>
      <c r="BQ107" s="13">
        <v>177.0</v>
      </c>
      <c r="BR107" s="13">
        <v>116.0</v>
      </c>
      <c r="BS107" s="13">
        <v>200.0</v>
      </c>
      <c r="BT107" s="50"/>
      <c r="BU107" s="53"/>
      <c r="BV107" s="53"/>
      <c r="BW107" s="50"/>
      <c r="BX107" s="50"/>
      <c r="BY107" s="50"/>
      <c r="BZ107" s="50"/>
      <c r="CA107" s="50"/>
    </row>
    <row r="108">
      <c r="A108" s="13" t="s">
        <v>484</v>
      </c>
      <c r="B108" s="27"/>
      <c r="C108" s="13" t="s">
        <v>38</v>
      </c>
      <c r="D108" s="27"/>
      <c r="E108" s="17"/>
      <c r="F108" s="13">
        <v>67.0</v>
      </c>
      <c r="G108" s="50"/>
      <c r="H108" s="26" t="s">
        <v>150</v>
      </c>
      <c r="I108" s="18"/>
      <c r="J108" s="27"/>
      <c r="K108" s="13" t="s">
        <v>150</v>
      </c>
      <c r="L108" s="236"/>
      <c r="M108" s="13" t="s">
        <v>150</v>
      </c>
      <c r="N108" s="18"/>
      <c r="O108" s="13" t="s">
        <v>150</v>
      </c>
      <c r="P108" s="236"/>
      <c r="Q108" s="26">
        <v>1070.0</v>
      </c>
      <c r="R108" s="18"/>
      <c r="S108" s="48"/>
      <c r="T108" s="18"/>
      <c r="U108" s="13" t="s">
        <v>182</v>
      </c>
      <c r="V108" s="18"/>
      <c r="W108" s="13" t="s">
        <v>182</v>
      </c>
      <c r="X108" s="18"/>
      <c r="Y108" s="27"/>
      <c r="Z108" s="50"/>
      <c r="AA108" s="50"/>
      <c r="AB108" s="50"/>
      <c r="AC108" s="50"/>
      <c r="AD108" s="50"/>
      <c r="AE108" s="27"/>
      <c r="AF108" s="13" t="s">
        <v>166</v>
      </c>
      <c r="AG108" s="107" t="s">
        <v>150</v>
      </c>
      <c r="AH108" s="107" t="s">
        <v>150</v>
      </c>
      <c r="AI108" s="16">
        <f t="shared" si="69"/>
        <v>63.5</v>
      </c>
      <c r="AJ108" s="108">
        <f>average(23,27)</f>
        <v>25</v>
      </c>
      <c r="AK108" s="27"/>
      <c r="AL108" s="50"/>
      <c r="AM108" s="50"/>
      <c r="AN108" s="50"/>
      <c r="AO108" s="13" t="s">
        <v>150</v>
      </c>
      <c r="AP108" s="13" t="s">
        <v>150</v>
      </c>
      <c r="AQ108" s="13" t="s">
        <v>150</v>
      </c>
      <c r="AR108" s="13" t="s">
        <v>182</v>
      </c>
      <c r="AS108" s="13" t="s">
        <v>150</v>
      </c>
      <c r="AT108" s="13" t="s">
        <v>150</v>
      </c>
      <c r="AU108" s="50"/>
      <c r="AV108" s="50"/>
      <c r="AW108" s="50"/>
      <c r="AX108" s="62" t="s">
        <v>150</v>
      </c>
      <c r="AY108" s="50"/>
      <c r="AZ108" s="42">
        <f>average(1300,1000,500,1500,1000,1000,1500,1000,900,1000)</f>
        <v>1070</v>
      </c>
      <c r="BA108" s="13" t="s">
        <v>160</v>
      </c>
      <c r="BB108" s="13">
        <v>900.0</v>
      </c>
      <c r="BC108" s="13">
        <v>1500.0</v>
      </c>
      <c r="BD108" s="62" t="s">
        <v>150</v>
      </c>
      <c r="BE108" s="62" t="s">
        <v>150</v>
      </c>
      <c r="BF108" s="62" t="s">
        <v>150</v>
      </c>
      <c r="BG108" s="62" t="s">
        <v>150</v>
      </c>
      <c r="BH108" s="42"/>
      <c r="BI108" s="62" t="s">
        <v>150</v>
      </c>
      <c r="BJ108" s="158"/>
      <c r="BK108" s="62" t="s">
        <v>150</v>
      </c>
      <c r="BL108" s="42">
        <f>IFERROR(__xludf.DUMMYFUNCTION("BM108*GoogleFinance(""CURRENCY:GBPUSD"")"),976.70328)</f>
        <v>976.70328</v>
      </c>
      <c r="BM108" s="24">
        <f t="shared" si="20"/>
        <v>784</v>
      </c>
      <c r="BN108" s="13">
        <v>121.0</v>
      </c>
      <c r="BO108" s="13">
        <v>126.0</v>
      </c>
      <c r="BP108" s="13">
        <v>244.0</v>
      </c>
      <c r="BQ108" s="13">
        <v>177.0</v>
      </c>
      <c r="BR108" s="13">
        <v>116.0</v>
      </c>
      <c r="BS108" s="13">
        <v>200.0</v>
      </c>
      <c r="BT108" s="50"/>
      <c r="BU108" s="53"/>
      <c r="BV108" s="53"/>
      <c r="BW108" s="50"/>
      <c r="BX108" s="50"/>
      <c r="BY108" s="50"/>
      <c r="BZ108" s="50"/>
      <c r="CA108" s="50"/>
    </row>
    <row r="109">
      <c r="A109" s="13" t="s">
        <v>487</v>
      </c>
      <c r="B109" s="27"/>
      <c r="C109" s="13" t="s">
        <v>32</v>
      </c>
      <c r="D109" s="27"/>
      <c r="E109" s="17"/>
      <c r="F109" s="13">
        <v>81.0</v>
      </c>
      <c r="G109" s="50"/>
      <c r="H109" s="26" t="s">
        <v>150</v>
      </c>
      <c r="I109" s="18"/>
      <c r="J109" s="27"/>
      <c r="K109" s="13">
        <v>26.0</v>
      </c>
      <c r="L109" s="236"/>
      <c r="M109" s="67">
        <v>12.7</v>
      </c>
      <c r="N109" s="18"/>
      <c r="O109" s="13">
        <v>0.0</v>
      </c>
      <c r="P109" s="236"/>
      <c r="Q109" s="26">
        <v>828.0</v>
      </c>
      <c r="R109" s="18"/>
      <c r="S109" s="48"/>
      <c r="T109" s="18"/>
      <c r="U109" s="13" t="s">
        <v>182</v>
      </c>
      <c r="V109" s="18"/>
      <c r="W109" s="13" t="s">
        <v>182</v>
      </c>
      <c r="X109" s="18"/>
      <c r="Y109" s="27"/>
      <c r="Z109" s="50"/>
      <c r="AA109" s="50"/>
      <c r="AB109" s="50"/>
      <c r="AC109" s="50"/>
      <c r="AD109" s="50"/>
      <c r="AE109" s="27"/>
      <c r="AF109" s="13" t="s">
        <v>149</v>
      </c>
      <c r="AG109" s="16">
        <f t="shared" ref="AG109:AG110" si="75">AH109*0.45359237</f>
        <v>14.28815966</v>
      </c>
      <c r="AH109" s="108">
        <f>average(25,38)</f>
        <v>31.5</v>
      </c>
      <c r="AI109" s="16">
        <f t="shared" si="69"/>
        <v>29.21</v>
      </c>
      <c r="AJ109" s="108">
        <f>average(10.5,12.5)</f>
        <v>11.5</v>
      </c>
      <c r="AK109" s="27"/>
      <c r="AL109" s="50"/>
      <c r="AM109" s="50"/>
      <c r="AN109" s="50"/>
      <c r="AO109" s="13" t="s">
        <v>267</v>
      </c>
      <c r="AP109" s="159" t="s">
        <v>268</v>
      </c>
      <c r="AQ109" s="13" t="s">
        <v>269</v>
      </c>
      <c r="AR109" s="13">
        <v>53.0</v>
      </c>
      <c r="AS109" s="13" t="s">
        <v>145</v>
      </c>
      <c r="AT109" s="13" t="s">
        <v>145</v>
      </c>
      <c r="AU109" s="50"/>
      <c r="AV109" s="50"/>
      <c r="AW109" s="50"/>
      <c r="AX109" s="62" t="s">
        <v>150</v>
      </c>
      <c r="AY109" s="50"/>
      <c r="AZ109" s="42">
        <f>average(1085,395,900,700,800,1000,950,850,800,800)</f>
        <v>828</v>
      </c>
      <c r="BA109" s="13" t="s">
        <v>160</v>
      </c>
      <c r="BB109" s="13">
        <v>395.0</v>
      </c>
      <c r="BC109" s="13">
        <v>1085.0</v>
      </c>
      <c r="BD109" s="62" t="s">
        <v>150</v>
      </c>
      <c r="BE109" s="62" t="s">
        <v>150</v>
      </c>
      <c r="BF109" s="62" t="s">
        <v>150</v>
      </c>
      <c r="BG109" s="62" t="s">
        <v>150</v>
      </c>
      <c r="BH109" s="42"/>
      <c r="BI109" s="62" t="s">
        <v>150</v>
      </c>
      <c r="BJ109" s="158"/>
      <c r="BK109" s="42">
        <f t="shared" ref="BK109:BK111" si="76">BL109*M109</f>
        <v>12404.13166</v>
      </c>
      <c r="BL109" s="42">
        <f>IFERROR(__xludf.DUMMYFUNCTION("BM109*GoogleFinance(""CURRENCY:GBPUSD"")"),976.70328)</f>
        <v>976.70328</v>
      </c>
      <c r="BM109" s="24">
        <f t="shared" si="20"/>
        <v>784</v>
      </c>
      <c r="BN109" s="13">
        <v>121.0</v>
      </c>
      <c r="BO109" s="13">
        <v>126.0</v>
      </c>
      <c r="BP109" s="13">
        <v>244.0</v>
      </c>
      <c r="BQ109" s="13">
        <v>177.0</v>
      </c>
      <c r="BR109" s="13">
        <v>116.0</v>
      </c>
      <c r="BS109" s="13">
        <v>200.0</v>
      </c>
      <c r="BT109" s="50"/>
      <c r="BU109" s="53"/>
      <c r="BV109" s="53"/>
      <c r="BW109" s="50"/>
      <c r="BX109" s="50"/>
      <c r="BY109" s="50"/>
      <c r="BZ109" s="50"/>
      <c r="CA109" s="50"/>
    </row>
    <row r="110">
      <c r="A110" s="13" t="s">
        <v>494</v>
      </c>
      <c r="B110" s="27"/>
      <c r="C110" s="13" t="s">
        <v>23</v>
      </c>
      <c r="D110" s="27"/>
      <c r="E110" s="17"/>
      <c r="F110" s="13">
        <v>106.0</v>
      </c>
      <c r="G110" s="50"/>
      <c r="H110" s="26" t="s">
        <v>150</v>
      </c>
      <c r="I110" s="18"/>
      <c r="J110" s="27"/>
      <c r="K110" s="13" t="s">
        <v>150</v>
      </c>
      <c r="L110" s="236"/>
      <c r="M110" s="67">
        <v>8.42</v>
      </c>
      <c r="N110" s="18"/>
      <c r="O110" s="13" t="s">
        <v>150</v>
      </c>
      <c r="P110" s="236"/>
      <c r="Q110" s="26" t="s">
        <v>150</v>
      </c>
      <c r="R110" s="18"/>
      <c r="S110" s="48"/>
      <c r="T110" s="18"/>
      <c r="U110" s="13">
        <v>2.0</v>
      </c>
      <c r="V110" s="18"/>
      <c r="W110" s="13">
        <v>1.0</v>
      </c>
      <c r="X110" s="18"/>
      <c r="Y110" s="27"/>
      <c r="Z110" s="50"/>
      <c r="AA110" s="50"/>
      <c r="AB110" s="50"/>
      <c r="AC110" s="50"/>
      <c r="AD110" s="50"/>
      <c r="AE110" s="27"/>
      <c r="AF110" s="13" t="s">
        <v>149</v>
      </c>
      <c r="AG110" s="16">
        <f t="shared" si="75"/>
        <v>8.61825503</v>
      </c>
      <c r="AH110" s="108">
        <f>average(16,22)</f>
        <v>19</v>
      </c>
      <c r="AI110" s="16">
        <f t="shared" si="69"/>
        <v>29.21</v>
      </c>
      <c r="AJ110" s="108">
        <f>average(10,13)</f>
        <v>11.5</v>
      </c>
      <c r="AK110" s="27"/>
      <c r="AL110" s="50"/>
      <c r="AM110" s="50"/>
      <c r="AN110" s="50"/>
      <c r="AO110" s="13" t="s">
        <v>150</v>
      </c>
      <c r="AP110" s="13" t="s">
        <v>150</v>
      </c>
      <c r="AQ110" s="13" t="s">
        <v>150</v>
      </c>
      <c r="AR110" s="13">
        <v>9.0</v>
      </c>
      <c r="AS110" s="13" t="s">
        <v>150</v>
      </c>
      <c r="AT110" s="13" t="s">
        <v>150</v>
      </c>
      <c r="AU110" s="50"/>
      <c r="AV110" s="50"/>
      <c r="AW110" s="50"/>
      <c r="AX110" s="62" t="s">
        <v>150</v>
      </c>
      <c r="AY110" s="50"/>
      <c r="AZ110" s="62" t="s">
        <v>150</v>
      </c>
      <c r="BA110" s="62" t="s">
        <v>150</v>
      </c>
      <c r="BB110" s="13" t="s">
        <v>150</v>
      </c>
      <c r="BC110" s="13" t="s">
        <v>150</v>
      </c>
      <c r="BD110" s="24">
        <f>average(BE110,BF110)</f>
        <v>5.75</v>
      </c>
      <c r="BE110" s="13">
        <v>4.0</v>
      </c>
      <c r="BF110" s="13">
        <v>7.5</v>
      </c>
      <c r="BG110" s="35">
        <f>IFERROR(__xludf.DUMMYFUNCTION("BD110*GoogleFinance(""CURRENCY:GBPUSD"")"),7.16332125)</f>
        <v>7.16332125</v>
      </c>
      <c r="BH110" s="50"/>
      <c r="BI110" s="42">
        <f>BG110*52.1775*M110</f>
        <v>3147.094518</v>
      </c>
      <c r="BJ110" s="158"/>
      <c r="BK110" s="42">
        <f t="shared" si="76"/>
        <v>8223.841618</v>
      </c>
      <c r="BL110" s="42">
        <f>IFERROR(__xludf.DUMMYFUNCTION("BM110*GoogleFinance(""CURRENCY:GBPUSD"")"),976.70328)</f>
        <v>976.70328</v>
      </c>
      <c r="BM110" s="24">
        <f t="shared" si="20"/>
        <v>784</v>
      </c>
      <c r="BN110" s="13">
        <v>121.0</v>
      </c>
      <c r="BO110" s="13">
        <v>126.0</v>
      </c>
      <c r="BP110" s="13">
        <v>244.0</v>
      </c>
      <c r="BQ110" s="13">
        <v>177.0</v>
      </c>
      <c r="BR110" s="13">
        <v>116.0</v>
      </c>
      <c r="BS110" s="13">
        <v>200.0</v>
      </c>
      <c r="BT110" s="50"/>
      <c r="BU110" s="53"/>
      <c r="BV110" s="53"/>
      <c r="BW110" s="50"/>
      <c r="BX110" s="50"/>
      <c r="BY110" s="50"/>
      <c r="BZ110" s="50"/>
      <c r="CA110" s="50"/>
    </row>
    <row r="111">
      <c r="A111" s="13" t="s">
        <v>517</v>
      </c>
      <c r="B111" s="27"/>
      <c r="C111" s="13" t="s">
        <v>43</v>
      </c>
      <c r="D111" s="27"/>
      <c r="E111" s="17"/>
      <c r="F111" s="13">
        <v>61.0</v>
      </c>
      <c r="G111" s="50"/>
      <c r="H111" s="26" t="s">
        <v>150</v>
      </c>
      <c r="I111" s="18"/>
      <c r="J111" s="27"/>
      <c r="K111" s="13">
        <v>61.0</v>
      </c>
      <c r="L111" s="236"/>
      <c r="M111" s="67">
        <v>10.08</v>
      </c>
      <c r="N111" s="18"/>
      <c r="O111" s="13" t="s">
        <v>150</v>
      </c>
      <c r="P111" s="236"/>
      <c r="Q111" s="26">
        <v>537.5</v>
      </c>
      <c r="R111" s="18"/>
      <c r="S111" s="48"/>
      <c r="T111" s="18"/>
      <c r="U111" s="13" t="s">
        <v>182</v>
      </c>
      <c r="V111" s="18"/>
      <c r="W111" s="13" t="s">
        <v>182</v>
      </c>
      <c r="X111" s="18"/>
      <c r="Y111" s="27"/>
      <c r="Z111" s="50"/>
      <c r="AA111" s="50"/>
      <c r="AB111" s="50"/>
      <c r="AC111" s="50"/>
      <c r="AD111" s="50"/>
      <c r="AE111" s="27"/>
      <c r="AF111" s="13" t="s">
        <v>149</v>
      </c>
      <c r="AG111" s="115" t="s">
        <v>150</v>
      </c>
      <c r="AH111" s="107" t="s">
        <v>150</v>
      </c>
      <c r="AI111" s="16">
        <f t="shared" si="69"/>
        <v>30.48</v>
      </c>
      <c r="AJ111" s="108">
        <f>average(11,13)</f>
        <v>12</v>
      </c>
      <c r="AK111" s="27"/>
      <c r="AL111" s="50"/>
      <c r="AM111" s="50"/>
      <c r="AN111" s="50"/>
      <c r="AO111" s="13" t="s">
        <v>400</v>
      </c>
      <c r="AP111" s="13" t="s">
        <v>401</v>
      </c>
      <c r="AQ111" s="13" t="s">
        <v>402</v>
      </c>
      <c r="AR111" s="13">
        <v>829.0</v>
      </c>
      <c r="AS111" s="13" t="s">
        <v>150</v>
      </c>
      <c r="AT111" s="13" t="s">
        <v>150</v>
      </c>
      <c r="AU111" s="50"/>
      <c r="AV111" s="50"/>
      <c r="AW111" s="50"/>
      <c r="AX111" s="62" t="s">
        <v>150</v>
      </c>
      <c r="AY111" s="50"/>
      <c r="AZ111" s="42">
        <f>average(500,500,500,1300,400,1000,125,500,200,350)</f>
        <v>537.5</v>
      </c>
      <c r="BA111" s="13" t="s">
        <v>146</v>
      </c>
      <c r="BB111" s="13">
        <v>125.0</v>
      </c>
      <c r="BC111" s="13">
        <v>1300.0</v>
      </c>
      <c r="BD111" s="62" t="s">
        <v>150</v>
      </c>
      <c r="BE111" s="62" t="s">
        <v>150</v>
      </c>
      <c r="BF111" s="62" t="s">
        <v>150</v>
      </c>
      <c r="BG111" s="62" t="s">
        <v>150</v>
      </c>
      <c r="BH111" s="42"/>
      <c r="BI111" s="62" t="s">
        <v>150</v>
      </c>
      <c r="BJ111" s="158"/>
      <c r="BK111" s="42">
        <f t="shared" si="76"/>
        <v>9845.169062</v>
      </c>
      <c r="BL111" s="42">
        <f>IFERROR(__xludf.DUMMYFUNCTION("BM111*GoogleFinance(""CURRENCY:GBPUSD"")"),976.70328)</f>
        <v>976.70328</v>
      </c>
      <c r="BM111" s="24">
        <f t="shared" si="20"/>
        <v>784</v>
      </c>
      <c r="BN111" s="13">
        <v>121.0</v>
      </c>
      <c r="BO111" s="13">
        <v>126.0</v>
      </c>
      <c r="BP111" s="13">
        <v>244.0</v>
      </c>
      <c r="BQ111" s="13">
        <v>177.0</v>
      </c>
      <c r="BR111" s="13">
        <v>116.0</v>
      </c>
      <c r="BS111" s="13">
        <v>200.0</v>
      </c>
      <c r="BT111" s="50"/>
      <c r="BU111" s="53"/>
      <c r="BV111" s="53"/>
      <c r="BW111" s="50"/>
      <c r="BX111" s="50"/>
      <c r="BY111" s="50"/>
      <c r="BZ111" s="50"/>
      <c r="CA111" s="50"/>
    </row>
    <row r="112">
      <c r="A112" s="13" t="s">
        <v>522</v>
      </c>
      <c r="B112" s="27"/>
      <c r="C112" s="13" t="s">
        <v>34</v>
      </c>
      <c r="D112" s="27"/>
      <c r="E112" s="17"/>
      <c r="F112" s="13">
        <v>50.0</v>
      </c>
      <c r="G112" s="50"/>
      <c r="H112" s="26" t="s">
        <v>150</v>
      </c>
      <c r="I112" s="18"/>
      <c r="J112" s="27"/>
      <c r="K112" s="13">
        <v>51.0</v>
      </c>
      <c r="L112" s="236"/>
      <c r="M112" s="67" t="s">
        <v>150</v>
      </c>
      <c r="N112" s="18"/>
      <c r="O112" s="13">
        <v>4.0</v>
      </c>
      <c r="P112" s="236"/>
      <c r="Q112" s="26">
        <v>840.0</v>
      </c>
      <c r="R112" s="18"/>
      <c r="S112" s="48"/>
      <c r="T112" s="18"/>
      <c r="U112" s="13" t="s">
        <v>182</v>
      </c>
      <c r="V112" s="18"/>
      <c r="W112" s="13" t="s">
        <v>182</v>
      </c>
      <c r="X112" s="18"/>
      <c r="Y112" s="27"/>
      <c r="Z112" s="50"/>
      <c r="AA112" s="50"/>
      <c r="AB112" s="50"/>
      <c r="AC112" s="50"/>
      <c r="AD112" s="50"/>
      <c r="AE112" s="27"/>
      <c r="AF112" s="13" t="s">
        <v>148</v>
      </c>
      <c r="AG112" s="16">
        <f t="shared" ref="AG112:AG113" si="77">AH112*0.45359237</f>
        <v>23.81359943</v>
      </c>
      <c r="AH112" s="108">
        <f>average(45,60)</f>
        <v>52.5</v>
      </c>
      <c r="AI112" s="16">
        <f t="shared" si="69"/>
        <v>48.26</v>
      </c>
      <c r="AJ112" s="108">
        <f>average(18,20)</f>
        <v>19</v>
      </c>
      <c r="AK112" s="27"/>
      <c r="AL112" s="50"/>
      <c r="AM112" s="50"/>
      <c r="AN112" s="50"/>
      <c r="AO112" s="13" t="s">
        <v>184</v>
      </c>
      <c r="AP112" s="159" t="s">
        <v>185</v>
      </c>
      <c r="AQ112" s="13" t="s">
        <v>187</v>
      </c>
      <c r="AR112" s="13" t="s">
        <v>182</v>
      </c>
      <c r="AS112" s="13" t="s">
        <v>523</v>
      </c>
      <c r="AT112" s="13" t="s">
        <v>524</v>
      </c>
      <c r="AU112" s="50"/>
      <c r="AV112" s="50"/>
      <c r="AW112" s="50"/>
      <c r="AX112" s="62" t="s">
        <v>150</v>
      </c>
      <c r="AY112" s="50"/>
      <c r="AZ112" s="42">
        <f>average(350,500,400,2000,950,1000,400,1000,800,1000)</f>
        <v>840</v>
      </c>
      <c r="BA112" s="13" t="s">
        <v>160</v>
      </c>
      <c r="BB112" s="13">
        <v>350.0</v>
      </c>
      <c r="BC112" s="13">
        <v>2000.0</v>
      </c>
      <c r="BD112" s="62" t="s">
        <v>150</v>
      </c>
      <c r="BE112" s="62" t="s">
        <v>150</v>
      </c>
      <c r="BF112" s="62" t="s">
        <v>150</v>
      </c>
      <c r="BG112" s="62" t="s">
        <v>150</v>
      </c>
      <c r="BH112" s="42"/>
      <c r="BI112" s="62" t="s">
        <v>150</v>
      </c>
      <c r="BJ112" s="158"/>
      <c r="BK112" s="62" t="s">
        <v>150</v>
      </c>
      <c r="BL112" s="42">
        <f>IFERROR(__xludf.DUMMYFUNCTION("BM112*GoogleFinance(""CURRENCY:GBPUSD"")"),976.70328)</f>
        <v>976.70328</v>
      </c>
      <c r="BM112" s="24">
        <f t="shared" si="20"/>
        <v>784</v>
      </c>
      <c r="BN112" s="13">
        <v>121.0</v>
      </c>
      <c r="BO112" s="13">
        <v>126.0</v>
      </c>
      <c r="BP112" s="13">
        <v>244.0</v>
      </c>
      <c r="BQ112" s="13">
        <v>177.0</v>
      </c>
      <c r="BR112" s="13">
        <v>116.0</v>
      </c>
      <c r="BS112" s="13">
        <v>200.0</v>
      </c>
      <c r="BT112" s="50"/>
      <c r="BU112" s="53"/>
      <c r="BV112" s="53"/>
      <c r="BW112" s="50"/>
      <c r="BX112" s="50"/>
      <c r="BY112" s="50"/>
      <c r="BZ112" s="50"/>
      <c r="CA112" s="50"/>
    </row>
    <row r="113">
      <c r="A113" s="13" t="s">
        <v>538</v>
      </c>
      <c r="B113" s="27"/>
      <c r="C113" s="13" t="s">
        <v>32</v>
      </c>
      <c r="D113" s="27"/>
      <c r="E113" s="17"/>
      <c r="F113" s="13">
        <v>36.0</v>
      </c>
      <c r="G113" s="50"/>
      <c r="H113" s="26" t="s">
        <v>150</v>
      </c>
      <c r="I113" s="18"/>
      <c r="J113" s="27"/>
      <c r="K113" s="13">
        <v>16.0</v>
      </c>
      <c r="L113" s="236"/>
      <c r="M113" s="67" t="s">
        <v>150</v>
      </c>
      <c r="N113" s="18"/>
      <c r="O113" s="13">
        <v>2.0</v>
      </c>
      <c r="P113" s="236"/>
      <c r="Q113" s="26">
        <v>650.0</v>
      </c>
      <c r="R113" s="18"/>
      <c r="S113" s="48"/>
      <c r="T113" s="18"/>
      <c r="U113" s="13" t="s">
        <v>182</v>
      </c>
      <c r="V113" s="18"/>
      <c r="W113" s="13" t="s">
        <v>182</v>
      </c>
      <c r="X113" s="18"/>
      <c r="Y113" s="27"/>
      <c r="Z113" s="50"/>
      <c r="AA113" s="50"/>
      <c r="AB113" s="50"/>
      <c r="AC113" s="50"/>
      <c r="AD113" s="50"/>
      <c r="AE113" s="27"/>
      <c r="AF113" s="13" t="s">
        <v>166</v>
      </c>
      <c r="AG113" s="16">
        <f t="shared" si="77"/>
        <v>28.34952313</v>
      </c>
      <c r="AH113" s="108">
        <f>average(50,75)</f>
        <v>62.5</v>
      </c>
      <c r="AI113" s="16">
        <f t="shared" si="69"/>
        <v>60.96</v>
      </c>
      <c r="AJ113" s="108">
        <f>average(22,26)</f>
        <v>24</v>
      </c>
      <c r="AK113" s="27"/>
      <c r="AL113" s="50"/>
      <c r="AM113" s="50"/>
      <c r="AN113" s="50"/>
      <c r="AO113" s="13" t="s">
        <v>267</v>
      </c>
      <c r="AP113" s="159" t="s">
        <v>268</v>
      </c>
      <c r="AQ113" s="13" t="s">
        <v>269</v>
      </c>
      <c r="AR113" s="13" t="s">
        <v>182</v>
      </c>
      <c r="AS113" s="13" t="s">
        <v>539</v>
      </c>
      <c r="AT113" s="13" t="s">
        <v>540</v>
      </c>
      <c r="AU113" s="50"/>
      <c r="AV113" s="50"/>
      <c r="AW113" s="50"/>
      <c r="AX113" s="62" t="s">
        <v>150</v>
      </c>
      <c r="AY113" s="50"/>
      <c r="AZ113" s="42">
        <f>average(600,500,400,850,600,650,950,350,750,850)</f>
        <v>650</v>
      </c>
      <c r="BA113" s="13" t="s">
        <v>146</v>
      </c>
      <c r="BB113" s="13">
        <v>350.0</v>
      </c>
      <c r="BC113" s="13">
        <v>950.0</v>
      </c>
      <c r="BD113" s="62" t="s">
        <v>150</v>
      </c>
      <c r="BE113" s="62" t="s">
        <v>150</v>
      </c>
      <c r="BF113" s="62" t="s">
        <v>150</v>
      </c>
      <c r="BG113" s="62" t="s">
        <v>150</v>
      </c>
      <c r="BH113" s="42"/>
      <c r="BI113" s="62" t="s">
        <v>150</v>
      </c>
      <c r="BJ113" s="158"/>
      <c r="BK113" s="62" t="s">
        <v>150</v>
      </c>
      <c r="BL113" s="42">
        <f>IFERROR(__xludf.DUMMYFUNCTION("BM113*GoogleFinance(""CURRENCY:GBPUSD"")"),976.70328)</f>
        <v>976.70328</v>
      </c>
      <c r="BM113" s="24">
        <f t="shared" si="20"/>
        <v>784</v>
      </c>
      <c r="BN113" s="13">
        <v>121.0</v>
      </c>
      <c r="BO113" s="13">
        <v>126.0</v>
      </c>
      <c r="BP113" s="13">
        <v>244.0</v>
      </c>
      <c r="BQ113" s="13">
        <v>177.0</v>
      </c>
      <c r="BR113" s="13">
        <v>116.0</v>
      </c>
      <c r="BS113" s="13">
        <v>200.0</v>
      </c>
      <c r="BT113" s="50"/>
      <c r="BU113" s="53"/>
      <c r="BV113" s="53"/>
      <c r="BW113" s="50"/>
      <c r="BX113" s="50"/>
      <c r="BY113" s="50"/>
      <c r="BZ113" s="50"/>
      <c r="CA113" s="50"/>
    </row>
    <row r="114">
      <c r="A114" s="13" t="s">
        <v>541</v>
      </c>
      <c r="B114" s="27"/>
      <c r="C114" s="13" t="s">
        <v>27</v>
      </c>
      <c r="D114" s="27"/>
      <c r="E114" s="17"/>
      <c r="F114" s="13">
        <v>154.0</v>
      </c>
      <c r="G114" s="50"/>
      <c r="H114" s="26" t="s">
        <v>150</v>
      </c>
      <c r="I114" s="18"/>
      <c r="J114" s="27"/>
      <c r="K114" s="13">
        <v>41.0</v>
      </c>
      <c r="L114" s="236"/>
      <c r="M114" s="67">
        <v>10.75</v>
      </c>
      <c r="N114" s="18"/>
      <c r="O114" s="13">
        <v>0.0</v>
      </c>
      <c r="P114" s="236"/>
      <c r="Q114" s="26" t="s">
        <v>150</v>
      </c>
      <c r="R114" s="18"/>
      <c r="S114" s="48"/>
      <c r="T114" s="18"/>
      <c r="U114" s="13">
        <v>2.0</v>
      </c>
      <c r="V114" s="18"/>
      <c r="W114" s="13">
        <v>2.0</v>
      </c>
      <c r="X114" s="18"/>
      <c r="Y114" s="27"/>
      <c r="Z114" s="50"/>
      <c r="AA114" s="50"/>
      <c r="AB114" s="50"/>
      <c r="AC114" s="50"/>
      <c r="AD114" s="50"/>
      <c r="AE114" s="27"/>
      <c r="AF114" s="13" t="s">
        <v>166</v>
      </c>
      <c r="AG114" s="107" t="s">
        <v>150</v>
      </c>
      <c r="AH114" s="107" t="s">
        <v>150</v>
      </c>
      <c r="AI114" s="16">
        <f t="shared" si="69"/>
        <v>63.5</v>
      </c>
      <c r="AJ114" s="108">
        <f>average(23,27)</f>
        <v>25</v>
      </c>
      <c r="AK114" s="27"/>
      <c r="AL114" s="50"/>
      <c r="AM114" s="50"/>
      <c r="AN114" s="50"/>
      <c r="AO114" s="13" t="s">
        <v>184</v>
      </c>
      <c r="AP114" s="159" t="s">
        <v>185</v>
      </c>
      <c r="AQ114" s="13" t="s">
        <v>187</v>
      </c>
      <c r="AR114" s="13">
        <v>40.0</v>
      </c>
      <c r="AS114" s="13" t="s">
        <v>145</v>
      </c>
      <c r="AT114" s="13" t="s">
        <v>145</v>
      </c>
      <c r="AU114" s="50"/>
      <c r="AV114" s="50"/>
      <c r="AW114" s="50"/>
      <c r="AX114" s="62" t="s">
        <v>150</v>
      </c>
      <c r="AY114" s="50"/>
      <c r="AZ114" s="62" t="s">
        <v>150</v>
      </c>
      <c r="BA114" s="62" t="s">
        <v>150</v>
      </c>
      <c r="BB114" s="62" t="s">
        <v>150</v>
      </c>
      <c r="BC114" s="62" t="s">
        <v>150</v>
      </c>
      <c r="BD114" s="24">
        <f>average(BE114,BF114)</f>
        <v>8.75</v>
      </c>
      <c r="BE114" s="13">
        <v>7.5</v>
      </c>
      <c r="BF114" s="13">
        <v>10.0</v>
      </c>
      <c r="BG114" s="35">
        <f>IFERROR(__xludf.DUMMYFUNCTION("BD114*GoogleFinance(""CURRENCY:GBPUSD"")"),10.90070625)</f>
        <v>10.90070625</v>
      </c>
      <c r="BH114" s="50"/>
      <c r="BI114" s="42">
        <f>BG114*52.1775*M114</f>
        <v>6114.294704</v>
      </c>
      <c r="BJ114" s="158"/>
      <c r="BK114" s="42">
        <f>BL114*M114</f>
        <v>10499.56026</v>
      </c>
      <c r="BL114" s="42">
        <f>IFERROR(__xludf.DUMMYFUNCTION("BM114*GoogleFinance(""CURRENCY:GBPUSD"")"),976.70328)</f>
        <v>976.70328</v>
      </c>
      <c r="BM114" s="24">
        <f t="shared" si="20"/>
        <v>784</v>
      </c>
      <c r="BN114" s="13">
        <v>121.0</v>
      </c>
      <c r="BO114" s="13">
        <v>126.0</v>
      </c>
      <c r="BP114" s="13">
        <v>244.0</v>
      </c>
      <c r="BQ114" s="13">
        <v>177.0</v>
      </c>
      <c r="BR114" s="13">
        <v>116.0</v>
      </c>
      <c r="BS114" s="13">
        <v>200.0</v>
      </c>
      <c r="BT114" s="50"/>
      <c r="BU114" s="53"/>
      <c r="BV114" s="53"/>
      <c r="BW114" s="50"/>
      <c r="BX114" s="50"/>
      <c r="BY114" s="50"/>
      <c r="BZ114" s="50"/>
      <c r="CA114" s="50"/>
    </row>
    <row r="115">
      <c r="A115" s="13" t="s">
        <v>579</v>
      </c>
      <c r="B115" s="27"/>
      <c r="C115" s="13" t="s">
        <v>53</v>
      </c>
      <c r="D115" s="27"/>
      <c r="E115" s="17"/>
      <c r="F115" s="13">
        <v>171.0</v>
      </c>
      <c r="G115" s="50"/>
      <c r="H115" s="26" t="s">
        <v>150</v>
      </c>
      <c r="I115" s="18"/>
      <c r="J115" s="27"/>
      <c r="K115" s="13">
        <v>46.0</v>
      </c>
      <c r="L115" s="236"/>
      <c r="M115" s="67" t="s">
        <v>150</v>
      </c>
      <c r="N115" s="18"/>
      <c r="O115" s="13">
        <v>0.0</v>
      </c>
      <c r="P115" s="236"/>
      <c r="Q115" s="26" t="s">
        <v>150</v>
      </c>
      <c r="R115" s="18"/>
      <c r="S115" s="48"/>
      <c r="T115" s="18"/>
      <c r="U115" s="13" t="s">
        <v>182</v>
      </c>
      <c r="V115" s="18"/>
      <c r="W115" s="13" t="s">
        <v>182</v>
      </c>
      <c r="X115" s="18"/>
      <c r="Y115" s="27"/>
      <c r="Z115" s="50"/>
      <c r="AA115" s="50"/>
      <c r="AB115" s="50"/>
      <c r="AC115" s="50"/>
      <c r="AD115" s="50"/>
      <c r="AE115" s="27"/>
      <c r="AF115" s="13" t="s">
        <v>166</v>
      </c>
      <c r="AG115" s="107" t="s">
        <v>150</v>
      </c>
      <c r="AH115" s="107" t="s">
        <v>150</v>
      </c>
      <c r="AI115" s="16">
        <f t="shared" si="69"/>
        <v>60.96</v>
      </c>
      <c r="AJ115" s="107">
        <v>24.0</v>
      </c>
      <c r="AK115" s="27"/>
      <c r="AL115" s="50"/>
      <c r="AM115" s="50"/>
      <c r="AN115" s="50"/>
      <c r="AO115" s="13" t="s">
        <v>184</v>
      </c>
      <c r="AP115" s="159" t="s">
        <v>185</v>
      </c>
      <c r="AQ115" s="13" t="s">
        <v>187</v>
      </c>
      <c r="AR115" s="13" t="s">
        <v>182</v>
      </c>
      <c r="AS115" s="13" t="s">
        <v>145</v>
      </c>
      <c r="AT115" s="13" t="s">
        <v>145</v>
      </c>
      <c r="AU115" s="50"/>
      <c r="AV115" s="50"/>
      <c r="AW115" s="50"/>
      <c r="AX115" s="62" t="s">
        <v>150</v>
      </c>
      <c r="AY115" s="50"/>
      <c r="AZ115" s="62" t="s">
        <v>150</v>
      </c>
      <c r="BA115" s="62" t="s">
        <v>150</v>
      </c>
      <c r="BB115" s="13" t="s">
        <v>150</v>
      </c>
      <c r="BC115" s="13" t="s">
        <v>150</v>
      </c>
      <c r="BD115" s="62" t="s">
        <v>150</v>
      </c>
      <c r="BE115" s="62" t="s">
        <v>150</v>
      </c>
      <c r="BF115" s="62" t="s">
        <v>150</v>
      </c>
      <c r="BG115" s="62" t="s">
        <v>150</v>
      </c>
      <c r="BH115" s="42"/>
      <c r="BI115" s="62" t="s">
        <v>150</v>
      </c>
      <c r="BJ115" s="158"/>
      <c r="BK115" s="62" t="s">
        <v>150</v>
      </c>
      <c r="BL115" s="42">
        <f>IFERROR(__xludf.DUMMYFUNCTION("BM115*GoogleFinance(""CURRENCY:GBPUSD"")"),976.70328)</f>
        <v>976.70328</v>
      </c>
      <c r="BM115" s="24">
        <f t="shared" si="20"/>
        <v>784</v>
      </c>
      <c r="BN115" s="13">
        <v>121.0</v>
      </c>
      <c r="BO115" s="13">
        <v>126.0</v>
      </c>
      <c r="BP115" s="13">
        <v>244.0</v>
      </c>
      <c r="BQ115" s="13">
        <v>177.0</v>
      </c>
      <c r="BR115" s="13">
        <v>116.0</v>
      </c>
      <c r="BS115" s="13">
        <v>200.0</v>
      </c>
      <c r="BT115" s="50"/>
      <c r="BU115" s="53"/>
      <c r="BV115" s="53"/>
      <c r="BW115" s="50"/>
      <c r="BX115" s="50"/>
      <c r="BY115" s="50"/>
      <c r="BZ115" s="50"/>
      <c r="CA115" s="50"/>
    </row>
    <row r="116">
      <c r="A116" s="13" t="s">
        <v>589</v>
      </c>
      <c r="B116" s="181"/>
      <c r="C116" s="13" t="s">
        <v>32</v>
      </c>
      <c r="D116" s="27"/>
      <c r="E116" s="17"/>
      <c r="F116" s="13">
        <v>146.0</v>
      </c>
      <c r="G116" s="50"/>
      <c r="H116" s="26" t="s">
        <v>150</v>
      </c>
      <c r="I116" s="18"/>
      <c r="J116" s="27"/>
      <c r="K116" s="13" t="s">
        <v>150</v>
      </c>
      <c r="L116" s="236"/>
      <c r="M116" s="67" t="s">
        <v>150</v>
      </c>
      <c r="N116" s="18"/>
      <c r="O116" s="13" t="s">
        <v>150</v>
      </c>
      <c r="P116" s="236"/>
      <c r="Q116" s="26">
        <v>1166.66666666667</v>
      </c>
      <c r="R116" s="18"/>
      <c r="S116" s="48"/>
      <c r="T116" s="18"/>
      <c r="U116" s="13" t="s">
        <v>182</v>
      </c>
      <c r="V116" s="18"/>
      <c r="W116" s="13" t="s">
        <v>182</v>
      </c>
      <c r="X116" s="18"/>
      <c r="Y116" s="27"/>
      <c r="Z116" s="50"/>
      <c r="AA116" s="50"/>
      <c r="AB116" s="50"/>
      <c r="AC116" s="50"/>
      <c r="AD116" s="50"/>
      <c r="AE116" s="27"/>
      <c r="AF116" s="13" t="s">
        <v>148</v>
      </c>
      <c r="AG116" s="115" t="s">
        <v>150</v>
      </c>
      <c r="AH116" s="107" t="s">
        <v>150</v>
      </c>
      <c r="AI116" s="16">
        <f t="shared" si="69"/>
        <v>46.99</v>
      </c>
      <c r="AJ116" s="108">
        <f>average(16,21)</f>
        <v>18.5</v>
      </c>
      <c r="AK116" s="27"/>
      <c r="AL116" s="13" t="s">
        <v>310</v>
      </c>
      <c r="AM116" s="50"/>
      <c r="AN116" s="50"/>
      <c r="AO116" s="13" t="s">
        <v>150</v>
      </c>
      <c r="AP116" s="13" t="s">
        <v>150</v>
      </c>
      <c r="AQ116" s="13" t="s">
        <v>150</v>
      </c>
      <c r="AR116" s="13" t="s">
        <v>182</v>
      </c>
      <c r="AS116" s="13" t="s">
        <v>150</v>
      </c>
      <c r="AT116" s="13" t="s">
        <v>150</v>
      </c>
      <c r="AU116" s="64"/>
      <c r="AV116" s="50"/>
      <c r="AW116" s="50"/>
      <c r="AX116" s="62" t="s">
        <v>150</v>
      </c>
      <c r="AY116" s="50"/>
      <c r="AZ116" s="42">
        <f>average(1200,1000,1300)</f>
        <v>1166.666667</v>
      </c>
      <c r="BA116" s="13" t="s">
        <v>160</v>
      </c>
      <c r="BB116" s="62">
        <v>1000.0</v>
      </c>
      <c r="BC116" s="62">
        <v>1300.0</v>
      </c>
      <c r="BD116" s="62" t="s">
        <v>150</v>
      </c>
      <c r="BE116" s="62" t="s">
        <v>150</v>
      </c>
      <c r="BF116" s="62" t="s">
        <v>150</v>
      </c>
      <c r="BG116" s="62" t="s">
        <v>150</v>
      </c>
      <c r="BH116" s="42"/>
      <c r="BI116" s="62" t="s">
        <v>150</v>
      </c>
      <c r="BJ116" s="158"/>
      <c r="BK116" s="62" t="s">
        <v>150</v>
      </c>
      <c r="BL116" s="42">
        <f>IFERROR(__xludf.DUMMYFUNCTION("BM116*GoogleFinance(""CURRENCY:GBPUSD"")"),976.70328)</f>
        <v>976.70328</v>
      </c>
      <c r="BM116" s="24">
        <f t="shared" si="20"/>
        <v>784</v>
      </c>
      <c r="BN116" s="13">
        <v>121.0</v>
      </c>
      <c r="BO116" s="13">
        <v>126.0</v>
      </c>
      <c r="BP116" s="13">
        <v>244.0</v>
      </c>
      <c r="BQ116" s="13">
        <v>177.0</v>
      </c>
      <c r="BR116" s="13">
        <v>116.0</v>
      </c>
      <c r="BS116" s="13">
        <v>200.0</v>
      </c>
      <c r="BT116" s="50"/>
      <c r="BU116" s="53"/>
      <c r="BV116" s="53"/>
      <c r="BW116" s="50"/>
      <c r="BX116" s="50"/>
      <c r="BY116" s="50"/>
      <c r="BZ116" s="50"/>
      <c r="CA116" s="50"/>
    </row>
    <row r="117">
      <c r="A117" s="13" t="s">
        <v>591</v>
      </c>
      <c r="B117" s="27"/>
      <c r="C117" s="13" t="s">
        <v>27</v>
      </c>
      <c r="D117" s="27"/>
      <c r="E117" s="17"/>
      <c r="F117" s="13">
        <v>141.0</v>
      </c>
      <c r="G117" s="50"/>
      <c r="H117" s="26" t="s">
        <v>150</v>
      </c>
      <c r="I117" s="18"/>
      <c r="J117" s="27"/>
      <c r="K117" s="13">
        <v>34.0</v>
      </c>
      <c r="L117" s="236"/>
      <c r="M117" s="67">
        <v>9.9</v>
      </c>
      <c r="N117" s="18"/>
      <c r="O117" s="13">
        <v>0.0</v>
      </c>
      <c r="P117" s="236"/>
      <c r="Q117" s="26" t="s">
        <v>150</v>
      </c>
      <c r="R117" s="18"/>
      <c r="S117" s="48"/>
      <c r="T117" s="18"/>
      <c r="U117" s="13">
        <v>1.0</v>
      </c>
      <c r="V117" s="18"/>
      <c r="W117" s="13">
        <v>2.0</v>
      </c>
      <c r="X117" s="18"/>
      <c r="Y117" s="27"/>
      <c r="Z117" s="50"/>
      <c r="AA117" s="50"/>
      <c r="AB117" s="50"/>
      <c r="AC117" s="50"/>
      <c r="AD117" s="50"/>
      <c r="AE117" s="27"/>
      <c r="AF117" s="13" t="s">
        <v>148</v>
      </c>
      <c r="AG117" s="107" t="s">
        <v>150</v>
      </c>
      <c r="AH117" s="107" t="s">
        <v>150</v>
      </c>
      <c r="AI117" s="16">
        <f t="shared" si="69"/>
        <v>44.45</v>
      </c>
      <c r="AJ117" s="108">
        <f>average(17,18)</f>
        <v>17.5</v>
      </c>
      <c r="AK117" s="27"/>
      <c r="AL117" s="50"/>
      <c r="AM117" s="50"/>
      <c r="AN117" s="50"/>
      <c r="AO117" s="13" t="s">
        <v>142</v>
      </c>
      <c r="AP117" s="13" t="s">
        <v>143</v>
      </c>
      <c r="AQ117" s="13" t="s">
        <v>144</v>
      </c>
      <c r="AR117" s="13">
        <v>139.0</v>
      </c>
      <c r="AS117" s="13" t="s">
        <v>145</v>
      </c>
      <c r="AT117" s="13" t="s">
        <v>145</v>
      </c>
      <c r="AU117" s="50"/>
      <c r="AV117" s="50"/>
      <c r="AW117" s="50"/>
      <c r="AX117" s="62" t="s">
        <v>150</v>
      </c>
      <c r="AY117" s="50"/>
      <c r="AZ117" s="62" t="s">
        <v>150</v>
      </c>
      <c r="BA117" s="62" t="s">
        <v>150</v>
      </c>
      <c r="BB117" s="13" t="s">
        <v>150</v>
      </c>
      <c r="BC117" s="13" t="s">
        <v>150</v>
      </c>
      <c r="BD117" s="24">
        <f t="shared" ref="BD117:BD119" si="78">average(BE117,BF117)</f>
        <v>5.75</v>
      </c>
      <c r="BE117" s="13">
        <v>4.0</v>
      </c>
      <c r="BF117" s="13">
        <v>7.5</v>
      </c>
      <c r="BG117" s="35">
        <f>IFERROR(__xludf.DUMMYFUNCTION("BD117*GoogleFinance(""CURRENCY:GBPUSD"")"),7.16332125)</f>
        <v>7.16332125</v>
      </c>
      <c r="BH117" s="50"/>
      <c r="BI117" s="42">
        <f t="shared" ref="BI117:BI119" si="79">BG117*52.1775*M117</f>
        <v>3700.265526</v>
      </c>
      <c r="BJ117" s="158"/>
      <c r="BK117" s="42">
        <f t="shared" ref="BK117:BK124" si="80">BL117*M117</f>
        <v>9669.362472</v>
      </c>
      <c r="BL117" s="42">
        <f>IFERROR(__xludf.DUMMYFUNCTION("BM117*GoogleFinance(""CURRENCY:GBPUSD"")"),976.70328)</f>
        <v>976.70328</v>
      </c>
      <c r="BM117" s="24">
        <f t="shared" si="20"/>
        <v>784</v>
      </c>
      <c r="BN117" s="13">
        <v>121.0</v>
      </c>
      <c r="BO117" s="13">
        <v>126.0</v>
      </c>
      <c r="BP117" s="13">
        <v>244.0</v>
      </c>
      <c r="BQ117" s="13">
        <v>177.0</v>
      </c>
      <c r="BR117" s="13">
        <v>116.0</v>
      </c>
      <c r="BS117" s="13">
        <v>200.0</v>
      </c>
      <c r="BT117" s="50"/>
      <c r="BU117" s="53"/>
      <c r="BV117" s="53"/>
      <c r="BW117" s="50"/>
      <c r="BX117" s="50"/>
      <c r="BY117" s="50"/>
      <c r="BZ117" s="50"/>
      <c r="CA117" s="50"/>
    </row>
    <row r="118">
      <c r="A118" s="13" t="s">
        <v>594</v>
      </c>
      <c r="B118" s="27"/>
      <c r="C118" s="13" t="s">
        <v>32</v>
      </c>
      <c r="D118" s="27"/>
      <c r="E118" s="17"/>
      <c r="F118" s="13">
        <v>104.0</v>
      </c>
      <c r="G118" s="50"/>
      <c r="H118" s="26" t="s">
        <v>150</v>
      </c>
      <c r="I118" s="18"/>
      <c r="J118" s="27"/>
      <c r="K118" s="13" t="s">
        <v>150</v>
      </c>
      <c r="L118" s="236"/>
      <c r="M118" s="67">
        <v>7.33</v>
      </c>
      <c r="N118" s="18"/>
      <c r="O118" s="13" t="s">
        <v>150</v>
      </c>
      <c r="P118" s="236"/>
      <c r="Q118" s="26" t="s">
        <v>150</v>
      </c>
      <c r="R118" s="18"/>
      <c r="S118" s="48"/>
      <c r="T118" s="18"/>
      <c r="U118" s="13">
        <v>1.0</v>
      </c>
      <c r="V118" s="18"/>
      <c r="W118" s="13">
        <v>1.0</v>
      </c>
      <c r="X118" s="18"/>
      <c r="Y118" s="27"/>
      <c r="Z118" s="50"/>
      <c r="AA118" s="50"/>
      <c r="AB118" s="50"/>
      <c r="AC118" s="50"/>
      <c r="AD118" s="50"/>
      <c r="AE118" s="27"/>
      <c r="AF118" s="13" t="s">
        <v>148</v>
      </c>
      <c r="AG118" s="107" t="s">
        <v>150</v>
      </c>
      <c r="AH118" s="107" t="s">
        <v>150</v>
      </c>
      <c r="AI118" s="16">
        <f t="shared" si="69"/>
        <v>46.99</v>
      </c>
      <c r="AJ118" s="108">
        <f>average(16,21)</f>
        <v>18.5</v>
      </c>
      <c r="AK118" s="27"/>
      <c r="AL118" s="50"/>
      <c r="AM118" s="50"/>
      <c r="AN118" s="50"/>
      <c r="AO118" s="13" t="s">
        <v>150</v>
      </c>
      <c r="AP118" s="13" t="s">
        <v>150</v>
      </c>
      <c r="AQ118" s="13" t="s">
        <v>150</v>
      </c>
      <c r="AR118" s="13">
        <v>5.0</v>
      </c>
      <c r="AS118" s="13" t="s">
        <v>150</v>
      </c>
      <c r="AT118" s="13" t="s">
        <v>150</v>
      </c>
      <c r="AU118" s="50"/>
      <c r="AV118" s="50"/>
      <c r="AW118" s="50"/>
      <c r="AX118" s="62" t="s">
        <v>150</v>
      </c>
      <c r="AY118" s="50"/>
      <c r="AZ118" s="62" t="s">
        <v>150</v>
      </c>
      <c r="BA118" s="62" t="s">
        <v>150</v>
      </c>
      <c r="BB118" s="13" t="s">
        <v>150</v>
      </c>
      <c r="BC118" s="13" t="s">
        <v>150</v>
      </c>
      <c r="BD118" s="24">
        <f t="shared" si="78"/>
        <v>5.75</v>
      </c>
      <c r="BE118" s="13">
        <v>4.0</v>
      </c>
      <c r="BF118" s="13">
        <v>7.5</v>
      </c>
      <c r="BG118" s="35">
        <f>IFERROR(__xludf.DUMMYFUNCTION("BD118*GoogleFinance(""CURRENCY:GBPUSD"")"),7.16332125)</f>
        <v>7.16332125</v>
      </c>
      <c r="BH118" s="50"/>
      <c r="BI118" s="42">
        <f t="shared" si="79"/>
        <v>2739.691546</v>
      </c>
      <c r="BJ118" s="158"/>
      <c r="BK118" s="42">
        <f t="shared" si="80"/>
        <v>7159.235042</v>
      </c>
      <c r="BL118" s="42">
        <f>IFERROR(__xludf.DUMMYFUNCTION("BM118*GoogleFinance(""CURRENCY:GBPUSD"")"),976.70328)</f>
        <v>976.70328</v>
      </c>
      <c r="BM118" s="24">
        <f t="shared" si="20"/>
        <v>784</v>
      </c>
      <c r="BN118" s="13">
        <v>121.0</v>
      </c>
      <c r="BO118" s="13">
        <v>126.0</v>
      </c>
      <c r="BP118" s="13">
        <v>244.0</v>
      </c>
      <c r="BQ118" s="13">
        <v>177.0</v>
      </c>
      <c r="BR118" s="13">
        <v>116.0</v>
      </c>
      <c r="BS118" s="13">
        <v>200.0</v>
      </c>
      <c r="BT118" s="50"/>
      <c r="BU118" s="53"/>
      <c r="BV118" s="53"/>
      <c r="BW118" s="50"/>
      <c r="BX118" s="50"/>
      <c r="BY118" s="50"/>
      <c r="BZ118" s="50"/>
      <c r="CA118" s="50"/>
    </row>
    <row r="119">
      <c r="A119" s="13" t="s">
        <v>596</v>
      </c>
      <c r="B119" s="27"/>
      <c r="C119" s="13" t="s">
        <v>34</v>
      </c>
      <c r="D119" s="27"/>
      <c r="E119" s="17"/>
      <c r="F119" s="13">
        <v>167.0</v>
      </c>
      <c r="G119" s="50"/>
      <c r="H119" s="26" t="s">
        <v>150</v>
      </c>
      <c r="I119" s="18"/>
      <c r="J119" s="27"/>
      <c r="K119" s="13">
        <v>43.0</v>
      </c>
      <c r="L119" s="236"/>
      <c r="M119" s="67">
        <v>11.17</v>
      </c>
      <c r="N119" s="18"/>
      <c r="O119" s="13">
        <v>0.0</v>
      </c>
      <c r="P119" s="236"/>
      <c r="Q119" s="26" t="s">
        <v>150</v>
      </c>
      <c r="R119" s="18"/>
      <c r="S119" s="48"/>
      <c r="T119" s="18"/>
      <c r="U119" s="13">
        <v>2.0</v>
      </c>
      <c r="V119" s="18"/>
      <c r="W119" s="13">
        <v>1.0</v>
      </c>
      <c r="X119" s="18"/>
      <c r="Y119" s="27"/>
      <c r="Z119" s="50"/>
      <c r="AA119" s="50"/>
      <c r="AB119" s="50"/>
      <c r="AC119" s="50"/>
      <c r="AD119" s="50"/>
      <c r="AE119" s="27"/>
      <c r="AF119" s="13" t="s">
        <v>148</v>
      </c>
      <c r="AG119" s="107" t="s">
        <v>150</v>
      </c>
      <c r="AH119" s="107" t="s">
        <v>150</v>
      </c>
      <c r="AI119" s="16">
        <f t="shared" si="69"/>
        <v>45.085</v>
      </c>
      <c r="AJ119" s="108">
        <f>average(15.5,20)</f>
        <v>17.75</v>
      </c>
      <c r="AK119" s="27"/>
      <c r="AL119" s="50"/>
      <c r="AM119" s="50"/>
      <c r="AN119" s="50"/>
      <c r="AO119" s="13" t="s">
        <v>184</v>
      </c>
      <c r="AP119" s="159" t="s">
        <v>185</v>
      </c>
      <c r="AQ119" s="13" t="s">
        <v>187</v>
      </c>
      <c r="AR119" s="13">
        <v>42.0</v>
      </c>
      <c r="AS119" s="13" t="s">
        <v>145</v>
      </c>
      <c r="AT119" s="13" t="s">
        <v>145</v>
      </c>
      <c r="AU119" s="50"/>
      <c r="AV119" s="50"/>
      <c r="AW119" s="50"/>
      <c r="AX119" s="62" t="s">
        <v>150</v>
      </c>
      <c r="AY119" s="50"/>
      <c r="AZ119" s="62" t="s">
        <v>150</v>
      </c>
      <c r="BA119" s="62" t="s">
        <v>150</v>
      </c>
      <c r="BB119" s="13" t="s">
        <v>150</v>
      </c>
      <c r="BC119" s="13" t="s">
        <v>150</v>
      </c>
      <c r="BD119" s="24">
        <f t="shared" si="78"/>
        <v>5.75</v>
      </c>
      <c r="BE119" s="13">
        <v>4.0</v>
      </c>
      <c r="BF119" s="13">
        <v>7.5</v>
      </c>
      <c r="BG119" s="35">
        <f>IFERROR(__xludf.DUMMYFUNCTION("BD119*GoogleFinance(""CURRENCY:GBPUSD"")"),7.16332125)</f>
        <v>7.16332125</v>
      </c>
      <c r="BH119" s="50"/>
      <c r="BI119" s="42">
        <f t="shared" si="79"/>
        <v>4174.946053</v>
      </c>
      <c r="BJ119" s="158"/>
      <c r="BK119" s="42">
        <f t="shared" si="80"/>
        <v>10909.77564</v>
      </c>
      <c r="BL119" s="42">
        <f>IFERROR(__xludf.DUMMYFUNCTION("BM119*GoogleFinance(""CURRENCY:GBPUSD"")"),976.70328)</f>
        <v>976.70328</v>
      </c>
      <c r="BM119" s="24">
        <f t="shared" si="20"/>
        <v>784</v>
      </c>
      <c r="BN119" s="13">
        <v>121.0</v>
      </c>
      <c r="BO119" s="13">
        <v>126.0</v>
      </c>
      <c r="BP119" s="13">
        <v>244.0</v>
      </c>
      <c r="BQ119" s="13">
        <v>177.0</v>
      </c>
      <c r="BR119" s="13">
        <v>116.0</v>
      </c>
      <c r="BS119" s="13">
        <v>200.0</v>
      </c>
      <c r="BT119" s="50"/>
      <c r="BU119" s="53"/>
      <c r="BV119" s="53"/>
      <c r="BW119" s="50"/>
      <c r="BX119" s="50"/>
      <c r="BY119" s="50"/>
      <c r="BZ119" s="50"/>
      <c r="CA119" s="50"/>
    </row>
    <row r="120">
      <c r="A120" s="13" t="s">
        <v>604</v>
      </c>
      <c r="B120" s="27"/>
      <c r="C120" s="13" t="s">
        <v>38</v>
      </c>
      <c r="D120" s="27"/>
      <c r="E120" s="17"/>
      <c r="F120" s="13">
        <v>137.0</v>
      </c>
      <c r="G120" s="50"/>
      <c r="H120" s="26" t="s">
        <v>150</v>
      </c>
      <c r="I120" s="18"/>
      <c r="J120" s="27"/>
      <c r="K120" s="13" t="s">
        <v>150</v>
      </c>
      <c r="L120" s="236"/>
      <c r="M120" s="67">
        <v>11.42</v>
      </c>
      <c r="N120" s="18"/>
      <c r="O120" s="13" t="s">
        <v>150</v>
      </c>
      <c r="P120" s="236"/>
      <c r="Q120" s="26">
        <v>1500.0</v>
      </c>
      <c r="R120" s="18"/>
      <c r="S120" s="48"/>
      <c r="T120" s="18"/>
      <c r="U120" s="13" t="s">
        <v>182</v>
      </c>
      <c r="V120" s="18"/>
      <c r="W120" s="13" t="s">
        <v>182</v>
      </c>
      <c r="X120" s="18"/>
      <c r="Y120" s="27"/>
      <c r="Z120" s="50"/>
      <c r="AA120" s="50"/>
      <c r="AB120" s="50"/>
      <c r="AC120" s="50"/>
      <c r="AD120" s="50"/>
      <c r="AE120" s="27"/>
      <c r="AF120" s="13" t="s">
        <v>148</v>
      </c>
      <c r="AG120" s="115" t="s">
        <v>150</v>
      </c>
      <c r="AH120" s="107" t="s">
        <v>150</v>
      </c>
      <c r="AI120" s="16">
        <f t="shared" si="69"/>
        <v>46.99</v>
      </c>
      <c r="AJ120" s="108">
        <f>average(17,20)</f>
        <v>18.5</v>
      </c>
      <c r="AK120" s="27"/>
      <c r="AL120" s="13" t="s">
        <v>305</v>
      </c>
      <c r="AM120" s="50"/>
      <c r="AN120" s="50"/>
      <c r="AO120" s="13" t="s">
        <v>150</v>
      </c>
      <c r="AP120" s="13" t="s">
        <v>150</v>
      </c>
      <c r="AQ120" s="13" t="s">
        <v>150</v>
      </c>
      <c r="AR120" s="13">
        <v>24.0</v>
      </c>
      <c r="AS120" s="13" t="s">
        <v>150</v>
      </c>
      <c r="AT120" s="13" t="s">
        <v>150</v>
      </c>
      <c r="AU120" s="50"/>
      <c r="AV120" s="50"/>
      <c r="AW120" s="50"/>
      <c r="AX120" s="62" t="s">
        <v>150</v>
      </c>
      <c r="AY120" s="50"/>
      <c r="AZ120" s="62">
        <v>1500.0</v>
      </c>
      <c r="BA120" s="13" t="s">
        <v>372</v>
      </c>
      <c r="BB120" s="13">
        <v>1500.0</v>
      </c>
      <c r="BC120" s="13">
        <v>1500.0</v>
      </c>
      <c r="BD120" s="62" t="s">
        <v>150</v>
      </c>
      <c r="BE120" s="62" t="s">
        <v>150</v>
      </c>
      <c r="BF120" s="62" t="s">
        <v>150</v>
      </c>
      <c r="BG120" s="62" t="s">
        <v>150</v>
      </c>
      <c r="BH120" s="42"/>
      <c r="BI120" s="62" t="s">
        <v>150</v>
      </c>
      <c r="BJ120" s="158"/>
      <c r="BK120" s="42">
        <f t="shared" si="80"/>
        <v>11153.95146</v>
      </c>
      <c r="BL120" s="42">
        <f>IFERROR(__xludf.DUMMYFUNCTION("BM120*GoogleFinance(""CURRENCY:GBPUSD"")"),976.70328)</f>
        <v>976.70328</v>
      </c>
      <c r="BM120" s="24">
        <f t="shared" si="20"/>
        <v>784</v>
      </c>
      <c r="BN120" s="13">
        <v>121.0</v>
      </c>
      <c r="BO120" s="13">
        <v>126.0</v>
      </c>
      <c r="BP120" s="13">
        <v>244.0</v>
      </c>
      <c r="BQ120" s="13">
        <v>177.0</v>
      </c>
      <c r="BR120" s="13">
        <v>116.0</v>
      </c>
      <c r="BS120" s="13">
        <v>200.0</v>
      </c>
      <c r="BT120" s="50"/>
      <c r="BU120" s="53"/>
      <c r="BV120" s="53"/>
      <c r="BW120" s="50"/>
      <c r="BX120" s="50"/>
      <c r="BY120" s="50"/>
      <c r="BZ120" s="50"/>
      <c r="CA120" s="50"/>
    </row>
    <row r="121">
      <c r="A121" s="13" t="s">
        <v>611</v>
      </c>
      <c r="B121" s="27"/>
      <c r="C121" s="13" t="s">
        <v>27</v>
      </c>
      <c r="D121" s="27"/>
      <c r="E121" s="17"/>
      <c r="F121" s="13">
        <v>75.0</v>
      </c>
      <c r="G121" s="50"/>
      <c r="H121" s="26" t="s">
        <v>150</v>
      </c>
      <c r="I121" s="18"/>
      <c r="J121" s="27"/>
      <c r="K121" s="13">
        <v>44.0</v>
      </c>
      <c r="L121" s="236"/>
      <c r="M121" s="67">
        <v>10.0</v>
      </c>
      <c r="N121" s="18"/>
      <c r="O121" s="13">
        <v>1.0</v>
      </c>
      <c r="P121" s="236"/>
      <c r="Q121" s="26">
        <v>655.0</v>
      </c>
      <c r="R121" s="18"/>
      <c r="S121" s="48"/>
      <c r="T121" s="18"/>
      <c r="U121" s="13" t="s">
        <v>182</v>
      </c>
      <c r="V121" s="18"/>
      <c r="W121" s="13" t="s">
        <v>182</v>
      </c>
      <c r="X121" s="18"/>
      <c r="Y121" s="27"/>
      <c r="Z121" s="50"/>
      <c r="AA121" s="50"/>
      <c r="AB121" s="50"/>
      <c r="AC121" s="50"/>
      <c r="AD121" s="50"/>
      <c r="AE121" s="27"/>
      <c r="AF121" s="13" t="s">
        <v>166</v>
      </c>
      <c r="AG121" s="107" t="s">
        <v>150</v>
      </c>
      <c r="AH121" s="107" t="s">
        <v>150</v>
      </c>
      <c r="AI121" s="16">
        <f t="shared" si="69"/>
        <v>60.96</v>
      </c>
      <c r="AJ121" s="108">
        <f>average(22,26)</f>
        <v>24</v>
      </c>
      <c r="AK121" s="27"/>
      <c r="AL121" s="50"/>
      <c r="AM121" s="50"/>
      <c r="AN121" s="50"/>
      <c r="AO121" s="13" t="s">
        <v>184</v>
      </c>
      <c r="AP121" s="159" t="s">
        <v>185</v>
      </c>
      <c r="AQ121" s="13" t="s">
        <v>187</v>
      </c>
      <c r="AR121" s="13">
        <v>41.0</v>
      </c>
      <c r="AS121" s="13" t="s">
        <v>174</v>
      </c>
      <c r="AT121" s="13" t="s">
        <v>175</v>
      </c>
      <c r="AU121" s="50"/>
      <c r="AV121" s="50"/>
      <c r="AW121" s="50"/>
      <c r="AX121" s="62" t="s">
        <v>150</v>
      </c>
      <c r="AY121" s="50"/>
      <c r="AZ121" s="42">
        <f>average(600,600,800,600,600,600,650,700,700,700)</f>
        <v>655</v>
      </c>
      <c r="BA121" s="13" t="s">
        <v>146</v>
      </c>
      <c r="BB121" s="13">
        <v>600.0</v>
      </c>
      <c r="BC121" s="13">
        <v>800.0</v>
      </c>
      <c r="BD121" s="62" t="s">
        <v>150</v>
      </c>
      <c r="BE121" s="62" t="s">
        <v>150</v>
      </c>
      <c r="BF121" s="62" t="s">
        <v>150</v>
      </c>
      <c r="BG121" s="62" t="s">
        <v>150</v>
      </c>
      <c r="BH121" s="42"/>
      <c r="BI121" s="62" t="s">
        <v>150</v>
      </c>
      <c r="BJ121" s="158"/>
      <c r="BK121" s="42">
        <f t="shared" si="80"/>
        <v>9767.0328</v>
      </c>
      <c r="BL121" s="42">
        <f>IFERROR(__xludf.DUMMYFUNCTION("BM121*GoogleFinance(""CURRENCY:GBPUSD"")"),976.70328)</f>
        <v>976.70328</v>
      </c>
      <c r="BM121" s="24">
        <f t="shared" si="20"/>
        <v>784</v>
      </c>
      <c r="BN121" s="13">
        <v>121.0</v>
      </c>
      <c r="BO121" s="13">
        <v>126.0</v>
      </c>
      <c r="BP121" s="13">
        <v>244.0</v>
      </c>
      <c r="BQ121" s="13">
        <v>177.0</v>
      </c>
      <c r="BR121" s="13">
        <v>116.0</v>
      </c>
      <c r="BS121" s="13">
        <v>200.0</v>
      </c>
      <c r="BT121" s="50"/>
      <c r="BU121" s="53"/>
      <c r="BV121" s="53"/>
      <c r="BW121" s="50"/>
      <c r="BX121" s="50"/>
      <c r="BY121" s="50"/>
      <c r="BZ121" s="50"/>
      <c r="CA121" s="50"/>
    </row>
    <row r="122">
      <c r="A122" s="13" t="s">
        <v>613</v>
      </c>
      <c r="B122" s="27"/>
      <c r="C122" s="13" t="s">
        <v>23</v>
      </c>
      <c r="D122" s="27"/>
      <c r="E122" s="17"/>
      <c r="F122" s="13">
        <v>158.0</v>
      </c>
      <c r="G122" s="50"/>
      <c r="H122" s="26" t="s">
        <v>150</v>
      </c>
      <c r="I122" s="18"/>
      <c r="J122" s="27"/>
      <c r="K122" s="13" t="s">
        <v>150</v>
      </c>
      <c r="L122" s="236"/>
      <c r="M122" s="67">
        <v>10.42</v>
      </c>
      <c r="N122" s="18"/>
      <c r="O122" s="13" t="s">
        <v>150</v>
      </c>
      <c r="P122" s="236"/>
      <c r="Q122" s="26" t="s">
        <v>150</v>
      </c>
      <c r="R122" s="18"/>
      <c r="S122" s="48"/>
      <c r="T122" s="18"/>
      <c r="U122" s="13" t="s">
        <v>182</v>
      </c>
      <c r="V122" s="18"/>
      <c r="W122" s="13" t="s">
        <v>182</v>
      </c>
      <c r="X122" s="18"/>
      <c r="Y122" s="27"/>
      <c r="Z122" s="50"/>
      <c r="AA122" s="50"/>
      <c r="AB122" s="50"/>
      <c r="AC122" s="50"/>
      <c r="AD122" s="50"/>
      <c r="AE122" s="27"/>
      <c r="AF122" s="13" t="s">
        <v>149</v>
      </c>
      <c r="AG122" s="16">
        <f>AH122*0.45359237</f>
        <v>15.87573295</v>
      </c>
      <c r="AH122" s="107">
        <v>35.0</v>
      </c>
      <c r="AI122" s="16">
        <f t="shared" si="69"/>
        <v>33.655</v>
      </c>
      <c r="AJ122" s="108">
        <f>average(12.5,14)</f>
        <v>13.25</v>
      </c>
      <c r="AK122" s="27"/>
      <c r="AL122" s="50"/>
      <c r="AM122" s="50"/>
      <c r="AN122" s="50"/>
      <c r="AO122" s="13" t="s">
        <v>150</v>
      </c>
      <c r="AP122" s="13" t="s">
        <v>150</v>
      </c>
      <c r="AQ122" s="13" t="s">
        <v>150</v>
      </c>
      <c r="AR122" s="13">
        <v>6.0</v>
      </c>
      <c r="AS122" s="13" t="s">
        <v>150</v>
      </c>
      <c r="AT122" s="13" t="s">
        <v>150</v>
      </c>
      <c r="AU122" s="50"/>
      <c r="AV122" s="50"/>
      <c r="AW122" s="50"/>
      <c r="AX122" s="62" t="s">
        <v>150</v>
      </c>
      <c r="AY122" s="50"/>
      <c r="AZ122" s="62" t="s">
        <v>150</v>
      </c>
      <c r="BA122" s="62" t="s">
        <v>150</v>
      </c>
      <c r="BB122" s="13" t="s">
        <v>150</v>
      </c>
      <c r="BC122" s="13" t="s">
        <v>150</v>
      </c>
      <c r="BD122" s="62" t="s">
        <v>150</v>
      </c>
      <c r="BE122" s="62" t="s">
        <v>150</v>
      </c>
      <c r="BF122" s="62" t="s">
        <v>150</v>
      </c>
      <c r="BG122" s="62" t="s">
        <v>150</v>
      </c>
      <c r="BH122" s="42"/>
      <c r="BI122" s="62" t="s">
        <v>150</v>
      </c>
      <c r="BJ122" s="158"/>
      <c r="BK122" s="42">
        <f t="shared" si="80"/>
        <v>10177.24818</v>
      </c>
      <c r="BL122" s="42">
        <f>IFERROR(__xludf.DUMMYFUNCTION("BM122*GoogleFinance(""CURRENCY:GBPUSD"")"),976.70328)</f>
        <v>976.70328</v>
      </c>
      <c r="BM122" s="24">
        <f t="shared" si="20"/>
        <v>784</v>
      </c>
      <c r="BN122" s="13">
        <v>121.0</v>
      </c>
      <c r="BO122" s="13">
        <v>126.0</v>
      </c>
      <c r="BP122" s="13">
        <v>244.0</v>
      </c>
      <c r="BQ122" s="13">
        <v>177.0</v>
      </c>
      <c r="BR122" s="13">
        <v>116.0</v>
      </c>
      <c r="BS122" s="13">
        <v>200.0</v>
      </c>
      <c r="BT122" s="50"/>
      <c r="BU122" s="53"/>
      <c r="BV122" s="53"/>
      <c r="BW122" s="50"/>
      <c r="BX122" s="50"/>
      <c r="BY122" s="50"/>
      <c r="BZ122" s="50"/>
      <c r="CA122" s="50"/>
    </row>
    <row r="123">
      <c r="A123" s="13" t="s">
        <v>623</v>
      </c>
      <c r="B123" s="181"/>
      <c r="C123" s="13" t="s">
        <v>38</v>
      </c>
      <c r="D123" s="27"/>
      <c r="E123" s="17"/>
      <c r="F123" s="13">
        <v>71.0</v>
      </c>
      <c r="G123" s="50"/>
      <c r="H123" s="26" t="s">
        <v>150</v>
      </c>
      <c r="I123" s="18"/>
      <c r="J123" s="27"/>
      <c r="K123" s="13">
        <v>64.0</v>
      </c>
      <c r="L123" s="236"/>
      <c r="M123" s="67">
        <v>10.0</v>
      </c>
      <c r="N123" s="18"/>
      <c r="O123" s="13">
        <v>1.0</v>
      </c>
      <c r="P123" s="236"/>
      <c r="Q123" s="26">
        <v>502.5</v>
      </c>
      <c r="R123" s="18"/>
      <c r="S123" s="48"/>
      <c r="T123" s="18"/>
      <c r="U123" s="13" t="s">
        <v>182</v>
      </c>
      <c r="V123" s="18"/>
      <c r="W123" s="13" t="s">
        <v>182</v>
      </c>
      <c r="X123" s="18"/>
      <c r="Y123" s="27"/>
      <c r="Z123" s="50"/>
      <c r="AA123" s="50"/>
      <c r="AB123" s="50"/>
      <c r="AC123" s="50"/>
      <c r="AD123" s="50"/>
      <c r="AE123" s="27"/>
      <c r="AF123" s="13" t="s">
        <v>166</v>
      </c>
      <c r="AG123" s="107" t="s">
        <v>150</v>
      </c>
      <c r="AH123" s="107" t="s">
        <v>150</v>
      </c>
      <c r="AI123" s="16">
        <f t="shared" si="69"/>
        <v>72.39</v>
      </c>
      <c r="AJ123" s="108">
        <f>average(25,32)</f>
        <v>28.5</v>
      </c>
      <c r="AK123" s="27"/>
      <c r="AL123" s="13" t="s">
        <v>624</v>
      </c>
      <c r="AM123" s="50"/>
      <c r="AN123" s="50"/>
      <c r="AO123" s="13" t="s">
        <v>400</v>
      </c>
      <c r="AP123" s="13" t="s">
        <v>401</v>
      </c>
      <c r="AQ123" s="13" t="s">
        <v>402</v>
      </c>
      <c r="AR123" s="13">
        <v>454.0</v>
      </c>
      <c r="AS123" s="13" t="s">
        <v>174</v>
      </c>
      <c r="AT123" s="13" t="s">
        <v>175</v>
      </c>
      <c r="AU123" s="64"/>
      <c r="AV123" s="50"/>
      <c r="AW123" s="50"/>
      <c r="AX123" s="62" t="s">
        <v>150</v>
      </c>
      <c r="AY123" s="50"/>
      <c r="AZ123" s="42">
        <f>average(800,350,700,200,600,700,350,600,225,500)</f>
        <v>502.5</v>
      </c>
      <c r="BA123" s="13" t="s">
        <v>146</v>
      </c>
      <c r="BB123" s="13">
        <v>225.0</v>
      </c>
      <c r="BC123" s="13">
        <v>800.0</v>
      </c>
      <c r="BD123" s="62" t="s">
        <v>150</v>
      </c>
      <c r="BE123" s="62" t="s">
        <v>150</v>
      </c>
      <c r="BF123" s="62" t="s">
        <v>150</v>
      </c>
      <c r="BG123" s="62" t="s">
        <v>150</v>
      </c>
      <c r="BH123" s="42"/>
      <c r="BI123" s="62" t="s">
        <v>150</v>
      </c>
      <c r="BJ123" s="158"/>
      <c r="BK123" s="42">
        <f t="shared" si="80"/>
        <v>9767.0328</v>
      </c>
      <c r="BL123" s="42">
        <f>IFERROR(__xludf.DUMMYFUNCTION("BM123*GoogleFinance(""CURRENCY:GBPUSD"")"),976.70328)</f>
        <v>976.70328</v>
      </c>
      <c r="BM123" s="24">
        <f t="shared" si="20"/>
        <v>784</v>
      </c>
      <c r="BN123" s="13">
        <v>121.0</v>
      </c>
      <c r="BO123" s="13">
        <v>126.0</v>
      </c>
      <c r="BP123" s="13">
        <v>244.0</v>
      </c>
      <c r="BQ123" s="13">
        <v>177.0</v>
      </c>
      <c r="BR123" s="13">
        <v>116.0</v>
      </c>
      <c r="BS123" s="13">
        <v>200.0</v>
      </c>
      <c r="BT123" s="50"/>
      <c r="BU123" s="53"/>
      <c r="BV123" s="53"/>
      <c r="BW123" s="50"/>
      <c r="BX123" s="50"/>
      <c r="BY123" s="50"/>
      <c r="BZ123" s="50"/>
      <c r="CA123" s="50"/>
    </row>
    <row r="124">
      <c r="A124" s="13" t="s">
        <v>625</v>
      </c>
      <c r="B124" s="27"/>
      <c r="C124" s="13" t="s">
        <v>38</v>
      </c>
      <c r="D124" s="27"/>
      <c r="E124" s="17"/>
      <c r="F124" s="13">
        <v>82.0</v>
      </c>
      <c r="G124" s="50"/>
      <c r="H124" s="26" t="s">
        <v>150</v>
      </c>
      <c r="I124" s="18"/>
      <c r="J124" s="27"/>
      <c r="K124" s="13" t="s">
        <v>150</v>
      </c>
      <c r="L124" s="236"/>
      <c r="M124" s="67">
        <v>6.8</v>
      </c>
      <c r="N124" s="18"/>
      <c r="O124" s="13">
        <v>1.0</v>
      </c>
      <c r="P124" s="236"/>
      <c r="Q124" s="26">
        <v>1605.0</v>
      </c>
      <c r="R124" s="18"/>
      <c r="S124" s="48"/>
      <c r="T124" s="18"/>
      <c r="U124" s="13" t="s">
        <v>182</v>
      </c>
      <c r="V124" s="18"/>
      <c r="W124" s="13" t="s">
        <v>182</v>
      </c>
      <c r="X124" s="18"/>
      <c r="Y124" s="27"/>
      <c r="Z124" s="50"/>
      <c r="AA124" s="50"/>
      <c r="AB124" s="50"/>
      <c r="AC124" s="50"/>
      <c r="AD124" s="50"/>
      <c r="AE124" s="27"/>
      <c r="AF124" s="13" t="s">
        <v>166</v>
      </c>
      <c r="AG124" s="107" t="s">
        <v>150</v>
      </c>
      <c r="AH124" s="107" t="s">
        <v>150</v>
      </c>
      <c r="AI124" s="16">
        <f t="shared" si="69"/>
        <v>66.04</v>
      </c>
      <c r="AJ124" s="108">
        <f>average(23.5,28.5)</f>
        <v>26</v>
      </c>
      <c r="AK124" s="27"/>
      <c r="AL124" s="50"/>
      <c r="AM124" s="50"/>
      <c r="AN124" s="50"/>
      <c r="AO124" s="13" t="s">
        <v>150</v>
      </c>
      <c r="AP124" s="13" t="s">
        <v>150</v>
      </c>
      <c r="AQ124" s="13" t="s">
        <v>150</v>
      </c>
      <c r="AR124" s="13">
        <v>71.0</v>
      </c>
      <c r="AS124" s="13" t="s">
        <v>174</v>
      </c>
      <c r="AT124" s="13" t="s">
        <v>175</v>
      </c>
      <c r="AU124" s="50"/>
      <c r="AV124" s="50"/>
      <c r="AW124" s="50"/>
      <c r="AX124" s="62" t="s">
        <v>150</v>
      </c>
      <c r="AY124" s="50"/>
      <c r="AZ124" s="42">
        <f>average(1500,900,1500,2500,2000,1500,1500,1850,1300,1500)</f>
        <v>1605</v>
      </c>
      <c r="BA124" s="13" t="s">
        <v>372</v>
      </c>
      <c r="BB124" s="13">
        <v>900.0</v>
      </c>
      <c r="BC124" s="13">
        <v>2500.0</v>
      </c>
      <c r="BD124" s="62" t="s">
        <v>150</v>
      </c>
      <c r="BE124" s="62" t="s">
        <v>150</v>
      </c>
      <c r="BF124" s="62" t="s">
        <v>150</v>
      </c>
      <c r="BG124" s="62" t="s">
        <v>150</v>
      </c>
      <c r="BH124" s="42"/>
      <c r="BI124" s="62" t="s">
        <v>150</v>
      </c>
      <c r="BJ124" s="158"/>
      <c r="BK124" s="42">
        <f t="shared" si="80"/>
        <v>6641.582304</v>
      </c>
      <c r="BL124" s="42">
        <f>IFERROR(__xludf.DUMMYFUNCTION("BM124*GoogleFinance(""CURRENCY:GBPUSD"")"),976.70328)</f>
        <v>976.70328</v>
      </c>
      <c r="BM124" s="24">
        <f t="shared" si="20"/>
        <v>784</v>
      </c>
      <c r="BN124" s="13">
        <v>121.0</v>
      </c>
      <c r="BO124" s="13">
        <v>126.0</v>
      </c>
      <c r="BP124" s="13">
        <v>244.0</v>
      </c>
      <c r="BQ124" s="13">
        <v>177.0</v>
      </c>
      <c r="BR124" s="13">
        <v>116.0</v>
      </c>
      <c r="BS124" s="13">
        <v>200.0</v>
      </c>
      <c r="BT124" s="50"/>
      <c r="BU124" s="53"/>
      <c r="BV124" s="53"/>
      <c r="BW124" s="50"/>
      <c r="BX124" s="50"/>
      <c r="BY124" s="50"/>
      <c r="BZ124" s="50"/>
      <c r="CA124" s="50"/>
    </row>
    <row r="125">
      <c r="A125" s="13" t="s">
        <v>631</v>
      </c>
      <c r="B125" s="27"/>
      <c r="C125" s="13" t="s">
        <v>53</v>
      </c>
      <c r="D125" s="27"/>
      <c r="E125" s="17"/>
      <c r="F125" s="13">
        <v>172.0</v>
      </c>
      <c r="G125" s="50"/>
      <c r="H125" s="26" t="s">
        <v>150</v>
      </c>
      <c r="I125" s="18"/>
      <c r="J125" s="27"/>
      <c r="K125" s="13" t="s">
        <v>150</v>
      </c>
      <c r="L125" s="236"/>
      <c r="M125" s="67" t="s">
        <v>150</v>
      </c>
      <c r="N125" s="18"/>
      <c r="O125" s="13">
        <v>0.0</v>
      </c>
      <c r="P125" s="236"/>
      <c r="Q125" s="26" t="s">
        <v>150</v>
      </c>
      <c r="R125" s="18"/>
      <c r="S125" s="48"/>
      <c r="T125" s="18"/>
      <c r="U125" s="13" t="s">
        <v>182</v>
      </c>
      <c r="V125" s="18"/>
      <c r="W125" s="13" t="s">
        <v>182</v>
      </c>
      <c r="X125" s="18"/>
      <c r="Y125" s="27"/>
      <c r="Z125" s="50"/>
      <c r="AA125" s="50"/>
      <c r="AB125" s="50"/>
      <c r="AC125" s="50"/>
      <c r="AD125" s="50"/>
      <c r="AE125" s="27"/>
      <c r="AF125" s="13" t="s">
        <v>148</v>
      </c>
      <c r="AG125" s="107" t="s">
        <v>150</v>
      </c>
      <c r="AH125" s="107" t="s">
        <v>150</v>
      </c>
      <c r="AI125" s="16">
        <f t="shared" si="69"/>
        <v>50.8</v>
      </c>
      <c r="AJ125" s="108">
        <f>average(18,22)</f>
        <v>20</v>
      </c>
      <c r="AK125" s="27"/>
      <c r="AL125" s="50"/>
      <c r="AM125" s="50"/>
      <c r="AN125" s="50"/>
      <c r="AO125" s="13" t="s">
        <v>150</v>
      </c>
      <c r="AP125" s="13" t="s">
        <v>150</v>
      </c>
      <c r="AQ125" s="13" t="s">
        <v>150</v>
      </c>
      <c r="AR125" s="13" t="s">
        <v>182</v>
      </c>
      <c r="AS125" s="13" t="s">
        <v>145</v>
      </c>
      <c r="AT125" s="13" t="s">
        <v>145</v>
      </c>
      <c r="AU125" s="50"/>
      <c r="AV125" s="50"/>
      <c r="AW125" s="50"/>
      <c r="AX125" s="62" t="s">
        <v>150</v>
      </c>
      <c r="AY125" s="50"/>
      <c r="AZ125" s="62" t="s">
        <v>150</v>
      </c>
      <c r="BA125" s="62" t="s">
        <v>150</v>
      </c>
      <c r="BB125" s="62" t="s">
        <v>150</v>
      </c>
      <c r="BC125" s="62" t="s">
        <v>150</v>
      </c>
      <c r="BD125" s="62" t="s">
        <v>150</v>
      </c>
      <c r="BE125" s="62" t="s">
        <v>150</v>
      </c>
      <c r="BF125" s="62" t="s">
        <v>150</v>
      </c>
      <c r="BG125" s="62" t="s">
        <v>150</v>
      </c>
      <c r="BH125" s="42"/>
      <c r="BI125" s="62" t="s">
        <v>150</v>
      </c>
      <c r="BJ125" s="158"/>
      <c r="BK125" s="62" t="s">
        <v>150</v>
      </c>
      <c r="BL125" s="42">
        <f>IFERROR(__xludf.DUMMYFUNCTION("BM125*GoogleFinance(""CURRENCY:GBPUSD"")"),976.70328)</f>
        <v>976.70328</v>
      </c>
      <c r="BM125" s="24">
        <f t="shared" si="20"/>
        <v>784</v>
      </c>
      <c r="BN125" s="13">
        <v>121.0</v>
      </c>
      <c r="BO125" s="13">
        <v>126.0</v>
      </c>
      <c r="BP125" s="13">
        <v>244.0</v>
      </c>
      <c r="BQ125" s="13">
        <v>177.0</v>
      </c>
      <c r="BR125" s="13">
        <v>116.0</v>
      </c>
      <c r="BS125" s="13">
        <v>200.0</v>
      </c>
      <c r="BT125" s="50"/>
      <c r="BU125" s="53"/>
      <c r="BV125" s="53"/>
      <c r="BW125" s="50"/>
      <c r="BX125" s="50"/>
      <c r="BY125" s="50"/>
      <c r="BZ125" s="50"/>
      <c r="CA125" s="50"/>
    </row>
    <row r="126">
      <c r="A126" s="13" t="s">
        <v>634</v>
      </c>
      <c r="B126" s="27"/>
      <c r="C126" s="13" t="s">
        <v>43</v>
      </c>
      <c r="D126" s="27"/>
      <c r="E126" s="17"/>
      <c r="F126" s="13">
        <v>31.0</v>
      </c>
      <c r="G126" s="50"/>
      <c r="H126" s="26" t="s">
        <v>150</v>
      </c>
      <c r="I126" s="18"/>
      <c r="J126" s="27"/>
      <c r="K126" s="13" t="s">
        <v>150</v>
      </c>
      <c r="L126" s="236"/>
      <c r="M126" s="67">
        <v>10.25</v>
      </c>
      <c r="N126" s="18"/>
      <c r="O126" s="13">
        <v>0.0</v>
      </c>
      <c r="P126" s="236"/>
      <c r="Q126" s="26">
        <v>829.5</v>
      </c>
      <c r="R126" s="18"/>
      <c r="S126" s="48"/>
      <c r="T126" s="18"/>
      <c r="U126" s="13" t="s">
        <v>182</v>
      </c>
      <c r="V126" s="18"/>
      <c r="W126" s="13" t="s">
        <v>182</v>
      </c>
      <c r="X126" s="18"/>
      <c r="Y126" s="27"/>
      <c r="Z126" s="35"/>
      <c r="AA126" s="50"/>
      <c r="AB126" s="50"/>
      <c r="AC126" s="50"/>
      <c r="AD126" s="50"/>
      <c r="AE126" s="27"/>
      <c r="AF126" s="13" t="s">
        <v>149</v>
      </c>
      <c r="AG126" s="107" t="s">
        <v>150</v>
      </c>
      <c r="AH126" s="107" t="s">
        <v>150</v>
      </c>
      <c r="AI126" s="16">
        <f t="shared" si="69"/>
        <v>24.765</v>
      </c>
      <c r="AJ126" s="108">
        <f>average(9,10.5)</f>
        <v>9.75</v>
      </c>
      <c r="AK126" s="27"/>
      <c r="AL126" s="50"/>
      <c r="AM126" s="50"/>
      <c r="AN126" s="50"/>
      <c r="AO126" s="13" t="s">
        <v>150</v>
      </c>
      <c r="AP126" s="13" t="s">
        <v>150</v>
      </c>
      <c r="AQ126" s="13" t="s">
        <v>150</v>
      </c>
      <c r="AR126" s="13">
        <v>3.0</v>
      </c>
      <c r="AS126" s="13" t="s">
        <v>145</v>
      </c>
      <c r="AT126" s="13" t="s">
        <v>145</v>
      </c>
      <c r="AU126" s="50"/>
      <c r="AV126" s="50"/>
      <c r="AW126" s="50"/>
      <c r="AX126" s="62" t="s">
        <v>150</v>
      </c>
      <c r="AY126" s="50"/>
      <c r="AZ126" s="42">
        <f>average(400,1000,850,300,1500,595,600,600,1500,950)</f>
        <v>829.5</v>
      </c>
      <c r="BA126" s="13" t="s">
        <v>160</v>
      </c>
      <c r="BB126" s="13">
        <v>300.0</v>
      </c>
      <c r="BC126" s="13">
        <v>1500.0</v>
      </c>
      <c r="BD126" s="62" t="s">
        <v>150</v>
      </c>
      <c r="BE126" s="62" t="s">
        <v>150</v>
      </c>
      <c r="BF126" s="62" t="s">
        <v>150</v>
      </c>
      <c r="BG126" s="62" t="s">
        <v>150</v>
      </c>
      <c r="BH126" s="42"/>
      <c r="BI126" s="62" t="s">
        <v>150</v>
      </c>
      <c r="BJ126" s="158"/>
      <c r="BK126" s="42">
        <f>BL126*M126</f>
        <v>10011.20862</v>
      </c>
      <c r="BL126" s="42">
        <f>IFERROR(__xludf.DUMMYFUNCTION("BM126*GoogleFinance(""CURRENCY:GBPUSD"")"),976.70328)</f>
        <v>976.70328</v>
      </c>
      <c r="BM126" s="24">
        <f t="shared" si="20"/>
        <v>784</v>
      </c>
      <c r="BN126" s="13">
        <v>121.0</v>
      </c>
      <c r="BO126" s="13">
        <v>126.0</v>
      </c>
      <c r="BP126" s="13">
        <v>244.0</v>
      </c>
      <c r="BQ126" s="13">
        <v>177.0</v>
      </c>
      <c r="BR126" s="13">
        <v>116.0</v>
      </c>
      <c r="BS126" s="13">
        <v>200.0</v>
      </c>
      <c r="BT126" s="50"/>
      <c r="BU126" s="53"/>
      <c r="BV126" s="53"/>
      <c r="BW126" s="50"/>
      <c r="BX126" s="50"/>
      <c r="BY126" s="50"/>
      <c r="BZ126" s="50"/>
      <c r="CA126" s="50"/>
    </row>
    <row r="127">
      <c r="A127" s="13" t="s">
        <v>636</v>
      </c>
      <c r="B127" s="27"/>
      <c r="C127" s="13" t="s">
        <v>53</v>
      </c>
      <c r="D127" s="27"/>
      <c r="E127" s="17"/>
      <c r="F127" s="13">
        <v>149.0</v>
      </c>
      <c r="G127" s="50"/>
      <c r="H127" s="26" t="s">
        <v>150</v>
      </c>
      <c r="I127" s="18"/>
      <c r="J127" s="27"/>
      <c r="K127" s="13">
        <v>53.0</v>
      </c>
      <c r="L127" s="236"/>
      <c r="M127" s="67" t="s">
        <v>150</v>
      </c>
      <c r="N127" s="18"/>
      <c r="O127" s="13">
        <v>0.0</v>
      </c>
      <c r="P127" s="236"/>
      <c r="Q127" s="26">
        <v>1500.0</v>
      </c>
      <c r="R127" s="18"/>
      <c r="S127" s="48"/>
      <c r="T127" s="18"/>
      <c r="U127" s="13">
        <v>2.0</v>
      </c>
      <c r="V127" s="18"/>
      <c r="W127" s="13">
        <v>1.0</v>
      </c>
      <c r="X127" s="18"/>
      <c r="Y127" s="27"/>
      <c r="Z127" s="50"/>
      <c r="AA127" s="50"/>
      <c r="AB127" s="50"/>
      <c r="AC127" s="50"/>
      <c r="AD127" s="50"/>
      <c r="AE127" s="27"/>
      <c r="AF127" s="13" t="s">
        <v>166</v>
      </c>
      <c r="AG127" s="107" t="s">
        <v>150</v>
      </c>
      <c r="AH127" s="107" t="s">
        <v>150</v>
      </c>
      <c r="AI127" s="16">
        <f t="shared" si="69"/>
        <v>63.5</v>
      </c>
      <c r="AJ127" s="108">
        <f>average(22.5,27.5)</f>
        <v>25</v>
      </c>
      <c r="AK127" s="27"/>
      <c r="AL127" s="13" t="s">
        <v>439</v>
      </c>
      <c r="AM127" s="50"/>
      <c r="AN127" s="50"/>
      <c r="AO127" s="13" t="s">
        <v>184</v>
      </c>
      <c r="AP127" s="159" t="s">
        <v>185</v>
      </c>
      <c r="AQ127" s="13" t="s">
        <v>187</v>
      </c>
      <c r="AR127" s="13" t="s">
        <v>182</v>
      </c>
      <c r="AS127" s="13" t="s">
        <v>145</v>
      </c>
      <c r="AT127" s="13" t="s">
        <v>145</v>
      </c>
      <c r="AU127" s="50"/>
      <c r="AV127" s="50"/>
      <c r="AW127" s="50"/>
      <c r="AX127" s="62" t="s">
        <v>150</v>
      </c>
      <c r="AY127" s="50"/>
      <c r="AZ127" s="62">
        <v>1500.0</v>
      </c>
      <c r="BA127" s="13" t="s">
        <v>372</v>
      </c>
      <c r="BB127" s="13">
        <v>1500.0</v>
      </c>
      <c r="BC127" s="13">
        <v>1500.0</v>
      </c>
      <c r="BD127" s="24">
        <f>average(BE127,BF127)</f>
        <v>5.75</v>
      </c>
      <c r="BE127" s="13">
        <v>4.0</v>
      </c>
      <c r="BF127" s="13">
        <v>7.5</v>
      </c>
      <c r="BG127" s="35">
        <f>IFERROR(__xludf.DUMMYFUNCTION("BD127*GoogleFinance(""CURRENCY:GBPUSD"")"),7.16332125)</f>
        <v>7.16332125</v>
      </c>
      <c r="BH127" s="50"/>
      <c r="BI127" s="62" t="s">
        <v>150</v>
      </c>
      <c r="BJ127" s="158"/>
      <c r="BK127" s="62" t="s">
        <v>150</v>
      </c>
      <c r="BL127" s="42">
        <f>IFERROR(__xludf.DUMMYFUNCTION("BM127*GoogleFinance(""CURRENCY:GBPUSD"")"),976.70328)</f>
        <v>976.70328</v>
      </c>
      <c r="BM127" s="24">
        <f t="shared" si="20"/>
        <v>784</v>
      </c>
      <c r="BN127" s="13">
        <v>121.0</v>
      </c>
      <c r="BO127" s="13">
        <v>126.0</v>
      </c>
      <c r="BP127" s="13">
        <v>244.0</v>
      </c>
      <c r="BQ127" s="13">
        <v>177.0</v>
      </c>
      <c r="BR127" s="13">
        <v>116.0</v>
      </c>
      <c r="BS127" s="13">
        <v>200.0</v>
      </c>
      <c r="BT127" s="50"/>
      <c r="BU127" s="53"/>
      <c r="BV127" s="53"/>
      <c r="BW127" s="50"/>
      <c r="BX127" s="50"/>
      <c r="BY127" s="50"/>
      <c r="BZ127" s="50"/>
      <c r="CA127" s="50"/>
    </row>
    <row r="128">
      <c r="A128" s="13" t="s">
        <v>638</v>
      </c>
      <c r="B128" s="181"/>
      <c r="C128" s="13" t="s">
        <v>32</v>
      </c>
      <c r="D128" s="27"/>
      <c r="E128" s="17"/>
      <c r="F128" s="13">
        <v>143.0</v>
      </c>
      <c r="G128" s="50"/>
      <c r="H128" s="26" t="s">
        <v>150</v>
      </c>
      <c r="I128" s="18"/>
      <c r="J128" s="27"/>
      <c r="K128" s="13" t="s">
        <v>150</v>
      </c>
      <c r="L128" s="236"/>
      <c r="M128" s="67" t="s">
        <v>150</v>
      </c>
      <c r="N128" s="18"/>
      <c r="O128" s="13" t="s">
        <v>150</v>
      </c>
      <c r="P128" s="236"/>
      <c r="Q128" s="26" t="s">
        <v>150</v>
      </c>
      <c r="R128" s="18"/>
      <c r="S128" s="48"/>
      <c r="T128" s="18"/>
      <c r="U128" s="13" t="s">
        <v>182</v>
      </c>
      <c r="V128" s="18"/>
      <c r="W128" s="13" t="s">
        <v>182</v>
      </c>
      <c r="X128" s="18"/>
      <c r="Y128" s="27"/>
      <c r="Z128" s="50"/>
      <c r="AA128" s="50"/>
      <c r="AB128" s="50"/>
      <c r="AC128" s="50"/>
      <c r="AD128" s="50"/>
      <c r="AE128" s="27"/>
      <c r="AF128" s="13" t="s">
        <v>148</v>
      </c>
      <c r="AG128" s="115" t="s">
        <v>150</v>
      </c>
      <c r="AH128" s="107" t="s">
        <v>150</v>
      </c>
      <c r="AI128" s="16">
        <f t="shared" si="69"/>
        <v>43.815</v>
      </c>
      <c r="AJ128" s="108">
        <f>average(16.5,18)</f>
        <v>17.25</v>
      </c>
      <c r="AK128" s="27"/>
      <c r="AL128" s="50"/>
      <c r="AM128" s="50"/>
      <c r="AN128" s="50"/>
      <c r="AO128" s="13" t="s">
        <v>150</v>
      </c>
      <c r="AP128" s="13" t="s">
        <v>150</v>
      </c>
      <c r="AQ128" s="13" t="s">
        <v>150</v>
      </c>
      <c r="AR128" s="13" t="s">
        <v>182</v>
      </c>
      <c r="AS128" s="13" t="s">
        <v>150</v>
      </c>
      <c r="AT128" s="13" t="s">
        <v>150</v>
      </c>
      <c r="AU128" s="64"/>
      <c r="AV128" s="50"/>
      <c r="AW128" s="50"/>
      <c r="AX128" s="62" t="s">
        <v>150</v>
      </c>
      <c r="AY128" s="50"/>
      <c r="AZ128" s="62" t="s">
        <v>150</v>
      </c>
      <c r="BA128" s="62" t="s">
        <v>150</v>
      </c>
      <c r="BB128" s="62" t="s">
        <v>150</v>
      </c>
      <c r="BC128" s="62" t="s">
        <v>150</v>
      </c>
      <c r="BD128" s="62" t="s">
        <v>150</v>
      </c>
      <c r="BE128" s="62" t="s">
        <v>150</v>
      </c>
      <c r="BF128" s="62" t="s">
        <v>150</v>
      </c>
      <c r="BG128" s="62" t="s">
        <v>150</v>
      </c>
      <c r="BH128" s="42"/>
      <c r="BI128" s="62" t="s">
        <v>150</v>
      </c>
      <c r="BJ128" s="158"/>
      <c r="BK128" s="62" t="s">
        <v>150</v>
      </c>
      <c r="BL128" s="42">
        <f>IFERROR(__xludf.DUMMYFUNCTION("BM128*GoogleFinance(""CURRENCY:GBPUSD"")"),976.70328)</f>
        <v>976.70328</v>
      </c>
      <c r="BM128" s="24">
        <f t="shared" si="20"/>
        <v>784</v>
      </c>
      <c r="BN128" s="13">
        <v>121.0</v>
      </c>
      <c r="BO128" s="13">
        <v>126.0</v>
      </c>
      <c r="BP128" s="13">
        <v>244.0</v>
      </c>
      <c r="BQ128" s="13">
        <v>177.0</v>
      </c>
      <c r="BR128" s="13">
        <v>116.0</v>
      </c>
      <c r="BS128" s="13">
        <v>200.0</v>
      </c>
      <c r="BT128" s="50"/>
      <c r="BU128" s="53"/>
      <c r="BV128" s="53"/>
      <c r="BW128" s="50"/>
      <c r="BX128" s="50"/>
      <c r="BY128" s="50"/>
      <c r="BZ128" s="50"/>
      <c r="CA128" s="50"/>
    </row>
    <row r="129">
      <c r="A129" s="13" t="s">
        <v>640</v>
      </c>
      <c r="B129" s="181"/>
      <c r="C129" s="13" t="s">
        <v>27</v>
      </c>
      <c r="D129" s="27"/>
      <c r="E129" s="17"/>
      <c r="F129" s="13">
        <v>147.0</v>
      </c>
      <c r="G129" s="50"/>
      <c r="H129" s="26" t="s">
        <v>150</v>
      </c>
      <c r="I129" s="18"/>
      <c r="J129" s="27"/>
      <c r="K129" s="13" t="s">
        <v>150</v>
      </c>
      <c r="L129" s="236"/>
      <c r="M129" s="67">
        <v>11.57</v>
      </c>
      <c r="N129" s="18"/>
      <c r="O129" s="13" t="s">
        <v>150</v>
      </c>
      <c r="P129" s="236"/>
      <c r="Q129" s="26">
        <v>1000.0</v>
      </c>
      <c r="R129" s="18"/>
      <c r="S129" s="48"/>
      <c r="T129" s="18"/>
      <c r="U129" s="13" t="s">
        <v>182</v>
      </c>
      <c r="V129" s="18"/>
      <c r="W129" s="13" t="s">
        <v>182</v>
      </c>
      <c r="X129" s="18"/>
      <c r="Y129" s="27"/>
      <c r="Z129" s="50"/>
      <c r="AA129" s="50"/>
      <c r="AB129" s="50"/>
      <c r="AC129" s="50"/>
      <c r="AD129" s="50"/>
      <c r="AE129" s="27"/>
      <c r="AF129" s="13" t="s">
        <v>166</v>
      </c>
      <c r="AG129" s="107" t="s">
        <v>150</v>
      </c>
      <c r="AH129" s="107" t="s">
        <v>150</v>
      </c>
      <c r="AI129" s="16">
        <f t="shared" si="69"/>
        <v>61.595</v>
      </c>
      <c r="AJ129" s="108">
        <f>average(22.5,26)</f>
        <v>24.25</v>
      </c>
      <c r="AK129" s="27"/>
      <c r="AL129" s="13" t="s">
        <v>641</v>
      </c>
      <c r="AM129" s="50"/>
      <c r="AN129" s="50"/>
      <c r="AO129" s="13" t="s">
        <v>150</v>
      </c>
      <c r="AP129" s="13" t="s">
        <v>150</v>
      </c>
      <c r="AQ129" s="13" t="s">
        <v>150</v>
      </c>
      <c r="AR129" s="13">
        <v>199.0</v>
      </c>
      <c r="AS129" s="13" t="s">
        <v>150</v>
      </c>
      <c r="AT129" s="13" t="s">
        <v>150</v>
      </c>
      <c r="AU129" s="64"/>
      <c r="AV129" s="50"/>
      <c r="AW129" s="50"/>
      <c r="AX129" s="62" t="s">
        <v>150</v>
      </c>
      <c r="AY129" s="50"/>
      <c r="AZ129" s="62">
        <v>1000.0</v>
      </c>
      <c r="BA129" s="13" t="s">
        <v>160</v>
      </c>
      <c r="BB129" s="62">
        <v>1000.0</v>
      </c>
      <c r="BC129" s="62">
        <v>1000.0</v>
      </c>
      <c r="BD129" s="62" t="s">
        <v>150</v>
      </c>
      <c r="BE129" s="62" t="s">
        <v>150</v>
      </c>
      <c r="BF129" s="62" t="s">
        <v>150</v>
      </c>
      <c r="BG129" s="62" t="s">
        <v>150</v>
      </c>
      <c r="BH129" s="42"/>
      <c r="BI129" s="62" t="s">
        <v>150</v>
      </c>
      <c r="BJ129" s="158"/>
      <c r="BK129" s="42">
        <f>BL129*M129</f>
        <v>11300.45695</v>
      </c>
      <c r="BL129" s="42">
        <f>IFERROR(__xludf.DUMMYFUNCTION("BM129*GoogleFinance(""CURRENCY:GBPUSD"")"),976.70328)</f>
        <v>976.70328</v>
      </c>
      <c r="BM129" s="24">
        <f t="shared" si="20"/>
        <v>784</v>
      </c>
      <c r="BN129" s="13">
        <v>121.0</v>
      </c>
      <c r="BO129" s="13">
        <v>126.0</v>
      </c>
      <c r="BP129" s="13">
        <v>244.0</v>
      </c>
      <c r="BQ129" s="13">
        <v>177.0</v>
      </c>
      <c r="BR129" s="13">
        <v>116.0</v>
      </c>
      <c r="BS129" s="13">
        <v>200.0</v>
      </c>
      <c r="BT129" s="50"/>
      <c r="BU129" s="53"/>
      <c r="BV129" s="53"/>
      <c r="BW129" s="50"/>
      <c r="BX129" s="50"/>
      <c r="BY129" s="50"/>
      <c r="BZ129" s="50"/>
      <c r="CA129" s="50"/>
    </row>
    <row r="130">
      <c r="A130" s="13" t="s">
        <v>642</v>
      </c>
      <c r="B130" s="27"/>
      <c r="C130" s="13" t="s">
        <v>23</v>
      </c>
      <c r="D130" s="27"/>
      <c r="E130" s="17"/>
      <c r="F130" s="13">
        <v>132.0</v>
      </c>
      <c r="G130" s="50"/>
      <c r="H130" s="26" t="s">
        <v>150</v>
      </c>
      <c r="I130" s="18"/>
      <c r="J130" s="27"/>
      <c r="K130" s="13">
        <v>53.0</v>
      </c>
      <c r="L130" s="236"/>
      <c r="M130" s="67" t="s">
        <v>150</v>
      </c>
      <c r="N130" s="18"/>
      <c r="O130" s="13">
        <v>0.0</v>
      </c>
      <c r="P130" s="236"/>
      <c r="Q130" s="26">
        <v>587.6</v>
      </c>
      <c r="R130" s="18"/>
      <c r="S130" s="48"/>
      <c r="T130" s="18"/>
      <c r="U130" s="13">
        <v>2.0</v>
      </c>
      <c r="V130" s="18"/>
      <c r="W130" s="13">
        <v>1.0</v>
      </c>
      <c r="X130" s="18"/>
      <c r="Y130" s="27"/>
      <c r="Z130" s="50"/>
      <c r="AA130" s="50"/>
      <c r="AB130" s="50"/>
      <c r="AC130" s="50"/>
      <c r="AD130" s="50"/>
      <c r="AE130" s="27"/>
      <c r="AF130" s="13" t="s">
        <v>148</v>
      </c>
      <c r="AG130" s="16">
        <f t="shared" ref="AG130:AG131" si="81">AH130*0.45359237</f>
        <v>11.79340162</v>
      </c>
      <c r="AH130" s="108">
        <f>average(25,27)</f>
        <v>26</v>
      </c>
      <c r="AI130" s="16">
        <f t="shared" si="69"/>
        <v>45.72</v>
      </c>
      <c r="AJ130" s="108">
        <f>average(18)</f>
        <v>18</v>
      </c>
      <c r="AK130" s="27"/>
      <c r="AL130" s="50"/>
      <c r="AM130" s="50"/>
      <c r="AN130" s="50"/>
      <c r="AO130" s="13" t="s">
        <v>184</v>
      </c>
      <c r="AP130" s="159" t="s">
        <v>185</v>
      </c>
      <c r="AQ130" s="13" t="s">
        <v>187</v>
      </c>
      <c r="AR130" s="13" t="s">
        <v>182</v>
      </c>
      <c r="AS130" s="13" t="s">
        <v>145</v>
      </c>
      <c r="AT130" s="13" t="s">
        <v>145</v>
      </c>
      <c r="AU130" s="50"/>
      <c r="AV130" s="50"/>
      <c r="AW130" s="50"/>
      <c r="AX130" s="62" t="s">
        <v>150</v>
      </c>
      <c r="AY130" s="50"/>
      <c r="AZ130" s="42">
        <f>average(700,400,850,500,588,850,500,400,500,588)</f>
        <v>587.6</v>
      </c>
      <c r="BA130" s="13" t="s">
        <v>146</v>
      </c>
      <c r="BB130" s="13">
        <v>400.0</v>
      </c>
      <c r="BC130" s="13">
        <v>850.0</v>
      </c>
      <c r="BD130" s="24">
        <f t="shared" ref="BD130:BD131" si="82">average(BE130,BF130)</f>
        <v>5.75</v>
      </c>
      <c r="BE130" s="13">
        <v>4.0</v>
      </c>
      <c r="BF130" s="13">
        <v>7.5</v>
      </c>
      <c r="BG130" s="35">
        <f>IFERROR(__xludf.DUMMYFUNCTION("BD130*GoogleFinance(""CURRENCY:GBPUSD"")"),7.16332125)</f>
        <v>7.16332125</v>
      </c>
      <c r="BH130" s="50"/>
      <c r="BI130" s="62" t="s">
        <v>150</v>
      </c>
      <c r="BJ130" s="158"/>
      <c r="BK130" s="62" t="s">
        <v>150</v>
      </c>
      <c r="BL130" s="42">
        <f>IFERROR(__xludf.DUMMYFUNCTION("BM130*GoogleFinance(""CURRENCY:GBPUSD"")"),976.70328)</f>
        <v>976.70328</v>
      </c>
      <c r="BM130" s="24">
        <f t="shared" si="20"/>
        <v>784</v>
      </c>
      <c r="BN130" s="13">
        <v>121.0</v>
      </c>
      <c r="BO130" s="13">
        <v>126.0</v>
      </c>
      <c r="BP130" s="13">
        <v>244.0</v>
      </c>
      <c r="BQ130" s="13">
        <v>177.0</v>
      </c>
      <c r="BR130" s="13">
        <v>116.0</v>
      </c>
      <c r="BS130" s="13">
        <v>200.0</v>
      </c>
      <c r="BT130" s="50"/>
      <c r="BU130" s="53"/>
      <c r="BV130" s="53"/>
      <c r="BW130" s="50"/>
      <c r="BX130" s="50"/>
      <c r="BY130" s="50"/>
      <c r="BZ130" s="50"/>
      <c r="CA130" s="50"/>
    </row>
    <row r="131">
      <c r="A131" s="13" t="s">
        <v>643</v>
      </c>
      <c r="B131" s="27"/>
      <c r="C131" s="13" t="s">
        <v>27</v>
      </c>
      <c r="D131" s="27"/>
      <c r="E131" s="17"/>
      <c r="F131" s="13">
        <v>150.0</v>
      </c>
      <c r="G131" s="50"/>
      <c r="H131" s="26" t="s">
        <v>150</v>
      </c>
      <c r="I131" s="18"/>
      <c r="J131" s="27"/>
      <c r="K131" s="13">
        <v>24.0</v>
      </c>
      <c r="L131" s="236"/>
      <c r="M131" s="67">
        <v>9.33</v>
      </c>
      <c r="N131" s="18"/>
      <c r="O131" s="13">
        <v>1.0</v>
      </c>
      <c r="P131" s="236"/>
      <c r="Q131" s="26" t="s">
        <v>150</v>
      </c>
      <c r="R131" s="18"/>
      <c r="S131" s="48"/>
      <c r="T131" s="18"/>
      <c r="U131" s="13">
        <v>2.0</v>
      </c>
      <c r="V131" s="18"/>
      <c r="W131" s="13">
        <v>1.0</v>
      </c>
      <c r="X131" s="18"/>
      <c r="Y131" s="27"/>
      <c r="Z131" s="35"/>
      <c r="AA131" s="50"/>
      <c r="AB131" s="50"/>
      <c r="AC131" s="50"/>
      <c r="AD131" s="50"/>
      <c r="AE131" s="27"/>
      <c r="AF131" s="13" t="s">
        <v>148</v>
      </c>
      <c r="AG131" s="16">
        <f t="shared" si="81"/>
        <v>24.94758035</v>
      </c>
      <c r="AH131" s="108">
        <f>average(45,65)</f>
        <v>55</v>
      </c>
      <c r="AI131" s="16">
        <f t="shared" si="69"/>
        <v>57.15</v>
      </c>
      <c r="AJ131" s="108">
        <f>average(21,24)</f>
        <v>22.5</v>
      </c>
      <c r="AK131" s="27"/>
      <c r="AL131" s="50"/>
      <c r="AM131" s="50"/>
      <c r="AN131" s="50"/>
      <c r="AO131" s="13" t="s">
        <v>267</v>
      </c>
      <c r="AP131" s="159" t="s">
        <v>268</v>
      </c>
      <c r="AQ131" s="13" t="s">
        <v>269</v>
      </c>
      <c r="AR131" s="13">
        <v>95.0</v>
      </c>
      <c r="AS131" s="13" t="s">
        <v>174</v>
      </c>
      <c r="AT131" s="13" t="s">
        <v>175</v>
      </c>
      <c r="AU131" s="50"/>
      <c r="AV131" s="50"/>
      <c r="AW131" s="50"/>
      <c r="AX131" s="62" t="s">
        <v>150</v>
      </c>
      <c r="AY131" s="50"/>
      <c r="AZ131" s="62" t="s">
        <v>150</v>
      </c>
      <c r="BA131" s="62" t="s">
        <v>150</v>
      </c>
      <c r="BB131" s="62" t="s">
        <v>150</v>
      </c>
      <c r="BC131" s="62" t="s">
        <v>150</v>
      </c>
      <c r="BD131" s="24">
        <f t="shared" si="82"/>
        <v>8.75</v>
      </c>
      <c r="BE131" s="13">
        <v>7.5</v>
      </c>
      <c r="BF131" s="13">
        <v>10.0</v>
      </c>
      <c r="BG131" s="35">
        <f>IFERROR(__xludf.DUMMYFUNCTION("BD131*GoogleFinance(""CURRENCY:GBPUSD"")"),10.90070625)</f>
        <v>10.90070625</v>
      </c>
      <c r="BH131" s="50"/>
      <c r="BI131" s="42">
        <f>BG131*52.1775*M131</f>
        <v>5306.639031</v>
      </c>
      <c r="BJ131" s="158"/>
      <c r="BK131" s="42">
        <f t="shared" ref="BK131:BK134" si="83">BL131*M131</f>
        <v>9112.641602</v>
      </c>
      <c r="BL131" s="42">
        <f>IFERROR(__xludf.DUMMYFUNCTION("BM131*GoogleFinance(""CURRENCY:GBPUSD"")"),976.70328)</f>
        <v>976.70328</v>
      </c>
      <c r="BM131" s="24">
        <f t="shared" si="20"/>
        <v>784</v>
      </c>
      <c r="BN131" s="13">
        <v>121.0</v>
      </c>
      <c r="BO131" s="13">
        <v>126.0</v>
      </c>
      <c r="BP131" s="13">
        <v>244.0</v>
      </c>
      <c r="BQ131" s="13">
        <v>177.0</v>
      </c>
      <c r="BR131" s="13">
        <v>116.0</v>
      </c>
      <c r="BS131" s="13">
        <v>200.0</v>
      </c>
      <c r="BT131" s="50"/>
      <c r="BU131" s="53"/>
      <c r="BV131" s="53"/>
      <c r="BW131" s="50"/>
      <c r="BX131" s="50"/>
      <c r="BY131" s="50"/>
      <c r="BZ131" s="50"/>
      <c r="CA131" s="50"/>
    </row>
    <row r="132">
      <c r="A132" s="13" t="s">
        <v>651</v>
      </c>
      <c r="B132" s="27"/>
      <c r="C132" s="13" t="s">
        <v>43</v>
      </c>
      <c r="D132" s="27"/>
      <c r="E132" s="17"/>
      <c r="F132" s="13">
        <v>78.0</v>
      </c>
      <c r="G132" s="50"/>
      <c r="H132" s="26" t="s">
        <v>150</v>
      </c>
      <c r="I132" s="18"/>
      <c r="J132" s="27"/>
      <c r="K132" s="13">
        <v>62.0</v>
      </c>
      <c r="L132" s="236"/>
      <c r="M132" s="67">
        <v>9.25</v>
      </c>
      <c r="N132" s="18"/>
      <c r="O132" s="13">
        <v>0.0</v>
      </c>
      <c r="P132" s="236"/>
      <c r="Q132" s="26">
        <v>512.5</v>
      </c>
      <c r="R132" s="18"/>
      <c r="S132" s="48"/>
      <c r="T132" s="18"/>
      <c r="U132" s="13" t="s">
        <v>182</v>
      </c>
      <c r="V132" s="18"/>
      <c r="W132" s="13" t="s">
        <v>182</v>
      </c>
      <c r="X132" s="18"/>
      <c r="Y132" s="27"/>
      <c r="Z132" s="50"/>
      <c r="AA132" s="50"/>
      <c r="AB132" s="50"/>
      <c r="AC132" s="50"/>
      <c r="AD132" s="50"/>
      <c r="AE132" s="27"/>
      <c r="AF132" s="13" t="s">
        <v>149</v>
      </c>
      <c r="AG132" s="115" t="s">
        <v>150</v>
      </c>
      <c r="AH132" s="107" t="s">
        <v>150</v>
      </c>
      <c r="AI132" s="16">
        <f t="shared" si="69"/>
        <v>24.13</v>
      </c>
      <c r="AJ132" s="108">
        <f>average(8,11)</f>
        <v>9.5</v>
      </c>
      <c r="AK132" s="27"/>
      <c r="AL132" s="50"/>
      <c r="AM132" s="50"/>
      <c r="AN132" s="50"/>
      <c r="AO132" s="13" t="s">
        <v>400</v>
      </c>
      <c r="AP132" s="13" t="s">
        <v>401</v>
      </c>
      <c r="AQ132" s="13" t="s">
        <v>402</v>
      </c>
      <c r="AR132" s="13">
        <v>38.0</v>
      </c>
      <c r="AS132" s="13" t="s">
        <v>145</v>
      </c>
      <c r="AT132" s="13" t="s">
        <v>145</v>
      </c>
      <c r="AU132" s="50"/>
      <c r="AV132" s="50"/>
      <c r="AW132" s="50"/>
      <c r="AX132" s="62" t="s">
        <v>150</v>
      </c>
      <c r="AY132" s="50"/>
      <c r="AZ132" s="42">
        <f>average(400,425,600,800,200,800,650,350,450,450)</f>
        <v>512.5</v>
      </c>
      <c r="BA132" s="13" t="s">
        <v>146</v>
      </c>
      <c r="BB132" s="13">
        <v>200.0</v>
      </c>
      <c r="BC132" s="13">
        <v>800.0</v>
      </c>
      <c r="BD132" s="62" t="s">
        <v>150</v>
      </c>
      <c r="BE132" s="62" t="s">
        <v>150</v>
      </c>
      <c r="BF132" s="62" t="s">
        <v>150</v>
      </c>
      <c r="BG132" s="62" t="s">
        <v>150</v>
      </c>
      <c r="BH132" s="42"/>
      <c r="BI132" s="62" t="s">
        <v>150</v>
      </c>
      <c r="BJ132" s="158"/>
      <c r="BK132" s="42">
        <f t="shared" si="83"/>
        <v>9034.50534</v>
      </c>
      <c r="BL132" s="42">
        <f>IFERROR(__xludf.DUMMYFUNCTION("BM132*GoogleFinance(""CURRENCY:GBPUSD"")"),976.70328)</f>
        <v>976.70328</v>
      </c>
      <c r="BM132" s="24">
        <f t="shared" si="20"/>
        <v>784</v>
      </c>
      <c r="BN132" s="13">
        <v>121.0</v>
      </c>
      <c r="BO132" s="13">
        <v>126.0</v>
      </c>
      <c r="BP132" s="13">
        <v>244.0</v>
      </c>
      <c r="BQ132" s="13">
        <v>177.0</v>
      </c>
      <c r="BR132" s="13">
        <v>116.0</v>
      </c>
      <c r="BS132" s="13">
        <v>200.0</v>
      </c>
      <c r="BT132" s="50"/>
      <c r="BU132" s="53"/>
      <c r="BV132" s="53"/>
      <c r="BW132" s="50"/>
      <c r="BX132" s="50"/>
      <c r="BY132" s="50"/>
      <c r="BZ132" s="50"/>
      <c r="CA132" s="50"/>
    </row>
    <row r="133">
      <c r="A133" s="13" t="s">
        <v>654</v>
      </c>
      <c r="B133" s="27"/>
      <c r="C133" s="13" t="s">
        <v>34</v>
      </c>
      <c r="D133" s="27"/>
      <c r="E133" s="17"/>
      <c r="F133" s="13">
        <v>98.0</v>
      </c>
      <c r="G133" s="50"/>
      <c r="H133" s="26" t="s">
        <v>150</v>
      </c>
      <c r="I133" s="18"/>
      <c r="J133" s="27"/>
      <c r="K133" s="13">
        <v>16.0</v>
      </c>
      <c r="L133" s="236"/>
      <c r="M133" s="67">
        <v>12.17</v>
      </c>
      <c r="N133" s="18"/>
      <c r="O133" s="13">
        <v>1.0</v>
      </c>
      <c r="P133" s="236"/>
      <c r="Q133" s="26">
        <v>610.0</v>
      </c>
      <c r="R133" s="18"/>
      <c r="S133" s="48"/>
      <c r="T133" s="18"/>
      <c r="U133" s="13" t="s">
        <v>182</v>
      </c>
      <c r="V133" s="18"/>
      <c r="W133" s="13" t="s">
        <v>182</v>
      </c>
      <c r="X133" s="18"/>
      <c r="Y133" s="27"/>
      <c r="Z133" s="50"/>
      <c r="AA133" s="50"/>
      <c r="AB133" s="50"/>
      <c r="AC133" s="50"/>
      <c r="AD133" s="50"/>
      <c r="AE133" s="27"/>
      <c r="AF133" s="13" t="s">
        <v>148</v>
      </c>
      <c r="AG133" s="107" t="s">
        <v>150</v>
      </c>
      <c r="AH133" s="107" t="s">
        <v>150</v>
      </c>
      <c r="AI133" s="16">
        <f t="shared" si="69"/>
        <v>44.45</v>
      </c>
      <c r="AJ133" s="108">
        <f>average(17,18)</f>
        <v>17.5</v>
      </c>
      <c r="AK133" s="27"/>
      <c r="AL133" s="50"/>
      <c r="AM133" s="50"/>
      <c r="AN133" s="50"/>
      <c r="AO133" s="13" t="s">
        <v>267</v>
      </c>
      <c r="AP133" s="159" t="s">
        <v>268</v>
      </c>
      <c r="AQ133" s="13" t="s">
        <v>269</v>
      </c>
      <c r="AR133" s="13">
        <v>104.0</v>
      </c>
      <c r="AS133" s="13" t="s">
        <v>174</v>
      </c>
      <c r="AT133" s="13" t="s">
        <v>175</v>
      </c>
      <c r="AU133" s="50"/>
      <c r="AV133" s="50"/>
      <c r="AW133" s="50"/>
      <c r="AX133" s="62" t="s">
        <v>150</v>
      </c>
      <c r="AY133" s="50"/>
      <c r="AZ133" s="42">
        <f>average(1000,400,700,800,350,800,1000,350,350,350)</f>
        <v>610</v>
      </c>
      <c r="BA133" s="13" t="s">
        <v>146</v>
      </c>
      <c r="BB133" s="13">
        <v>350.0</v>
      </c>
      <c r="BC133" s="13">
        <v>1000.0</v>
      </c>
      <c r="BD133" s="62" t="s">
        <v>150</v>
      </c>
      <c r="BE133" s="62" t="s">
        <v>150</v>
      </c>
      <c r="BF133" s="62" t="s">
        <v>150</v>
      </c>
      <c r="BG133" s="62" t="s">
        <v>150</v>
      </c>
      <c r="BH133" s="42"/>
      <c r="BI133" s="62" t="s">
        <v>150</v>
      </c>
      <c r="BJ133" s="158"/>
      <c r="BK133" s="42">
        <f t="shared" si="83"/>
        <v>11886.47892</v>
      </c>
      <c r="BL133" s="42">
        <f>IFERROR(__xludf.DUMMYFUNCTION("BM133*GoogleFinance(""CURRENCY:GBPUSD"")"),976.70328)</f>
        <v>976.70328</v>
      </c>
      <c r="BM133" s="24">
        <f t="shared" si="20"/>
        <v>784</v>
      </c>
      <c r="BN133" s="13">
        <v>121.0</v>
      </c>
      <c r="BO133" s="13">
        <v>126.0</v>
      </c>
      <c r="BP133" s="13">
        <v>244.0</v>
      </c>
      <c r="BQ133" s="13">
        <v>177.0</v>
      </c>
      <c r="BR133" s="13">
        <v>116.0</v>
      </c>
      <c r="BS133" s="13">
        <v>200.0</v>
      </c>
      <c r="BT133" s="50"/>
      <c r="BU133" s="53"/>
      <c r="BV133" s="53"/>
      <c r="BW133" s="50"/>
      <c r="BX133" s="50"/>
      <c r="BY133" s="50"/>
      <c r="BZ133" s="50"/>
      <c r="CA133" s="50"/>
    </row>
    <row r="134">
      <c r="A134" s="13" t="s">
        <v>657</v>
      </c>
      <c r="B134" s="27"/>
      <c r="C134" s="13" t="s">
        <v>38</v>
      </c>
      <c r="D134" s="27"/>
      <c r="E134" s="17"/>
      <c r="F134" s="13">
        <v>166.0</v>
      </c>
      <c r="G134" s="50"/>
      <c r="H134" s="26" t="s">
        <v>150</v>
      </c>
      <c r="I134" s="18"/>
      <c r="J134" s="27"/>
      <c r="K134" s="13" t="s">
        <v>150</v>
      </c>
      <c r="L134" s="236"/>
      <c r="M134" s="67">
        <v>9.17</v>
      </c>
      <c r="N134" s="18"/>
      <c r="O134" s="13">
        <v>1.0</v>
      </c>
      <c r="P134" s="236"/>
      <c r="Q134" s="26">
        <v>656.25</v>
      </c>
      <c r="R134" s="18"/>
      <c r="S134" s="48"/>
      <c r="T134" s="18"/>
      <c r="U134" s="13" t="s">
        <v>182</v>
      </c>
      <c r="V134" s="18"/>
      <c r="W134" s="13" t="s">
        <v>182</v>
      </c>
      <c r="X134" s="18"/>
      <c r="Y134" s="27"/>
      <c r="Z134" s="50"/>
      <c r="AA134" s="50"/>
      <c r="AB134" s="50"/>
      <c r="AC134" s="50"/>
      <c r="AD134" s="50"/>
      <c r="AE134" s="27"/>
      <c r="AF134" s="13" t="s">
        <v>166</v>
      </c>
      <c r="AG134" s="16">
        <f t="shared" ref="AG134:AG136" si="84">AH134*0.45359237</f>
        <v>45.359237</v>
      </c>
      <c r="AH134" s="107">
        <v>100.0</v>
      </c>
      <c r="AI134" s="16">
        <f t="shared" si="69"/>
        <v>69.85</v>
      </c>
      <c r="AJ134" s="108">
        <f>27.5</f>
        <v>27.5</v>
      </c>
      <c r="AK134" s="27"/>
      <c r="AL134" s="50"/>
      <c r="AM134" s="50"/>
      <c r="AN134" s="50"/>
      <c r="AO134" s="13" t="s">
        <v>150</v>
      </c>
      <c r="AP134" s="13" t="s">
        <v>150</v>
      </c>
      <c r="AQ134" s="13" t="s">
        <v>150</v>
      </c>
      <c r="AR134" s="13">
        <v>10.0</v>
      </c>
      <c r="AS134" s="13" t="s">
        <v>174</v>
      </c>
      <c r="AT134" s="13" t="s">
        <v>175</v>
      </c>
      <c r="AU134" s="50"/>
      <c r="AV134" s="50"/>
      <c r="AW134" s="50"/>
      <c r="AX134" s="62" t="s">
        <v>150</v>
      </c>
      <c r="AY134" s="50"/>
      <c r="AZ134" s="42">
        <f>average(700,850,750,600,500,600,500,750)</f>
        <v>656.25</v>
      </c>
      <c r="BA134" s="13" t="s">
        <v>146</v>
      </c>
      <c r="BB134" s="13">
        <v>500.0</v>
      </c>
      <c r="BC134" s="13">
        <v>850.0</v>
      </c>
      <c r="BD134" s="62" t="s">
        <v>150</v>
      </c>
      <c r="BE134" s="62" t="s">
        <v>150</v>
      </c>
      <c r="BF134" s="62" t="s">
        <v>150</v>
      </c>
      <c r="BG134" s="62" t="s">
        <v>150</v>
      </c>
      <c r="BH134" s="42"/>
      <c r="BI134" s="62" t="s">
        <v>150</v>
      </c>
      <c r="BJ134" s="158"/>
      <c r="BK134" s="42">
        <f t="shared" si="83"/>
        <v>8956.369078</v>
      </c>
      <c r="BL134" s="42">
        <f>IFERROR(__xludf.DUMMYFUNCTION("BM134*GoogleFinance(""CURRENCY:GBPUSD"")"),976.70328)</f>
        <v>976.70328</v>
      </c>
      <c r="BM134" s="24">
        <f t="shared" si="20"/>
        <v>784</v>
      </c>
      <c r="BN134" s="13">
        <v>121.0</v>
      </c>
      <c r="BO134" s="13">
        <v>126.0</v>
      </c>
      <c r="BP134" s="13">
        <v>244.0</v>
      </c>
      <c r="BQ134" s="13">
        <v>177.0</v>
      </c>
      <c r="BR134" s="13">
        <v>116.0</v>
      </c>
      <c r="BS134" s="13">
        <v>200.0</v>
      </c>
      <c r="BT134" s="50"/>
      <c r="BU134" s="53"/>
      <c r="BV134" s="53"/>
      <c r="BW134" s="50"/>
      <c r="BX134" s="50"/>
      <c r="BY134" s="50"/>
      <c r="BZ134" s="50"/>
      <c r="CA134" s="50"/>
    </row>
    <row r="135">
      <c r="A135" s="13" t="s">
        <v>658</v>
      </c>
      <c r="B135" s="181"/>
      <c r="C135" s="13" t="s">
        <v>38</v>
      </c>
      <c r="D135" s="27"/>
      <c r="E135" s="17"/>
      <c r="F135" s="13">
        <v>148.0</v>
      </c>
      <c r="G135" s="50"/>
      <c r="H135" s="26" t="s">
        <v>150</v>
      </c>
      <c r="I135" s="18"/>
      <c r="J135" s="27"/>
      <c r="K135" s="13">
        <v>42.0</v>
      </c>
      <c r="L135" s="236"/>
      <c r="M135" s="67" t="s">
        <v>150</v>
      </c>
      <c r="N135" s="18"/>
      <c r="O135" s="13">
        <v>1.0</v>
      </c>
      <c r="P135" s="236"/>
      <c r="Q135" s="26" t="s">
        <v>150</v>
      </c>
      <c r="R135" s="18"/>
      <c r="S135" s="48"/>
      <c r="T135" s="18"/>
      <c r="U135" s="13" t="s">
        <v>182</v>
      </c>
      <c r="V135" s="18"/>
      <c r="W135" s="13" t="s">
        <v>182</v>
      </c>
      <c r="X135" s="18"/>
      <c r="Y135" s="27"/>
      <c r="Z135" s="50"/>
      <c r="AA135" s="50"/>
      <c r="AB135" s="50"/>
      <c r="AC135" s="50"/>
      <c r="AD135" s="50"/>
      <c r="AE135" s="27"/>
      <c r="AF135" s="13" t="s">
        <v>166</v>
      </c>
      <c r="AG135" s="16">
        <f t="shared" si="84"/>
        <v>41.95729423</v>
      </c>
      <c r="AH135" s="108">
        <f>average(70,115)</f>
        <v>92.5</v>
      </c>
      <c r="AI135" s="16">
        <f t="shared" si="69"/>
        <v>71.12</v>
      </c>
      <c r="AJ135" s="108">
        <f>average(26,30)</f>
        <v>28</v>
      </c>
      <c r="AK135" s="27"/>
      <c r="AL135" s="50"/>
      <c r="AM135" s="50"/>
      <c r="AN135" s="50"/>
      <c r="AO135" s="13" t="s">
        <v>184</v>
      </c>
      <c r="AP135" s="159" t="s">
        <v>185</v>
      </c>
      <c r="AQ135" s="13" t="s">
        <v>187</v>
      </c>
      <c r="AR135" s="13" t="s">
        <v>182</v>
      </c>
      <c r="AS135" s="13" t="s">
        <v>174</v>
      </c>
      <c r="AT135" s="13" t="s">
        <v>175</v>
      </c>
      <c r="AU135" s="64"/>
      <c r="AV135" s="50"/>
      <c r="AW135" s="50"/>
      <c r="AX135" s="62" t="s">
        <v>150</v>
      </c>
      <c r="AY135" s="50"/>
      <c r="AZ135" s="62" t="s">
        <v>150</v>
      </c>
      <c r="BA135" s="62" t="s">
        <v>150</v>
      </c>
      <c r="BB135" s="62" t="s">
        <v>150</v>
      </c>
      <c r="BC135" s="62" t="s">
        <v>150</v>
      </c>
      <c r="BD135" s="62" t="s">
        <v>150</v>
      </c>
      <c r="BE135" s="62" t="s">
        <v>150</v>
      </c>
      <c r="BF135" s="62" t="s">
        <v>150</v>
      </c>
      <c r="BG135" s="62" t="s">
        <v>150</v>
      </c>
      <c r="BH135" s="42"/>
      <c r="BI135" s="62" t="s">
        <v>150</v>
      </c>
      <c r="BJ135" s="158"/>
      <c r="BK135" s="62" t="s">
        <v>150</v>
      </c>
      <c r="BL135" s="42">
        <f>IFERROR(__xludf.DUMMYFUNCTION("BM135*GoogleFinance(""CURRENCY:GBPUSD"")"),976.70328)</f>
        <v>976.70328</v>
      </c>
      <c r="BM135" s="24">
        <f t="shared" si="20"/>
        <v>784</v>
      </c>
      <c r="BN135" s="13">
        <v>121.0</v>
      </c>
      <c r="BO135" s="13">
        <v>126.0</v>
      </c>
      <c r="BP135" s="13">
        <v>244.0</v>
      </c>
      <c r="BQ135" s="13">
        <v>177.0</v>
      </c>
      <c r="BR135" s="13">
        <v>116.0</v>
      </c>
      <c r="BS135" s="13">
        <v>200.0</v>
      </c>
      <c r="BT135" s="50"/>
      <c r="BU135" s="53"/>
      <c r="BV135" s="53"/>
      <c r="BW135" s="50"/>
      <c r="BX135" s="50"/>
      <c r="BY135" s="50"/>
      <c r="BZ135" s="50"/>
      <c r="CA135" s="50"/>
    </row>
    <row r="136">
      <c r="A136" s="13" t="s">
        <v>660</v>
      </c>
      <c r="B136" s="27"/>
      <c r="C136" s="13" t="s">
        <v>23</v>
      </c>
      <c r="D136" s="27"/>
      <c r="E136" s="17"/>
      <c r="F136" s="13">
        <v>135.0</v>
      </c>
      <c r="G136" s="50"/>
      <c r="H136" s="26" t="s">
        <v>150</v>
      </c>
      <c r="I136" s="18"/>
      <c r="J136" s="27"/>
      <c r="K136" s="13">
        <v>62.0</v>
      </c>
      <c r="L136" s="236"/>
      <c r="M136" s="67" t="s">
        <v>150</v>
      </c>
      <c r="N136" s="18"/>
      <c r="O136" s="13">
        <v>0.0</v>
      </c>
      <c r="P136" s="236"/>
      <c r="Q136" s="26">
        <v>1092.5</v>
      </c>
      <c r="R136" s="18"/>
      <c r="S136" s="48"/>
      <c r="T136" s="18"/>
      <c r="U136" s="13">
        <v>2.0</v>
      </c>
      <c r="V136" s="18"/>
      <c r="W136" s="13">
        <v>1.0</v>
      </c>
      <c r="X136" s="18"/>
      <c r="Y136" s="27"/>
      <c r="Z136" s="50"/>
      <c r="AA136" s="50"/>
      <c r="AB136" s="50"/>
      <c r="AC136" s="50"/>
      <c r="AD136" s="50"/>
      <c r="AE136" s="27"/>
      <c r="AF136" s="13" t="s">
        <v>149</v>
      </c>
      <c r="AG136" s="16">
        <f t="shared" si="84"/>
        <v>7.71107029</v>
      </c>
      <c r="AH136" s="107">
        <v>17.0</v>
      </c>
      <c r="AI136" s="16">
        <f t="shared" si="69"/>
        <v>36.83</v>
      </c>
      <c r="AJ136" s="107">
        <v>14.5</v>
      </c>
      <c r="AK136" s="27"/>
      <c r="AL136" s="50"/>
      <c r="AM136" s="50"/>
      <c r="AN136" s="50"/>
      <c r="AO136" s="13" t="s">
        <v>400</v>
      </c>
      <c r="AP136" s="13" t="s">
        <v>401</v>
      </c>
      <c r="AQ136" s="13" t="s">
        <v>402</v>
      </c>
      <c r="AR136" s="13" t="s">
        <v>182</v>
      </c>
      <c r="AS136" s="13" t="s">
        <v>145</v>
      </c>
      <c r="AT136" s="13" t="s">
        <v>145</v>
      </c>
      <c r="AU136" s="50"/>
      <c r="AV136" s="50"/>
      <c r="AW136" s="50"/>
      <c r="AX136" s="62" t="s">
        <v>150</v>
      </c>
      <c r="AY136" s="50"/>
      <c r="AZ136" s="42">
        <f>average(1000,1400,1200,1600,1200,1000,750,1000,1200,575)</f>
        <v>1092.5</v>
      </c>
      <c r="BA136" s="13" t="s">
        <v>160</v>
      </c>
      <c r="BB136" s="13">
        <v>575.0</v>
      </c>
      <c r="BC136" s="13">
        <v>1600.0</v>
      </c>
      <c r="BD136" s="24">
        <f t="shared" ref="BD136:BD137" si="85">average(BE136,BF136)</f>
        <v>5.75</v>
      </c>
      <c r="BE136" s="13">
        <v>4.0</v>
      </c>
      <c r="BF136" s="13">
        <v>7.5</v>
      </c>
      <c r="BG136" s="35">
        <f>IFERROR(__xludf.DUMMYFUNCTION("BD136*GoogleFinance(""CURRENCY:GBPUSD"")"),7.16332125)</f>
        <v>7.16332125</v>
      </c>
      <c r="BH136" s="50"/>
      <c r="BI136" s="62" t="s">
        <v>150</v>
      </c>
      <c r="BJ136" s="158"/>
      <c r="BK136" s="62" t="s">
        <v>150</v>
      </c>
      <c r="BL136" s="42">
        <f>IFERROR(__xludf.DUMMYFUNCTION("BM136*GoogleFinance(""CURRENCY:GBPUSD"")"),976.70328)</f>
        <v>976.70328</v>
      </c>
      <c r="BM136" s="24">
        <f t="shared" si="20"/>
        <v>784</v>
      </c>
      <c r="BN136" s="13">
        <v>121.0</v>
      </c>
      <c r="BO136" s="13">
        <v>126.0</v>
      </c>
      <c r="BP136" s="13">
        <v>244.0</v>
      </c>
      <c r="BQ136" s="13">
        <v>177.0</v>
      </c>
      <c r="BR136" s="13">
        <v>116.0</v>
      </c>
      <c r="BS136" s="13">
        <v>200.0</v>
      </c>
      <c r="BT136" s="50"/>
      <c r="BU136" s="53"/>
      <c r="BV136" s="53"/>
      <c r="BW136" s="50"/>
      <c r="BX136" s="50"/>
      <c r="BY136" s="50"/>
      <c r="BZ136" s="50"/>
      <c r="CA136" s="50"/>
    </row>
    <row r="137">
      <c r="A137" s="13" t="s">
        <v>661</v>
      </c>
      <c r="B137" s="27"/>
      <c r="C137" s="13" t="s">
        <v>38</v>
      </c>
      <c r="D137" s="27"/>
      <c r="E137" s="17"/>
      <c r="F137" s="13">
        <v>103.0</v>
      </c>
      <c r="G137" s="50"/>
      <c r="H137" s="26">
        <v>15141.0</v>
      </c>
      <c r="I137" s="18"/>
      <c r="J137" s="27"/>
      <c r="K137" s="13" t="s">
        <v>150</v>
      </c>
      <c r="L137" s="236"/>
      <c r="M137" s="67">
        <v>6.98</v>
      </c>
      <c r="N137" s="18"/>
      <c r="O137" s="13" t="s">
        <v>150</v>
      </c>
      <c r="P137" s="236"/>
      <c r="Q137" s="26">
        <v>1480.0</v>
      </c>
      <c r="R137" s="18"/>
      <c r="S137" s="48"/>
      <c r="T137" s="18"/>
      <c r="U137" s="13">
        <v>2.0</v>
      </c>
      <c r="V137" s="18"/>
      <c r="W137" s="13">
        <v>1.0</v>
      </c>
      <c r="X137" s="18"/>
      <c r="Y137" s="27"/>
      <c r="Z137" s="50"/>
      <c r="AA137" s="50"/>
      <c r="AB137" s="50"/>
      <c r="AC137" s="50"/>
      <c r="AD137" s="50"/>
      <c r="AE137" s="27"/>
      <c r="AF137" s="13" t="s">
        <v>166</v>
      </c>
      <c r="AG137" s="107" t="s">
        <v>150</v>
      </c>
      <c r="AH137" s="107" t="s">
        <v>150</v>
      </c>
      <c r="AI137" s="16">
        <f t="shared" si="69"/>
        <v>72.39</v>
      </c>
      <c r="AJ137" s="108">
        <f>average(25.5,31.5)</f>
        <v>28.5</v>
      </c>
      <c r="AK137" s="27"/>
      <c r="AL137" s="13" t="s">
        <v>663</v>
      </c>
      <c r="AM137" s="50"/>
      <c r="AN137" s="50"/>
      <c r="AO137" s="13" t="s">
        <v>150</v>
      </c>
      <c r="AP137" s="13" t="s">
        <v>150</v>
      </c>
      <c r="AQ137" s="13" t="s">
        <v>150</v>
      </c>
      <c r="AR137" s="13">
        <v>125.0</v>
      </c>
      <c r="AS137" s="13" t="s">
        <v>150</v>
      </c>
      <c r="AT137" s="13" t="s">
        <v>150</v>
      </c>
      <c r="AU137" s="50"/>
      <c r="AV137" s="50"/>
      <c r="AW137" s="50"/>
      <c r="AX137" s="42">
        <f>AZ137+BI137+BK137+BS137</f>
        <v>12467.41466</v>
      </c>
      <c r="AY137" s="50"/>
      <c r="AZ137" s="42">
        <f>average(1800,700,1800,1800,1300)</f>
        <v>1480</v>
      </c>
      <c r="BA137" s="13" t="s">
        <v>160</v>
      </c>
      <c r="BB137" s="13">
        <v>700.0</v>
      </c>
      <c r="BC137" s="13">
        <v>1800.0</v>
      </c>
      <c r="BD137" s="24">
        <f t="shared" si="85"/>
        <v>8.75</v>
      </c>
      <c r="BE137" s="13">
        <v>7.5</v>
      </c>
      <c r="BF137" s="13">
        <v>10.0</v>
      </c>
      <c r="BG137" s="35">
        <f>IFERROR(__xludf.DUMMYFUNCTION("BD137*GoogleFinance(""CURRENCY:GBPUSD"")"),10.90070625)</f>
        <v>10.90070625</v>
      </c>
      <c r="BH137" s="50"/>
      <c r="BI137" s="42">
        <f>BG137*52.1775*M137</f>
        <v>3970.025771</v>
      </c>
      <c r="BJ137" s="158"/>
      <c r="BK137" s="42">
        <f>BL137*M137</f>
        <v>6817.388894</v>
      </c>
      <c r="BL137" s="42">
        <f>IFERROR(__xludf.DUMMYFUNCTION("BM137*GoogleFinance(""CURRENCY:GBPUSD"")"),976.70328)</f>
        <v>976.70328</v>
      </c>
      <c r="BM137" s="24">
        <f t="shared" si="20"/>
        <v>784</v>
      </c>
      <c r="BN137" s="13">
        <v>121.0</v>
      </c>
      <c r="BO137" s="13">
        <v>126.0</v>
      </c>
      <c r="BP137" s="13">
        <v>244.0</v>
      </c>
      <c r="BQ137" s="13">
        <v>177.0</v>
      </c>
      <c r="BR137" s="13">
        <v>116.0</v>
      </c>
      <c r="BS137" s="13">
        <v>200.0</v>
      </c>
      <c r="BT137" s="50"/>
      <c r="BU137" s="53"/>
      <c r="BV137" s="53"/>
      <c r="BW137" s="50"/>
      <c r="BX137" s="50"/>
      <c r="BY137" s="50"/>
      <c r="BZ137" s="50"/>
      <c r="CA137" s="50"/>
    </row>
    <row r="138">
      <c r="A138" s="13" t="s">
        <v>770</v>
      </c>
      <c r="B138" s="181"/>
      <c r="C138" s="50"/>
      <c r="D138" s="27"/>
      <c r="E138" s="17"/>
      <c r="F138" s="50"/>
      <c r="G138" s="50"/>
      <c r="H138" s="48"/>
      <c r="I138" s="18"/>
      <c r="J138" s="27"/>
      <c r="K138" s="50"/>
      <c r="L138" s="236"/>
      <c r="M138" s="35"/>
      <c r="N138" s="18"/>
      <c r="O138" s="50"/>
      <c r="P138" s="236"/>
      <c r="Q138" s="48"/>
      <c r="R138" s="18"/>
      <c r="S138" s="48"/>
      <c r="T138" s="18"/>
      <c r="U138" s="50"/>
      <c r="V138" s="18"/>
      <c r="W138" s="50"/>
      <c r="X138" s="18"/>
      <c r="Y138" s="27"/>
      <c r="Z138" s="35"/>
      <c r="AA138" s="50"/>
      <c r="AB138" s="50"/>
      <c r="AC138" s="50"/>
      <c r="AD138" s="50"/>
      <c r="AE138" s="27"/>
      <c r="AF138" s="50"/>
      <c r="AG138" s="18"/>
      <c r="AH138" s="18"/>
      <c r="AI138" s="18"/>
      <c r="AJ138" s="18"/>
      <c r="AK138" s="27"/>
      <c r="AL138" s="50"/>
      <c r="AM138" s="50"/>
      <c r="AN138" s="50"/>
      <c r="AO138" s="50"/>
      <c r="AP138" s="50"/>
      <c r="AQ138" s="50"/>
      <c r="AR138" s="50"/>
      <c r="AS138" s="50"/>
      <c r="AT138" s="50"/>
      <c r="AU138" s="64"/>
      <c r="AV138" s="50"/>
      <c r="AW138" s="50"/>
      <c r="AX138" s="42"/>
      <c r="AY138" s="50"/>
      <c r="AZ138" s="42"/>
      <c r="BA138" s="50"/>
      <c r="BB138" s="50"/>
      <c r="BC138" s="50"/>
      <c r="BD138" s="42"/>
      <c r="BE138" s="42"/>
      <c r="BF138" s="42"/>
      <c r="BG138" s="42"/>
      <c r="BH138" s="42"/>
      <c r="BI138" s="42"/>
      <c r="BJ138" s="158"/>
      <c r="BK138" s="42"/>
      <c r="BL138" s="42"/>
      <c r="BM138" s="50"/>
      <c r="BN138" s="50"/>
      <c r="BO138" s="50"/>
      <c r="BP138" s="50"/>
      <c r="BQ138" s="50"/>
      <c r="BR138" s="50"/>
      <c r="BS138" s="50"/>
      <c r="BT138" s="50"/>
      <c r="BU138" s="53"/>
      <c r="BV138" s="53"/>
      <c r="BW138" s="50"/>
      <c r="BX138" s="50"/>
      <c r="BY138" s="50"/>
      <c r="BZ138" s="50"/>
      <c r="CA138" s="50"/>
    </row>
    <row r="139">
      <c r="A139" s="13" t="s">
        <v>665</v>
      </c>
      <c r="B139" s="27"/>
      <c r="C139" s="13" t="s">
        <v>34</v>
      </c>
      <c r="D139" s="27"/>
      <c r="E139" s="17"/>
      <c r="F139" s="13">
        <v>152.0</v>
      </c>
      <c r="G139" s="50"/>
      <c r="H139" s="26" t="s">
        <v>150</v>
      </c>
      <c r="I139" s="18"/>
      <c r="J139" s="27"/>
      <c r="K139" s="13" t="s">
        <v>150</v>
      </c>
      <c r="L139" s="236"/>
      <c r="M139" s="67">
        <v>10.0</v>
      </c>
      <c r="N139" s="18"/>
      <c r="O139" s="13">
        <v>0.0</v>
      </c>
      <c r="P139" s="236"/>
      <c r="Q139" s="26" t="s">
        <v>150</v>
      </c>
      <c r="R139" s="18"/>
      <c r="S139" s="48"/>
      <c r="T139" s="18"/>
      <c r="U139" s="13" t="s">
        <v>182</v>
      </c>
      <c r="V139" s="18"/>
      <c r="W139" s="13" t="s">
        <v>182</v>
      </c>
      <c r="X139" s="18"/>
      <c r="Y139" s="27"/>
      <c r="Z139" s="50"/>
      <c r="AA139" s="50"/>
      <c r="AB139" s="50"/>
      <c r="AC139" s="50"/>
      <c r="AD139" s="50"/>
      <c r="AE139" s="27"/>
      <c r="AF139" s="13" t="s">
        <v>149</v>
      </c>
      <c r="AG139" s="115" t="s">
        <v>150</v>
      </c>
      <c r="AH139" s="107" t="s">
        <v>150</v>
      </c>
      <c r="AI139" s="16">
        <f>AJ139*2.54</f>
        <v>33.02</v>
      </c>
      <c r="AJ139" s="108">
        <f>average(12,14)</f>
        <v>13</v>
      </c>
      <c r="AK139" s="27"/>
      <c r="AL139" s="50"/>
      <c r="AM139" s="50"/>
      <c r="AN139" s="50"/>
      <c r="AO139" s="13" t="s">
        <v>150</v>
      </c>
      <c r="AP139" s="13" t="s">
        <v>150</v>
      </c>
      <c r="AQ139" s="13" t="s">
        <v>150</v>
      </c>
      <c r="AR139" s="13">
        <v>9.0</v>
      </c>
      <c r="AS139" s="13" t="s">
        <v>145</v>
      </c>
      <c r="AT139" s="13" t="s">
        <v>145</v>
      </c>
      <c r="AU139" s="50"/>
      <c r="AV139" s="50"/>
      <c r="AW139" s="50"/>
      <c r="AX139" s="62" t="s">
        <v>150</v>
      </c>
      <c r="AY139" s="50"/>
      <c r="AZ139" s="62" t="s">
        <v>150</v>
      </c>
      <c r="BA139" s="62" t="s">
        <v>150</v>
      </c>
      <c r="BB139" s="13" t="s">
        <v>150</v>
      </c>
      <c r="BC139" s="13" t="s">
        <v>150</v>
      </c>
      <c r="BD139" s="62" t="s">
        <v>150</v>
      </c>
      <c r="BE139" s="62" t="s">
        <v>150</v>
      </c>
      <c r="BF139" s="62" t="s">
        <v>150</v>
      </c>
      <c r="BG139" s="62" t="s">
        <v>150</v>
      </c>
      <c r="BH139" s="42"/>
      <c r="BI139" s="62" t="s">
        <v>150</v>
      </c>
      <c r="BJ139" s="158"/>
      <c r="BK139" s="42">
        <f t="shared" ref="BK139:BK141" si="86">BL139*M139</f>
        <v>9767.0328</v>
      </c>
      <c r="BL139" s="42">
        <f>IFERROR(__xludf.DUMMYFUNCTION("BM139*GoogleFinance(""CURRENCY:GBPUSD"")"),976.70328)</f>
        <v>976.70328</v>
      </c>
      <c r="BM139" s="24">
        <f t="shared" ref="BM139:BM147" si="87">sum(BN139:BR139)</f>
        <v>784</v>
      </c>
      <c r="BN139" s="13">
        <v>121.0</v>
      </c>
      <c r="BO139" s="13">
        <v>126.0</v>
      </c>
      <c r="BP139" s="13">
        <v>244.0</v>
      </c>
      <c r="BQ139" s="13">
        <v>177.0</v>
      </c>
      <c r="BR139" s="13">
        <v>116.0</v>
      </c>
      <c r="BS139" s="13">
        <v>200.0</v>
      </c>
      <c r="BT139" s="50"/>
      <c r="BU139" s="53"/>
      <c r="BV139" s="53"/>
      <c r="BW139" s="50"/>
      <c r="BX139" s="50"/>
      <c r="BY139" s="50"/>
      <c r="BZ139" s="50"/>
      <c r="CA139" s="50"/>
    </row>
    <row r="140">
      <c r="A140" s="13" t="s">
        <v>667</v>
      </c>
      <c r="B140" s="27"/>
      <c r="C140" s="13" t="s">
        <v>23</v>
      </c>
      <c r="D140" s="27"/>
      <c r="E140" s="17"/>
      <c r="F140" s="13">
        <v>119.0</v>
      </c>
      <c r="G140" s="50"/>
      <c r="H140" s="26" t="s">
        <v>150</v>
      </c>
      <c r="I140" s="18"/>
      <c r="J140" s="27"/>
      <c r="K140" s="13">
        <v>32.0</v>
      </c>
      <c r="L140" s="236"/>
      <c r="M140" s="67">
        <v>9.32</v>
      </c>
      <c r="N140" s="18"/>
      <c r="O140" s="13">
        <v>0.0</v>
      </c>
      <c r="P140" s="236"/>
      <c r="Q140" s="26">
        <v>720.0</v>
      </c>
      <c r="R140" s="18"/>
      <c r="S140" s="48"/>
      <c r="T140" s="18"/>
      <c r="U140" s="13" t="s">
        <v>182</v>
      </c>
      <c r="V140" s="18"/>
      <c r="W140" s="13" t="s">
        <v>182</v>
      </c>
      <c r="X140" s="18"/>
      <c r="Y140" s="27"/>
      <c r="Z140" s="50"/>
      <c r="AA140" s="50"/>
      <c r="AB140" s="50"/>
      <c r="AC140" s="50"/>
      <c r="AD140" s="50"/>
      <c r="AE140" s="27"/>
      <c r="AF140" s="13" t="s">
        <v>149</v>
      </c>
      <c r="AG140" s="16">
        <f>AH140*0.45359237</f>
        <v>7.71107029</v>
      </c>
      <c r="AH140" s="108">
        <f>average(12,22)</f>
        <v>17</v>
      </c>
      <c r="AI140" s="115" t="s">
        <v>150</v>
      </c>
      <c r="AJ140" s="107" t="s">
        <v>150</v>
      </c>
      <c r="AK140" s="27"/>
      <c r="AL140" s="13" t="s">
        <v>668</v>
      </c>
      <c r="AM140" s="50"/>
      <c r="AN140" s="50"/>
      <c r="AO140" s="13" t="s">
        <v>142</v>
      </c>
      <c r="AP140" s="13" t="s">
        <v>143</v>
      </c>
      <c r="AQ140" s="13" t="s">
        <v>144</v>
      </c>
      <c r="AR140" s="13">
        <v>142.0</v>
      </c>
      <c r="AS140" s="13" t="s">
        <v>145</v>
      </c>
      <c r="AT140" s="13" t="s">
        <v>145</v>
      </c>
      <c r="AU140" s="50"/>
      <c r="AV140" s="50"/>
      <c r="AW140" s="50"/>
      <c r="AX140" s="62" t="s">
        <v>150</v>
      </c>
      <c r="AY140" s="50"/>
      <c r="AZ140" s="42">
        <f>average(1500,700,300,140,800,800,800)</f>
        <v>720</v>
      </c>
      <c r="BA140" s="13" t="s">
        <v>160</v>
      </c>
      <c r="BB140" s="13">
        <v>140.0</v>
      </c>
      <c r="BC140" s="13">
        <v>1500.0</v>
      </c>
      <c r="BD140" s="62" t="s">
        <v>150</v>
      </c>
      <c r="BE140" s="62" t="s">
        <v>150</v>
      </c>
      <c r="BF140" s="62" t="s">
        <v>150</v>
      </c>
      <c r="BG140" s="62" t="s">
        <v>150</v>
      </c>
      <c r="BH140" s="42"/>
      <c r="BI140" s="62" t="s">
        <v>150</v>
      </c>
      <c r="BJ140" s="158"/>
      <c r="BK140" s="42">
        <f t="shared" si="86"/>
        <v>9102.87457</v>
      </c>
      <c r="BL140" s="42">
        <f>IFERROR(__xludf.DUMMYFUNCTION("BM140*GoogleFinance(""CURRENCY:GBPUSD"")"),976.70328)</f>
        <v>976.70328</v>
      </c>
      <c r="BM140" s="24">
        <f t="shared" si="87"/>
        <v>784</v>
      </c>
      <c r="BN140" s="13">
        <v>121.0</v>
      </c>
      <c r="BO140" s="13">
        <v>126.0</v>
      </c>
      <c r="BP140" s="13">
        <v>244.0</v>
      </c>
      <c r="BQ140" s="13">
        <v>177.0</v>
      </c>
      <c r="BR140" s="13">
        <v>116.0</v>
      </c>
      <c r="BS140" s="13">
        <v>200.0</v>
      </c>
      <c r="BT140" s="50"/>
      <c r="BU140" s="53"/>
      <c r="BV140" s="53"/>
      <c r="BW140" s="50"/>
      <c r="BX140" s="50"/>
      <c r="BY140" s="50"/>
      <c r="BZ140" s="50"/>
      <c r="CA140" s="50"/>
    </row>
    <row r="141">
      <c r="A141" s="13" t="s">
        <v>674</v>
      </c>
      <c r="B141" s="27"/>
      <c r="C141" s="13" t="s">
        <v>23</v>
      </c>
      <c r="D141" s="27"/>
      <c r="E141" s="17"/>
      <c r="F141" s="13">
        <v>127.0</v>
      </c>
      <c r="G141" s="50"/>
      <c r="H141" s="26" t="s">
        <v>150</v>
      </c>
      <c r="I141" s="18"/>
      <c r="J141" s="27"/>
      <c r="K141" s="13" t="s">
        <v>150</v>
      </c>
      <c r="L141" s="236"/>
      <c r="M141" s="67">
        <v>6.6</v>
      </c>
      <c r="N141" s="18"/>
      <c r="O141" s="13">
        <v>0.0</v>
      </c>
      <c r="P141" s="236"/>
      <c r="Q141" s="26">
        <v>1739.6</v>
      </c>
      <c r="R141" s="18"/>
      <c r="S141" s="48"/>
      <c r="T141" s="18"/>
      <c r="U141" s="13" t="s">
        <v>182</v>
      </c>
      <c r="V141" s="18"/>
      <c r="W141" s="13" t="s">
        <v>182</v>
      </c>
      <c r="X141" s="18"/>
      <c r="Y141" s="27"/>
      <c r="Z141" s="50"/>
      <c r="AA141" s="50"/>
      <c r="AB141" s="50"/>
      <c r="AC141" s="50"/>
      <c r="AD141" s="50"/>
      <c r="AE141" s="27"/>
      <c r="AF141" s="13" t="s">
        <v>149</v>
      </c>
      <c r="AG141" s="107" t="s">
        <v>150</v>
      </c>
      <c r="AH141" s="107" t="s">
        <v>150</v>
      </c>
      <c r="AI141" s="16">
        <f t="shared" ref="AI141:AI147" si="88">AJ141*2.54</f>
        <v>30.48</v>
      </c>
      <c r="AJ141" s="108">
        <f>average(10,14)</f>
        <v>12</v>
      </c>
      <c r="AK141" s="27"/>
      <c r="AL141" s="50"/>
      <c r="AM141" s="50"/>
      <c r="AN141" s="50"/>
      <c r="AO141" s="13" t="s">
        <v>150</v>
      </c>
      <c r="AP141" s="13" t="s">
        <v>150</v>
      </c>
      <c r="AQ141" s="13" t="s">
        <v>150</v>
      </c>
      <c r="AR141" s="13">
        <v>73.0</v>
      </c>
      <c r="AS141" s="13" t="s">
        <v>145</v>
      </c>
      <c r="AT141" s="13" t="s">
        <v>145</v>
      </c>
      <c r="AU141" s="50"/>
      <c r="AV141" s="50"/>
      <c r="AW141" s="50"/>
      <c r="AX141" s="62" t="s">
        <v>150</v>
      </c>
      <c r="AY141" s="50"/>
      <c r="AZ141" s="42">
        <f>average(2500,2000,999,999,2000,999,1199,1900,2000,2800)</f>
        <v>1739.6</v>
      </c>
      <c r="BA141" s="13" t="s">
        <v>372</v>
      </c>
      <c r="BB141" s="13">
        <v>999.0</v>
      </c>
      <c r="BC141" s="13">
        <v>2800.0</v>
      </c>
      <c r="BD141" s="62" t="s">
        <v>150</v>
      </c>
      <c r="BE141" s="62" t="s">
        <v>150</v>
      </c>
      <c r="BF141" s="62" t="s">
        <v>150</v>
      </c>
      <c r="BG141" s="62" t="s">
        <v>150</v>
      </c>
      <c r="BH141" s="42"/>
      <c r="BI141" s="62" t="s">
        <v>150</v>
      </c>
      <c r="BJ141" s="158"/>
      <c r="BK141" s="42">
        <f t="shared" si="86"/>
        <v>6446.241648</v>
      </c>
      <c r="BL141" s="42">
        <f>IFERROR(__xludf.DUMMYFUNCTION("BM141*GoogleFinance(""CURRENCY:GBPUSD"")"),976.70328)</f>
        <v>976.70328</v>
      </c>
      <c r="BM141" s="24">
        <f t="shared" si="87"/>
        <v>784</v>
      </c>
      <c r="BN141" s="13">
        <v>121.0</v>
      </c>
      <c r="BO141" s="13">
        <v>126.0</v>
      </c>
      <c r="BP141" s="13">
        <v>244.0</v>
      </c>
      <c r="BQ141" s="13">
        <v>177.0</v>
      </c>
      <c r="BR141" s="13">
        <v>116.0</v>
      </c>
      <c r="BS141" s="13">
        <v>200.0</v>
      </c>
      <c r="BT141" s="50"/>
      <c r="BU141" s="53"/>
      <c r="BV141" s="53"/>
      <c r="BW141" s="50"/>
      <c r="BX141" s="50"/>
      <c r="BY141" s="50"/>
      <c r="BZ141" s="50"/>
      <c r="CA141" s="50"/>
    </row>
    <row r="142">
      <c r="A142" s="13" t="s">
        <v>675</v>
      </c>
      <c r="B142" s="27"/>
      <c r="C142" s="13" t="s">
        <v>43</v>
      </c>
      <c r="D142" s="27"/>
      <c r="E142" s="17"/>
      <c r="F142" s="13">
        <v>42.0</v>
      </c>
      <c r="G142" s="50"/>
      <c r="H142" s="26" t="s">
        <v>150</v>
      </c>
      <c r="I142" s="18"/>
      <c r="J142" s="27"/>
      <c r="K142" s="13">
        <v>37.0</v>
      </c>
      <c r="L142" s="236"/>
      <c r="M142" s="67" t="s">
        <v>150</v>
      </c>
      <c r="N142" s="18"/>
      <c r="O142" s="13">
        <v>0.0</v>
      </c>
      <c r="P142" s="236"/>
      <c r="Q142" s="26">
        <v>534.5</v>
      </c>
      <c r="R142" s="18"/>
      <c r="S142" s="48"/>
      <c r="T142" s="18"/>
      <c r="U142" s="13" t="s">
        <v>182</v>
      </c>
      <c r="V142" s="18"/>
      <c r="W142" s="13" t="s">
        <v>182</v>
      </c>
      <c r="X142" s="18"/>
      <c r="Y142" s="27"/>
      <c r="Z142" s="50"/>
      <c r="AA142" s="50"/>
      <c r="AB142" s="50"/>
      <c r="AC142" s="50"/>
      <c r="AD142" s="50"/>
      <c r="AE142" s="27"/>
      <c r="AF142" s="13" t="s">
        <v>149</v>
      </c>
      <c r="AG142" s="115" t="s">
        <v>150</v>
      </c>
      <c r="AH142" s="107" t="s">
        <v>150</v>
      </c>
      <c r="AI142" s="16">
        <f t="shared" si="88"/>
        <v>28.575</v>
      </c>
      <c r="AJ142" s="108">
        <f>average(11,11.5)</f>
        <v>11.25</v>
      </c>
      <c r="AK142" s="27"/>
      <c r="AL142" s="50"/>
      <c r="AM142" s="50"/>
      <c r="AN142" s="50"/>
      <c r="AO142" s="13" t="s">
        <v>142</v>
      </c>
      <c r="AP142" s="13" t="s">
        <v>143</v>
      </c>
      <c r="AQ142" s="13" t="s">
        <v>144</v>
      </c>
      <c r="AR142" s="13" t="s">
        <v>182</v>
      </c>
      <c r="AS142" s="13" t="s">
        <v>145</v>
      </c>
      <c r="AT142" s="13" t="s">
        <v>145</v>
      </c>
      <c r="AU142" s="50"/>
      <c r="AV142" s="50"/>
      <c r="AW142" s="50"/>
      <c r="AX142" s="62" t="s">
        <v>150</v>
      </c>
      <c r="AY142" s="50"/>
      <c r="AZ142" s="42">
        <f>average(300,450,450,400,600,900,500,400,450,895)</f>
        <v>534.5</v>
      </c>
      <c r="BA142" s="13" t="s">
        <v>146</v>
      </c>
      <c r="BB142" s="13">
        <v>300.0</v>
      </c>
      <c r="BC142" s="13">
        <v>900.0</v>
      </c>
      <c r="BD142" s="62" t="s">
        <v>150</v>
      </c>
      <c r="BE142" s="62" t="s">
        <v>150</v>
      </c>
      <c r="BF142" s="62" t="s">
        <v>150</v>
      </c>
      <c r="BG142" s="62" t="s">
        <v>150</v>
      </c>
      <c r="BH142" s="42"/>
      <c r="BI142" s="62" t="s">
        <v>150</v>
      </c>
      <c r="BJ142" s="158"/>
      <c r="BK142" s="62" t="s">
        <v>150</v>
      </c>
      <c r="BL142" s="42">
        <f>IFERROR(__xludf.DUMMYFUNCTION("BM142*GoogleFinance(""CURRENCY:GBPUSD"")"),976.70328)</f>
        <v>976.70328</v>
      </c>
      <c r="BM142" s="24">
        <f t="shared" si="87"/>
        <v>784</v>
      </c>
      <c r="BN142" s="13">
        <v>121.0</v>
      </c>
      <c r="BO142" s="13">
        <v>126.0</v>
      </c>
      <c r="BP142" s="13">
        <v>244.0</v>
      </c>
      <c r="BQ142" s="13">
        <v>177.0</v>
      </c>
      <c r="BR142" s="13">
        <v>116.0</v>
      </c>
      <c r="BS142" s="13">
        <v>200.0</v>
      </c>
      <c r="BT142" s="50"/>
      <c r="BU142" s="53"/>
      <c r="BV142" s="53"/>
      <c r="BW142" s="50"/>
      <c r="BX142" s="50"/>
      <c r="BY142" s="50"/>
      <c r="BZ142" s="50"/>
      <c r="CA142" s="50"/>
    </row>
    <row r="143">
      <c r="A143" s="13" t="s">
        <v>680</v>
      </c>
      <c r="B143" s="27"/>
      <c r="C143" s="13" t="s">
        <v>38</v>
      </c>
      <c r="D143" s="27"/>
      <c r="E143" s="17"/>
      <c r="F143" s="13">
        <v>110.0</v>
      </c>
      <c r="G143" s="50"/>
      <c r="H143" s="26" t="s">
        <v>150</v>
      </c>
      <c r="I143" s="18"/>
      <c r="J143" s="27"/>
      <c r="K143" s="13" t="s">
        <v>150</v>
      </c>
      <c r="L143" s="236"/>
      <c r="M143" s="67" t="s">
        <v>150</v>
      </c>
      <c r="N143" s="18"/>
      <c r="O143" s="13">
        <v>1.0</v>
      </c>
      <c r="P143" s="236"/>
      <c r="Q143" s="26">
        <v>1760.0</v>
      </c>
      <c r="R143" s="18"/>
      <c r="S143" s="48"/>
      <c r="T143" s="18"/>
      <c r="U143" s="13">
        <v>2.0</v>
      </c>
      <c r="V143" s="18"/>
      <c r="W143" s="13">
        <v>1.0</v>
      </c>
      <c r="X143" s="18"/>
      <c r="Y143" s="27"/>
      <c r="Z143" s="50"/>
      <c r="AA143" s="50"/>
      <c r="AB143" s="50"/>
      <c r="AC143" s="50"/>
      <c r="AD143" s="50"/>
      <c r="AE143" s="27"/>
      <c r="AF143" s="13" t="s">
        <v>166</v>
      </c>
      <c r="AG143" s="16">
        <f t="shared" ref="AG143:AG145" si="89">AH143*0.45359237</f>
        <v>58.9670081</v>
      </c>
      <c r="AH143" s="108">
        <f>average(110,150)</f>
        <v>130</v>
      </c>
      <c r="AI143" s="16">
        <f t="shared" si="88"/>
        <v>69.85</v>
      </c>
      <c r="AJ143" s="108">
        <f>average(24,31)</f>
        <v>27.5</v>
      </c>
      <c r="AK143" s="27"/>
      <c r="AL143" s="50"/>
      <c r="AM143" s="50"/>
      <c r="AN143" s="50"/>
      <c r="AO143" s="13" t="s">
        <v>150</v>
      </c>
      <c r="AP143" s="13" t="s">
        <v>150</v>
      </c>
      <c r="AQ143" s="13" t="s">
        <v>150</v>
      </c>
      <c r="AR143" s="13" t="s">
        <v>182</v>
      </c>
      <c r="AS143" s="13" t="s">
        <v>174</v>
      </c>
      <c r="AT143" s="13" t="s">
        <v>175</v>
      </c>
      <c r="AU143" s="50"/>
      <c r="AV143" s="50"/>
      <c r="AW143" s="50"/>
      <c r="AX143" s="62" t="s">
        <v>150</v>
      </c>
      <c r="AY143" s="50"/>
      <c r="AZ143" s="42">
        <f>average(1600,2000,2000,1500,1150,850,2000,1500,3500,1500)</f>
        <v>1760</v>
      </c>
      <c r="BA143" s="13" t="s">
        <v>372</v>
      </c>
      <c r="BB143" s="13">
        <v>850.0</v>
      </c>
      <c r="BC143" s="13">
        <v>3500.0</v>
      </c>
      <c r="BD143" s="24">
        <f>average(BE143,BF143)</f>
        <v>15</v>
      </c>
      <c r="BE143" s="13">
        <v>15.0</v>
      </c>
      <c r="BF143" s="13">
        <v>15.0</v>
      </c>
      <c r="BG143" s="35">
        <f>IFERROR(__xludf.DUMMYFUNCTION("BD143*GoogleFinance(""CURRENCY:GBPUSD"")"),18.686925)</f>
        <v>18.686925</v>
      </c>
      <c r="BH143" s="50"/>
      <c r="BI143" s="62" t="s">
        <v>150</v>
      </c>
      <c r="BJ143" s="158"/>
      <c r="BK143" s="62" t="s">
        <v>150</v>
      </c>
      <c r="BL143" s="42">
        <f>IFERROR(__xludf.DUMMYFUNCTION("BM143*GoogleFinance(""CURRENCY:GBPUSD"")"),976.70328)</f>
        <v>976.70328</v>
      </c>
      <c r="BM143" s="24">
        <f t="shared" si="87"/>
        <v>784</v>
      </c>
      <c r="BN143" s="13">
        <v>121.0</v>
      </c>
      <c r="BO143" s="13">
        <v>126.0</v>
      </c>
      <c r="BP143" s="13">
        <v>244.0</v>
      </c>
      <c r="BQ143" s="13">
        <v>177.0</v>
      </c>
      <c r="BR143" s="13">
        <v>116.0</v>
      </c>
      <c r="BS143" s="13">
        <v>200.0</v>
      </c>
      <c r="BT143" s="50"/>
      <c r="BU143" s="53"/>
      <c r="BV143" s="53"/>
      <c r="BW143" s="50"/>
      <c r="BX143" s="50"/>
      <c r="BY143" s="50"/>
      <c r="BZ143" s="50"/>
      <c r="CA143" s="50"/>
    </row>
    <row r="144">
      <c r="A144" s="13" t="s">
        <v>688</v>
      </c>
      <c r="B144" s="27"/>
      <c r="C144" s="13" t="s">
        <v>32</v>
      </c>
      <c r="D144" s="27"/>
      <c r="E144" s="17"/>
      <c r="F144" s="13">
        <v>165.0</v>
      </c>
      <c r="G144" s="50"/>
      <c r="H144" s="26" t="s">
        <v>150</v>
      </c>
      <c r="I144" s="18"/>
      <c r="J144" s="27"/>
      <c r="K144" s="13" t="s">
        <v>150</v>
      </c>
      <c r="L144" s="236"/>
      <c r="M144" s="67">
        <v>12.67</v>
      </c>
      <c r="N144" s="18"/>
      <c r="O144" s="13" t="s">
        <v>150</v>
      </c>
      <c r="P144" s="236"/>
      <c r="Q144" s="26" t="s">
        <v>150</v>
      </c>
      <c r="R144" s="18"/>
      <c r="S144" s="48"/>
      <c r="T144" s="18"/>
      <c r="U144" s="13" t="s">
        <v>182</v>
      </c>
      <c r="V144" s="18"/>
      <c r="W144" s="13" t="s">
        <v>182</v>
      </c>
      <c r="X144" s="18"/>
      <c r="Y144" s="27"/>
      <c r="Z144" s="50"/>
      <c r="AA144" s="50"/>
      <c r="AB144" s="50"/>
      <c r="AC144" s="50"/>
      <c r="AD144" s="50"/>
      <c r="AE144" s="27"/>
      <c r="AF144" s="13" t="s">
        <v>148</v>
      </c>
      <c r="AG144" s="16">
        <f t="shared" si="89"/>
        <v>14.96854821</v>
      </c>
      <c r="AH144" s="108">
        <f>average(26,40)</f>
        <v>33</v>
      </c>
      <c r="AI144" s="16">
        <f t="shared" si="88"/>
        <v>43.815</v>
      </c>
      <c r="AJ144" s="108">
        <f>average(16,18.5)</f>
        <v>17.25</v>
      </c>
      <c r="AK144" s="27"/>
      <c r="AL144" s="50"/>
      <c r="AM144" s="50"/>
      <c r="AN144" s="50"/>
      <c r="AO144" s="13" t="s">
        <v>150</v>
      </c>
      <c r="AP144" s="13" t="s">
        <v>150</v>
      </c>
      <c r="AQ144" s="13" t="s">
        <v>150</v>
      </c>
      <c r="AR144" s="13">
        <v>17.0</v>
      </c>
      <c r="AS144" s="13" t="s">
        <v>150</v>
      </c>
      <c r="AT144" s="13" t="s">
        <v>150</v>
      </c>
      <c r="AU144" s="50"/>
      <c r="AV144" s="50"/>
      <c r="AW144" s="50"/>
      <c r="AX144" s="62" t="s">
        <v>150</v>
      </c>
      <c r="AY144" s="50"/>
      <c r="AZ144" s="62" t="s">
        <v>150</v>
      </c>
      <c r="BA144" s="62" t="s">
        <v>150</v>
      </c>
      <c r="BB144" s="62" t="s">
        <v>150</v>
      </c>
      <c r="BC144" s="62" t="s">
        <v>150</v>
      </c>
      <c r="BD144" s="62" t="s">
        <v>150</v>
      </c>
      <c r="BE144" s="62" t="s">
        <v>150</v>
      </c>
      <c r="BF144" s="62" t="s">
        <v>150</v>
      </c>
      <c r="BG144" s="62" t="s">
        <v>150</v>
      </c>
      <c r="BH144" s="42"/>
      <c r="BI144" s="62" t="s">
        <v>150</v>
      </c>
      <c r="BJ144" s="158"/>
      <c r="BK144" s="42">
        <f>BL144*M144</f>
        <v>12374.83056</v>
      </c>
      <c r="BL144" s="42">
        <f>IFERROR(__xludf.DUMMYFUNCTION("BM144*GoogleFinance(""CURRENCY:GBPUSD"")"),976.70328)</f>
        <v>976.70328</v>
      </c>
      <c r="BM144" s="24">
        <f t="shared" si="87"/>
        <v>784</v>
      </c>
      <c r="BN144" s="13">
        <v>121.0</v>
      </c>
      <c r="BO144" s="13">
        <v>126.0</v>
      </c>
      <c r="BP144" s="13">
        <v>244.0</v>
      </c>
      <c r="BQ144" s="13">
        <v>177.0</v>
      </c>
      <c r="BR144" s="13">
        <v>116.0</v>
      </c>
      <c r="BS144" s="13">
        <v>200.0</v>
      </c>
      <c r="BT144" s="50"/>
      <c r="BU144" s="53"/>
      <c r="BV144" s="53"/>
      <c r="BW144" s="50"/>
      <c r="BX144" s="50"/>
      <c r="BY144" s="50"/>
      <c r="BZ144" s="50"/>
      <c r="CA144" s="50"/>
    </row>
    <row r="145">
      <c r="A145" s="13" t="s">
        <v>689</v>
      </c>
      <c r="B145" s="27"/>
      <c r="C145" s="13" t="s">
        <v>53</v>
      </c>
      <c r="D145" s="27"/>
      <c r="E145" s="17"/>
      <c r="F145" s="13">
        <v>96.0</v>
      </c>
      <c r="G145" s="50"/>
      <c r="H145" s="26" t="s">
        <v>150</v>
      </c>
      <c r="I145" s="18"/>
      <c r="J145" s="27"/>
      <c r="K145" s="13">
        <v>36.0</v>
      </c>
      <c r="L145" s="236"/>
      <c r="M145" s="67" t="s">
        <v>150</v>
      </c>
      <c r="N145" s="18"/>
      <c r="O145" s="13">
        <v>1.0</v>
      </c>
      <c r="P145" s="236"/>
      <c r="Q145" s="26">
        <v>448.0</v>
      </c>
      <c r="R145" s="18"/>
      <c r="S145" s="48"/>
      <c r="T145" s="18"/>
      <c r="U145" s="13" t="s">
        <v>182</v>
      </c>
      <c r="V145" s="18"/>
      <c r="W145" s="13" t="s">
        <v>182</v>
      </c>
      <c r="X145" s="18"/>
      <c r="Y145" s="27"/>
      <c r="Z145" s="50"/>
      <c r="AA145" s="50"/>
      <c r="AB145" s="50"/>
      <c r="AC145" s="50"/>
      <c r="AD145" s="50"/>
      <c r="AE145" s="27"/>
      <c r="AF145" s="13" t="s">
        <v>148</v>
      </c>
      <c r="AG145" s="16">
        <f t="shared" si="89"/>
        <v>23.36000706</v>
      </c>
      <c r="AH145" s="108">
        <f>average(48,55)</f>
        <v>51.5</v>
      </c>
      <c r="AI145" s="16">
        <f t="shared" si="88"/>
        <v>50.8</v>
      </c>
      <c r="AJ145" s="108">
        <f>average(19.5,20.5)</f>
        <v>20</v>
      </c>
      <c r="AK145" s="27"/>
      <c r="AL145" s="13" t="s">
        <v>690</v>
      </c>
      <c r="AM145" s="50"/>
      <c r="AN145" s="50"/>
      <c r="AO145" s="13" t="s">
        <v>142</v>
      </c>
      <c r="AP145" s="13" t="s">
        <v>143</v>
      </c>
      <c r="AQ145" s="13" t="s">
        <v>144</v>
      </c>
      <c r="AR145" s="13" t="s">
        <v>182</v>
      </c>
      <c r="AS145" s="13" t="s">
        <v>174</v>
      </c>
      <c r="AT145" s="13" t="s">
        <v>175</v>
      </c>
      <c r="AU145" s="50"/>
      <c r="AV145" s="50"/>
      <c r="AW145" s="50"/>
      <c r="AX145" s="62" t="s">
        <v>150</v>
      </c>
      <c r="AY145" s="50"/>
      <c r="AZ145" s="42">
        <f>average(500,465,350,500,425)</f>
        <v>448</v>
      </c>
      <c r="BA145" s="13" t="s">
        <v>146</v>
      </c>
      <c r="BB145" s="13">
        <v>350.0</v>
      </c>
      <c r="BC145" s="13">
        <v>500.0</v>
      </c>
      <c r="BD145" s="62" t="s">
        <v>150</v>
      </c>
      <c r="BE145" s="62" t="s">
        <v>150</v>
      </c>
      <c r="BF145" s="62" t="s">
        <v>150</v>
      </c>
      <c r="BG145" s="62" t="s">
        <v>150</v>
      </c>
      <c r="BH145" s="42"/>
      <c r="BI145" s="62" t="s">
        <v>150</v>
      </c>
      <c r="BJ145" s="158"/>
      <c r="BK145" s="62" t="s">
        <v>150</v>
      </c>
      <c r="BL145" s="42">
        <f>IFERROR(__xludf.DUMMYFUNCTION("BM145*GoogleFinance(""CURRENCY:GBPUSD"")"),976.70328)</f>
        <v>976.70328</v>
      </c>
      <c r="BM145" s="24">
        <f t="shared" si="87"/>
        <v>784</v>
      </c>
      <c r="BN145" s="13">
        <v>121.0</v>
      </c>
      <c r="BO145" s="13">
        <v>126.0</v>
      </c>
      <c r="BP145" s="13">
        <v>244.0</v>
      </c>
      <c r="BQ145" s="13">
        <v>177.0</v>
      </c>
      <c r="BR145" s="13">
        <v>116.0</v>
      </c>
      <c r="BS145" s="13">
        <v>200.0</v>
      </c>
      <c r="BT145" s="50"/>
      <c r="BU145" s="53"/>
      <c r="BV145" s="53"/>
      <c r="BW145" s="50"/>
      <c r="BX145" s="50"/>
      <c r="BY145" s="50"/>
      <c r="BZ145" s="50"/>
      <c r="CA145" s="50"/>
    </row>
    <row r="146">
      <c r="A146" s="13" t="s">
        <v>691</v>
      </c>
      <c r="B146" s="27"/>
      <c r="C146" s="13" t="s">
        <v>34</v>
      </c>
      <c r="D146" s="27"/>
      <c r="E146" s="17"/>
      <c r="F146" s="13">
        <v>170.0</v>
      </c>
      <c r="G146" s="50"/>
      <c r="H146" s="26" t="s">
        <v>150</v>
      </c>
      <c r="I146" s="18"/>
      <c r="J146" s="27"/>
      <c r="K146" s="13" t="s">
        <v>150</v>
      </c>
      <c r="L146" s="236"/>
      <c r="M146" s="67" t="s">
        <v>150</v>
      </c>
      <c r="N146" s="18"/>
      <c r="O146" s="13" t="s">
        <v>150</v>
      </c>
      <c r="P146" s="236"/>
      <c r="Q146" s="26" t="s">
        <v>150</v>
      </c>
      <c r="R146" s="18"/>
      <c r="S146" s="48"/>
      <c r="T146" s="18"/>
      <c r="U146" s="13" t="s">
        <v>182</v>
      </c>
      <c r="V146" s="18"/>
      <c r="W146" s="13" t="s">
        <v>182</v>
      </c>
      <c r="X146" s="18"/>
      <c r="Y146" s="27"/>
      <c r="Z146" s="50"/>
      <c r="AA146" s="50"/>
      <c r="AB146" s="50"/>
      <c r="AC146" s="50"/>
      <c r="AD146" s="50"/>
      <c r="AE146" s="27"/>
      <c r="AF146" s="13" t="s">
        <v>149</v>
      </c>
      <c r="AG146" s="107" t="s">
        <v>150</v>
      </c>
      <c r="AH146" s="107" t="s">
        <v>150</v>
      </c>
      <c r="AI146" s="16">
        <f t="shared" si="88"/>
        <v>34.29</v>
      </c>
      <c r="AJ146" s="108">
        <f>average(12,15)</f>
        <v>13.5</v>
      </c>
      <c r="AK146" s="27"/>
      <c r="AL146" s="50"/>
      <c r="AM146" s="50"/>
      <c r="AN146" s="50"/>
      <c r="AO146" s="13" t="s">
        <v>150</v>
      </c>
      <c r="AP146" s="13" t="s">
        <v>150</v>
      </c>
      <c r="AQ146" s="13" t="s">
        <v>150</v>
      </c>
      <c r="AR146" s="13" t="s">
        <v>182</v>
      </c>
      <c r="AS146" s="13" t="s">
        <v>150</v>
      </c>
      <c r="AT146" s="13" t="s">
        <v>150</v>
      </c>
      <c r="AU146" s="50"/>
      <c r="AV146" s="50"/>
      <c r="AW146" s="50"/>
      <c r="AX146" s="62" t="s">
        <v>150</v>
      </c>
      <c r="AY146" s="50"/>
      <c r="AZ146" s="62" t="s">
        <v>150</v>
      </c>
      <c r="BA146" s="62" t="s">
        <v>150</v>
      </c>
      <c r="BB146" s="62" t="s">
        <v>150</v>
      </c>
      <c r="BC146" s="62" t="s">
        <v>150</v>
      </c>
      <c r="BD146" s="62" t="s">
        <v>150</v>
      </c>
      <c r="BE146" s="62" t="s">
        <v>150</v>
      </c>
      <c r="BF146" s="62" t="s">
        <v>150</v>
      </c>
      <c r="BG146" s="62" t="s">
        <v>150</v>
      </c>
      <c r="BH146" s="42"/>
      <c r="BI146" s="62" t="s">
        <v>150</v>
      </c>
      <c r="BJ146" s="158"/>
      <c r="BK146" s="62" t="s">
        <v>150</v>
      </c>
      <c r="BL146" s="42">
        <f>IFERROR(__xludf.DUMMYFUNCTION("BM146*GoogleFinance(""CURRENCY:GBPUSD"")"),976.70328)</f>
        <v>976.70328</v>
      </c>
      <c r="BM146" s="24">
        <f t="shared" si="87"/>
        <v>784</v>
      </c>
      <c r="BN146" s="13">
        <v>121.0</v>
      </c>
      <c r="BO146" s="13">
        <v>126.0</v>
      </c>
      <c r="BP146" s="13">
        <v>244.0</v>
      </c>
      <c r="BQ146" s="13">
        <v>177.0</v>
      </c>
      <c r="BR146" s="13">
        <v>116.0</v>
      </c>
      <c r="BS146" s="13">
        <v>200.0</v>
      </c>
      <c r="BT146" s="50"/>
      <c r="BU146" s="53"/>
      <c r="BV146" s="53"/>
      <c r="BW146" s="50"/>
      <c r="BX146" s="50"/>
      <c r="BY146" s="50"/>
      <c r="BZ146" s="50"/>
      <c r="CA146" s="50"/>
    </row>
    <row r="147">
      <c r="A147" s="13" t="s">
        <v>693</v>
      </c>
      <c r="B147" s="27"/>
      <c r="C147" s="13" t="s">
        <v>23</v>
      </c>
      <c r="D147" s="27"/>
      <c r="E147" s="17"/>
      <c r="F147" s="13">
        <v>89.0</v>
      </c>
      <c r="G147" s="50"/>
      <c r="H147" s="26" t="s">
        <v>150</v>
      </c>
      <c r="I147" s="18"/>
      <c r="J147" s="27"/>
      <c r="K147" s="13">
        <v>38.0</v>
      </c>
      <c r="L147" s="236"/>
      <c r="M147" s="67" t="s">
        <v>150</v>
      </c>
      <c r="N147" s="18"/>
      <c r="O147" s="13">
        <v>0.0</v>
      </c>
      <c r="P147" s="236"/>
      <c r="Q147" s="26">
        <v>1245.0</v>
      </c>
      <c r="R147" s="18"/>
      <c r="S147" s="48"/>
      <c r="T147" s="18"/>
      <c r="U147" s="13">
        <v>2.0</v>
      </c>
      <c r="V147" s="18"/>
      <c r="W147" s="13">
        <v>2.0</v>
      </c>
      <c r="X147" s="18"/>
      <c r="Y147" s="27"/>
      <c r="Z147" s="50"/>
      <c r="AA147" s="50"/>
      <c r="AB147" s="50"/>
      <c r="AC147" s="50"/>
      <c r="AD147" s="50"/>
      <c r="AE147" s="27"/>
      <c r="AF147" s="13" t="s">
        <v>149</v>
      </c>
      <c r="AG147" s="16">
        <f>AH147*0.45359237</f>
        <v>5.44310844</v>
      </c>
      <c r="AH147" s="107">
        <v>12.0</v>
      </c>
      <c r="AI147" s="16">
        <f t="shared" si="88"/>
        <v>25.4</v>
      </c>
      <c r="AJ147" s="107">
        <v>10.0</v>
      </c>
      <c r="AK147" s="27"/>
      <c r="AL147" s="50"/>
      <c r="AM147" s="50"/>
      <c r="AN147" s="50"/>
      <c r="AO147" s="13" t="s">
        <v>142</v>
      </c>
      <c r="AP147" s="13" t="s">
        <v>143</v>
      </c>
      <c r="AQ147" s="13" t="s">
        <v>144</v>
      </c>
      <c r="AR147" s="13" t="s">
        <v>182</v>
      </c>
      <c r="AS147" s="13" t="s">
        <v>145</v>
      </c>
      <c r="AT147" s="13" t="s">
        <v>145</v>
      </c>
      <c r="AU147" s="50"/>
      <c r="AV147" s="50"/>
      <c r="AW147" s="50"/>
      <c r="AX147" s="62" t="s">
        <v>150</v>
      </c>
      <c r="AY147" s="50"/>
      <c r="AZ147" s="42">
        <f>average(750,750,1550,1650,800,1300,1550,2000,1300,800)</f>
        <v>1245</v>
      </c>
      <c r="BA147" s="13" t="s">
        <v>160</v>
      </c>
      <c r="BB147" s="13">
        <v>750.0</v>
      </c>
      <c r="BC147" s="13">
        <v>2000.0</v>
      </c>
      <c r="BD147" s="24">
        <f>average(BE147,BF147)</f>
        <v>5.75</v>
      </c>
      <c r="BE147" s="13">
        <v>4.0</v>
      </c>
      <c r="BF147" s="13">
        <v>7.5</v>
      </c>
      <c r="BG147" s="35">
        <f>IFERROR(__xludf.DUMMYFUNCTION("BD147*GoogleFinance(""CURRENCY:GBPUSD"")"),7.16332125)</f>
        <v>7.16332125</v>
      </c>
      <c r="BH147" s="50"/>
      <c r="BI147" s="62" t="s">
        <v>150</v>
      </c>
      <c r="BJ147" s="158"/>
      <c r="BK147" s="62" t="s">
        <v>150</v>
      </c>
      <c r="BL147" s="42">
        <f>IFERROR(__xludf.DUMMYFUNCTION("BM147*GoogleFinance(""CURRENCY:GBPUSD"")"),976.70328)</f>
        <v>976.70328</v>
      </c>
      <c r="BM147" s="24">
        <f t="shared" si="87"/>
        <v>784</v>
      </c>
      <c r="BN147" s="13">
        <v>121.0</v>
      </c>
      <c r="BO147" s="13">
        <v>126.0</v>
      </c>
      <c r="BP147" s="13">
        <v>244.0</v>
      </c>
      <c r="BQ147" s="13">
        <v>177.0</v>
      </c>
      <c r="BR147" s="13">
        <v>116.0</v>
      </c>
      <c r="BS147" s="13">
        <v>200.0</v>
      </c>
      <c r="BT147" s="50"/>
      <c r="BU147" s="53"/>
      <c r="BV147" s="53"/>
      <c r="BW147" s="50"/>
      <c r="BX147" s="50"/>
      <c r="BY147" s="50"/>
      <c r="BZ147" s="50"/>
      <c r="CA147" s="50"/>
    </row>
    <row r="148">
      <c r="A148" s="242" t="s">
        <v>771</v>
      </c>
      <c r="B148" s="181"/>
      <c r="C148" s="50"/>
      <c r="D148" s="27"/>
      <c r="E148" s="17"/>
      <c r="F148" s="50"/>
      <c r="G148" s="50"/>
      <c r="H148" s="48"/>
      <c r="I148" s="18"/>
      <c r="J148" s="27"/>
      <c r="K148" s="50"/>
      <c r="L148" s="236"/>
      <c r="M148" s="35"/>
      <c r="N148" s="18"/>
      <c r="O148" s="50"/>
      <c r="P148" s="236"/>
      <c r="Q148" s="48"/>
      <c r="R148" s="18"/>
      <c r="S148" s="48"/>
      <c r="T148" s="18"/>
      <c r="U148" s="50"/>
      <c r="V148" s="18"/>
      <c r="W148" s="50"/>
      <c r="X148" s="18"/>
      <c r="Y148" s="27"/>
      <c r="Z148" s="35"/>
      <c r="AA148" s="50"/>
      <c r="AB148" s="50"/>
      <c r="AC148" s="50"/>
      <c r="AD148" s="50"/>
      <c r="AE148" s="27"/>
      <c r="AF148" s="50"/>
      <c r="AG148" s="18"/>
      <c r="AH148" s="18"/>
      <c r="AI148" s="18"/>
      <c r="AJ148" s="18"/>
      <c r="AK148" s="27"/>
      <c r="AL148" s="50"/>
      <c r="AM148" s="50"/>
      <c r="AN148" s="50"/>
      <c r="AO148" s="50"/>
      <c r="AP148" s="50"/>
      <c r="AQ148" s="50"/>
      <c r="AR148" s="50"/>
      <c r="AS148" s="50"/>
      <c r="AT148" s="50"/>
      <c r="AU148" s="64"/>
      <c r="AV148" s="50"/>
      <c r="AW148" s="50"/>
      <c r="AX148" s="42"/>
      <c r="AY148" s="50"/>
      <c r="AZ148" s="42"/>
      <c r="BA148" s="50"/>
      <c r="BB148" s="50"/>
      <c r="BC148" s="50"/>
      <c r="BD148" s="42"/>
      <c r="BE148" s="42"/>
      <c r="BF148" s="42"/>
      <c r="BG148" s="42"/>
      <c r="BH148" s="42"/>
      <c r="BI148" s="42"/>
      <c r="BJ148" s="158"/>
      <c r="BK148" s="42"/>
      <c r="BL148" s="42"/>
      <c r="BM148" s="50"/>
      <c r="BN148" s="50"/>
      <c r="BO148" s="50"/>
      <c r="BP148" s="50"/>
      <c r="BQ148" s="50"/>
      <c r="BR148" s="50"/>
      <c r="BS148" s="50"/>
      <c r="BT148" s="50"/>
      <c r="BU148" s="53"/>
      <c r="BV148" s="53"/>
      <c r="BW148" s="50"/>
      <c r="BX148" s="50"/>
      <c r="BY148" s="50"/>
      <c r="BZ148" s="50"/>
      <c r="CA148" s="50"/>
    </row>
    <row r="149">
      <c r="A149" s="13" t="s">
        <v>696</v>
      </c>
      <c r="B149" s="27"/>
      <c r="C149" s="13" t="s">
        <v>27</v>
      </c>
      <c r="D149" s="27"/>
      <c r="E149" s="17"/>
      <c r="F149" s="13">
        <v>107.0</v>
      </c>
      <c r="G149" s="50"/>
      <c r="H149" s="26">
        <v>12653.0</v>
      </c>
      <c r="I149" s="18"/>
      <c r="J149" s="27"/>
      <c r="K149" s="13" t="s">
        <v>150</v>
      </c>
      <c r="L149" s="236"/>
      <c r="M149" s="67">
        <v>6.5</v>
      </c>
      <c r="N149" s="18"/>
      <c r="O149" s="13">
        <v>1.0</v>
      </c>
      <c r="P149" s="236"/>
      <c r="Q149" s="26">
        <v>1500.0</v>
      </c>
      <c r="R149" s="18"/>
      <c r="S149" s="48"/>
      <c r="T149" s="18"/>
      <c r="U149" s="13">
        <v>2.0</v>
      </c>
      <c r="V149" s="18"/>
      <c r="W149" s="13">
        <v>1.0</v>
      </c>
      <c r="X149" s="18"/>
      <c r="Y149" s="27"/>
      <c r="Z149" s="50"/>
      <c r="AA149" s="50"/>
      <c r="AB149" s="50"/>
      <c r="AC149" s="50"/>
      <c r="AD149" s="50"/>
      <c r="AE149" s="27"/>
      <c r="AF149" s="13" t="s">
        <v>148</v>
      </c>
      <c r="AG149" s="107" t="s">
        <v>150</v>
      </c>
      <c r="AH149" s="107" t="s">
        <v>150</v>
      </c>
      <c r="AI149" s="16">
        <f t="shared" ref="AI149:AI159" si="90">AJ149*2.54</f>
        <v>48.26</v>
      </c>
      <c r="AJ149" s="108">
        <f>average(17,21)</f>
        <v>19</v>
      </c>
      <c r="AK149" s="27"/>
      <c r="AL149" s="13" t="s">
        <v>698</v>
      </c>
      <c r="AM149" s="50"/>
      <c r="AN149" s="50"/>
      <c r="AO149" s="13" t="s">
        <v>150</v>
      </c>
      <c r="AP149" s="13" t="s">
        <v>150</v>
      </c>
      <c r="AQ149" s="13" t="s">
        <v>150</v>
      </c>
      <c r="AR149" s="13">
        <v>150.0</v>
      </c>
      <c r="AS149" s="13" t="s">
        <v>174</v>
      </c>
      <c r="AT149" s="13" t="s">
        <v>175</v>
      </c>
      <c r="AU149" s="50"/>
      <c r="AV149" s="50"/>
      <c r="AW149" s="50"/>
      <c r="AX149" s="42">
        <f>AZ149+BI149+BK149+BS149</f>
        <v>10478.03858</v>
      </c>
      <c r="AY149" s="50"/>
      <c r="AZ149" s="42">
        <f>average(1500,1500,1500,1500)</f>
        <v>1500</v>
      </c>
      <c r="BA149" s="13" t="s">
        <v>372</v>
      </c>
      <c r="BB149" s="13">
        <v>1500.0</v>
      </c>
      <c r="BC149" s="13">
        <v>1500.0</v>
      </c>
      <c r="BD149" s="24">
        <f t="shared" ref="BD149:BD151" si="91">average(BE149,BF149)</f>
        <v>5.75</v>
      </c>
      <c r="BE149" s="13">
        <v>4.0</v>
      </c>
      <c r="BF149" s="13">
        <v>7.5</v>
      </c>
      <c r="BG149" s="35">
        <f>IFERROR(__xludf.DUMMYFUNCTION("BD149*GoogleFinance(""CURRENCY:GBPUSD"")"),7.16332125)</f>
        <v>7.16332125</v>
      </c>
      <c r="BH149" s="50"/>
      <c r="BI149" s="42">
        <f t="shared" ref="BI149:BI150" si="92">BG149*52.1775*M149</f>
        <v>2429.467264</v>
      </c>
      <c r="BJ149" s="158"/>
      <c r="BK149" s="42">
        <f t="shared" ref="BK149:BK150" si="93">BL149*M149</f>
        <v>6348.57132</v>
      </c>
      <c r="BL149" s="42">
        <f>IFERROR(__xludf.DUMMYFUNCTION("BM149*GoogleFinance(""CURRENCY:GBPUSD"")"),976.70328)</f>
        <v>976.70328</v>
      </c>
      <c r="BM149" s="24">
        <f t="shared" ref="BM149:BM178" si="94">sum(BN149:BR149)</f>
        <v>784</v>
      </c>
      <c r="BN149" s="13">
        <v>121.0</v>
      </c>
      <c r="BO149" s="13">
        <v>126.0</v>
      </c>
      <c r="BP149" s="13">
        <v>244.0</v>
      </c>
      <c r="BQ149" s="13">
        <v>177.0</v>
      </c>
      <c r="BR149" s="13">
        <v>116.0</v>
      </c>
      <c r="BS149" s="13">
        <v>200.0</v>
      </c>
      <c r="BT149" s="50"/>
      <c r="BU149" s="53"/>
      <c r="BV149" s="53"/>
      <c r="BW149" s="50"/>
      <c r="BX149" s="50"/>
      <c r="BY149" s="50"/>
      <c r="BZ149" s="50"/>
      <c r="CA149" s="50"/>
    </row>
    <row r="150">
      <c r="A150" s="13" t="s">
        <v>701</v>
      </c>
      <c r="B150" s="27"/>
      <c r="C150" s="13" t="s">
        <v>53</v>
      </c>
      <c r="D150" s="27"/>
      <c r="E150" s="17"/>
      <c r="F150" s="13">
        <v>169.0</v>
      </c>
      <c r="G150" s="50"/>
      <c r="H150" s="26" t="s">
        <v>150</v>
      </c>
      <c r="I150" s="18"/>
      <c r="J150" s="27"/>
      <c r="K150" s="13">
        <v>46.0</v>
      </c>
      <c r="L150" s="236"/>
      <c r="M150" s="67">
        <v>10.8</v>
      </c>
      <c r="N150" s="18"/>
      <c r="O150" s="13">
        <v>1.0</v>
      </c>
      <c r="P150" s="236"/>
      <c r="Q150" s="26" t="s">
        <v>150</v>
      </c>
      <c r="R150" s="18"/>
      <c r="S150" s="48"/>
      <c r="T150" s="18"/>
      <c r="U150" s="13">
        <v>2.0</v>
      </c>
      <c r="V150" s="18"/>
      <c r="W150" s="13">
        <v>1.0</v>
      </c>
      <c r="X150" s="18"/>
      <c r="Y150" s="27"/>
      <c r="Z150" s="50"/>
      <c r="AA150" s="50"/>
      <c r="AB150" s="50"/>
      <c r="AC150" s="50"/>
      <c r="AD150" s="50"/>
      <c r="AE150" s="27"/>
      <c r="AF150" s="13" t="s">
        <v>166</v>
      </c>
      <c r="AG150" s="16">
        <f t="shared" ref="AG150:AG151" si="95">AH150*0.45359237</f>
        <v>44.22525608</v>
      </c>
      <c r="AH150" s="108">
        <f>average(80,115)</f>
        <v>97.5</v>
      </c>
      <c r="AI150" s="16">
        <f t="shared" si="90"/>
        <v>64.77</v>
      </c>
      <c r="AJ150" s="108">
        <f>average(27,24)</f>
        <v>25.5</v>
      </c>
      <c r="AK150" s="27"/>
      <c r="AL150" s="50"/>
      <c r="AM150" s="50"/>
      <c r="AN150" s="50"/>
      <c r="AO150" s="13" t="s">
        <v>184</v>
      </c>
      <c r="AP150" s="159" t="s">
        <v>185</v>
      </c>
      <c r="AQ150" s="13" t="s">
        <v>187</v>
      </c>
      <c r="AR150" s="13">
        <v>41.0</v>
      </c>
      <c r="AS150" s="13" t="s">
        <v>174</v>
      </c>
      <c r="AT150" s="13" t="s">
        <v>175</v>
      </c>
      <c r="AU150" s="50"/>
      <c r="AV150" s="50"/>
      <c r="AW150" s="50"/>
      <c r="AX150" s="62" t="s">
        <v>150</v>
      </c>
      <c r="AY150" s="50"/>
      <c r="AZ150" s="62" t="s">
        <v>150</v>
      </c>
      <c r="BA150" s="62" t="s">
        <v>150</v>
      </c>
      <c r="BB150" s="62" t="s">
        <v>150</v>
      </c>
      <c r="BC150" s="62" t="s">
        <v>150</v>
      </c>
      <c r="BD150" s="24">
        <f t="shared" si="91"/>
        <v>5.75</v>
      </c>
      <c r="BE150" s="13">
        <v>4.0</v>
      </c>
      <c r="BF150" s="13">
        <v>7.5</v>
      </c>
      <c r="BG150" s="35">
        <f>IFERROR(__xludf.DUMMYFUNCTION("BD150*GoogleFinance(""CURRENCY:GBPUSD"")"),7.16332125)</f>
        <v>7.16332125</v>
      </c>
      <c r="BH150" s="50"/>
      <c r="BI150" s="42">
        <f t="shared" si="92"/>
        <v>4036.653301</v>
      </c>
      <c r="BJ150" s="158"/>
      <c r="BK150" s="42">
        <f t="shared" si="93"/>
        <v>10548.39542</v>
      </c>
      <c r="BL150" s="42">
        <f>IFERROR(__xludf.DUMMYFUNCTION("BM150*GoogleFinance(""CURRENCY:GBPUSD"")"),976.70328)</f>
        <v>976.70328</v>
      </c>
      <c r="BM150" s="24">
        <f t="shared" si="94"/>
        <v>784</v>
      </c>
      <c r="BN150" s="13">
        <v>121.0</v>
      </c>
      <c r="BO150" s="13">
        <v>126.0</v>
      </c>
      <c r="BP150" s="13">
        <v>244.0</v>
      </c>
      <c r="BQ150" s="13">
        <v>177.0</v>
      </c>
      <c r="BR150" s="13">
        <v>116.0</v>
      </c>
      <c r="BS150" s="13">
        <v>200.0</v>
      </c>
      <c r="BT150" s="50"/>
      <c r="BU150" s="53"/>
      <c r="BV150" s="53"/>
      <c r="BW150" s="50"/>
      <c r="BX150" s="50"/>
      <c r="BY150" s="50"/>
      <c r="BZ150" s="50"/>
      <c r="CA150" s="50"/>
    </row>
    <row r="151">
      <c r="A151" s="13" t="s">
        <v>706</v>
      </c>
      <c r="B151" s="27"/>
      <c r="C151" s="13" t="s">
        <v>23</v>
      </c>
      <c r="D151" s="27"/>
      <c r="E151" s="17"/>
      <c r="F151" s="13">
        <v>97.0</v>
      </c>
      <c r="G151" s="50"/>
      <c r="H151" s="26" t="s">
        <v>150</v>
      </c>
      <c r="I151" s="18"/>
      <c r="J151" s="27"/>
      <c r="K151" s="13" t="s">
        <v>150</v>
      </c>
      <c r="L151" s="236"/>
      <c r="M151" s="67" t="s">
        <v>150</v>
      </c>
      <c r="N151" s="18"/>
      <c r="O151" s="13">
        <v>0.0</v>
      </c>
      <c r="P151" s="236"/>
      <c r="Q151" s="26">
        <v>527.5</v>
      </c>
      <c r="R151" s="18"/>
      <c r="S151" s="48"/>
      <c r="T151" s="18"/>
      <c r="U151" s="13">
        <v>2.0</v>
      </c>
      <c r="V151" s="18"/>
      <c r="W151" s="13">
        <v>2.0</v>
      </c>
      <c r="X151" s="18"/>
      <c r="Y151" s="27"/>
      <c r="Z151" s="50"/>
      <c r="AA151" s="50"/>
      <c r="AB151" s="50"/>
      <c r="AC151" s="50"/>
      <c r="AD151" s="50"/>
      <c r="AE151" s="27"/>
      <c r="AF151" s="13" t="s">
        <v>149</v>
      </c>
      <c r="AG151" s="16">
        <f t="shared" si="95"/>
        <v>6.80388555</v>
      </c>
      <c r="AH151" s="108">
        <f>average(13,17)</f>
        <v>15</v>
      </c>
      <c r="AI151" s="16">
        <f t="shared" si="90"/>
        <v>34.29</v>
      </c>
      <c r="AJ151" s="108">
        <f>average(13,14)</f>
        <v>13.5</v>
      </c>
      <c r="AK151" s="27"/>
      <c r="AL151" s="50"/>
      <c r="AM151" s="50"/>
      <c r="AN151" s="50"/>
      <c r="AO151" s="13" t="s">
        <v>150</v>
      </c>
      <c r="AP151" s="13" t="s">
        <v>150</v>
      </c>
      <c r="AQ151" s="13" t="s">
        <v>150</v>
      </c>
      <c r="AR151" s="13" t="s">
        <v>182</v>
      </c>
      <c r="AS151" s="13" t="s">
        <v>145</v>
      </c>
      <c r="AT151" s="13" t="s">
        <v>145</v>
      </c>
      <c r="AU151" s="50"/>
      <c r="AV151" s="50"/>
      <c r="AW151" s="50"/>
      <c r="AX151" s="62" t="s">
        <v>150</v>
      </c>
      <c r="AY151" s="50"/>
      <c r="AZ151" s="42">
        <f>average(800,150,350,800,450,325,350,350,850,850)</f>
        <v>527.5</v>
      </c>
      <c r="BA151" s="13" t="s">
        <v>146</v>
      </c>
      <c r="BB151" s="13">
        <v>150.0</v>
      </c>
      <c r="BC151" s="13">
        <v>850.0</v>
      </c>
      <c r="BD151" s="24">
        <f t="shared" si="91"/>
        <v>5.75</v>
      </c>
      <c r="BE151" s="13">
        <v>4.0</v>
      </c>
      <c r="BF151" s="13">
        <v>7.5</v>
      </c>
      <c r="BG151" s="35">
        <f>IFERROR(__xludf.DUMMYFUNCTION("BD151*GoogleFinance(""CURRENCY:GBPUSD"")"),7.16332125)</f>
        <v>7.16332125</v>
      </c>
      <c r="BH151" s="50"/>
      <c r="BI151" s="62" t="s">
        <v>150</v>
      </c>
      <c r="BJ151" s="158"/>
      <c r="BK151" s="62" t="s">
        <v>150</v>
      </c>
      <c r="BL151" s="42">
        <f>IFERROR(__xludf.DUMMYFUNCTION("BM151*GoogleFinance(""CURRENCY:GBPUSD"")"),976.70328)</f>
        <v>976.70328</v>
      </c>
      <c r="BM151" s="24">
        <f t="shared" si="94"/>
        <v>784</v>
      </c>
      <c r="BN151" s="13">
        <v>121.0</v>
      </c>
      <c r="BO151" s="13">
        <v>126.0</v>
      </c>
      <c r="BP151" s="13">
        <v>244.0</v>
      </c>
      <c r="BQ151" s="13">
        <v>177.0</v>
      </c>
      <c r="BR151" s="13">
        <v>116.0</v>
      </c>
      <c r="BS151" s="13">
        <v>200.0</v>
      </c>
      <c r="BT151" s="50"/>
      <c r="BU151" s="53"/>
      <c r="BV151" s="53"/>
      <c r="BW151" s="50"/>
      <c r="BX151" s="50"/>
      <c r="BY151" s="50"/>
      <c r="BZ151" s="50"/>
      <c r="CA151" s="50"/>
    </row>
    <row r="152">
      <c r="A152" s="13" t="s">
        <v>714</v>
      </c>
      <c r="B152" s="27"/>
      <c r="C152" s="13" t="s">
        <v>53</v>
      </c>
      <c r="D152" s="27"/>
      <c r="E152" s="17"/>
      <c r="F152" s="13">
        <v>131.0</v>
      </c>
      <c r="G152" s="50"/>
      <c r="H152" s="26" t="s">
        <v>150</v>
      </c>
      <c r="I152" s="18"/>
      <c r="J152" s="27"/>
      <c r="K152" s="13">
        <v>62.0</v>
      </c>
      <c r="L152" s="236"/>
      <c r="M152" s="67">
        <v>12.7</v>
      </c>
      <c r="N152" s="18"/>
      <c r="O152" s="13">
        <v>0.0</v>
      </c>
      <c r="P152" s="236"/>
      <c r="Q152" s="26">
        <v>400.0</v>
      </c>
      <c r="R152" s="18"/>
      <c r="S152" s="48"/>
      <c r="T152" s="18"/>
      <c r="U152" s="13" t="s">
        <v>182</v>
      </c>
      <c r="V152" s="18"/>
      <c r="W152" s="13" t="s">
        <v>182</v>
      </c>
      <c r="X152" s="18"/>
      <c r="Y152" s="27"/>
      <c r="Z152" s="50"/>
      <c r="AA152" s="50"/>
      <c r="AB152" s="50"/>
      <c r="AC152" s="50"/>
      <c r="AD152" s="50"/>
      <c r="AE152" s="27"/>
      <c r="AF152" s="13" t="s">
        <v>149</v>
      </c>
      <c r="AG152" s="107" t="s">
        <v>150</v>
      </c>
      <c r="AH152" s="107" t="s">
        <v>150</v>
      </c>
      <c r="AI152" s="16">
        <f t="shared" si="90"/>
        <v>35.56</v>
      </c>
      <c r="AJ152" s="108">
        <f>average (13,15)</f>
        <v>14</v>
      </c>
      <c r="AK152" s="27"/>
      <c r="AL152" s="13" t="s">
        <v>715</v>
      </c>
      <c r="AM152" s="50"/>
      <c r="AN152" s="50"/>
      <c r="AO152" s="13" t="s">
        <v>400</v>
      </c>
      <c r="AP152" s="13" t="s">
        <v>401</v>
      </c>
      <c r="AQ152" s="13" t="s">
        <v>402</v>
      </c>
      <c r="AR152" s="13">
        <v>45.0</v>
      </c>
      <c r="AS152" s="13" t="s">
        <v>145</v>
      </c>
      <c r="AT152" s="13" t="s">
        <v>145</v>
      </c>
      <c r="AU152" s="50"/>
      <c r="AV152" s="50"/>
      <c r="AW152" s="50"/>
      <c r="AX152" s="62" t="s">
        <v>150</v>
      </c>
      <c r="AY152" s="50"/>
      <c r="AZ152" s="42">
        <f>average(700,250,250)</f>
        <v>400</v>
      </c>
      <c r="BA152" s="13" t="s">
        <v>146</v>
      </c>
      <c r="BB152" s="13">
        <v>250.0</v>
      </c>
      <c r="BC152" s="13">
        <v>700.0</v>
      </c>
      <c r="BD152" s="62" t="s">
        <v>150</v>
      </c>
      <c r="BE152" s="62" t="s">
        <v>150</v>
      </c>
      <c r="BF152" s="62" t="s">
        <v>150</v>
      </c>
      <c r="BG152" s="62" t="s">
        <v>150</v>
      </c>
      <c r="BH152" s="42"/>
      <c r="BI152" s="62" t="s">
        <v>150</v>
      </c>
      <c r="BJ152" s="158"/>
      <c r="BK152" s="42">
        <f>BL152*M152</f>
        <v>12404.13166</v>
      </c>
      <c r="BL152" s="42">
        <f>IFERROR(__xludf.DUMMYFUNCTION("BM152*GoogleFinance(""CURRENCY:GBPUSD"")"),976.70328)</f>
        <v>976.70328</v>
      </c>
      <c r="BM152" s="24">
        <f t="shared" si="94"/>
        <v>784</v>
      </c>
      <c r="BN152" s="13">
        <v>121.0</v>
      </c>
      <c r="BO152" s="13">
        <v>126.0</v>
      </c>
      <c r="BP152" s="13">
        <v>244.0</v>
      </c>
      <c r="BQ152" s="13">
        <v>177.0</v>
      </c>
      <c r="BR152" s="13">
        <v>116.0</v>
      </c>
      <c r="BS152" s="13">
        <v>200.0</v>
      </c>
      <c r="BT152" s="50"/>
      <c r="BU152" s="53"/>
      <c r="BV152" s="53"/>
      <c r="BW152" s="50"/>
      <c r="BX152" s="50"/>
      <c r="BY152" s="50"/>
      <c r="BZ152" s="50"/>
      <c r="CA152" s="50"/>
    </row>
    <row r="153">
      <c r="A153" s="13" t="s">
        <v>716</v>
      </c>
      <c r="B153" s="181"/>
      <c r="C153" s="13" t="s">
        <v>53</v>
      </c>
      <c r="D153" s="27"/>
      <c r="E153" s="17"/>
      <c r="F153" s="13">
        <v>145.0</v>
      </c>
      <c r="G153" s="50"/>
      <c r="H153" s="26" t="s">
        <v>150</v>
      </c>
      <c r="I153" s="18"/>
      <c r="J153" s="27"/>
      <c r="K153" s="13" t="s">
        <v>150</v>
      </c>
      <c r="L153" s="236"/>
      <c r="M153" s="67" t="s">
        <v>150</v>
      </c>
      <c r="N153" s="18"/>
      <c r="O153" s="13">
        <v>0.0</v>
      </c>
      <c r="P153" s="236"/>
      <c r="Q153" s="26" t="s">
        <v>150</v>
      </c>
      <c r="R153" s="18"/>
      <c r="S153" s="48"/>
      <c r="T153" s="18"/>
      <c r="U153" s="13" t="s">
        <v>182</v>
      </c>
      <c r="V153" s="18"/>
      <c r="W153" s="13" t="s">
        <v>182</v>
      </c>
      <c r="X153" s="18"/>
      <c r="Y153" s="27"/>
      <c r="Z153" s="50"/>
      <c r="AA153" s="50"/>
      <c r="AB153" s="50"/>
      <c r="AC153" s="50"/>
      <c r="AD153" s="50"/>
      <c r="AE153" s="27"/>
      <c r="AF153" s="13" t="s">
        <v>148</v>
      </c>
      <c r="AG153" s="16">
        <f>AH153*0.45359237</f>
        <v>22.6796185</v>
      </c>
      <c r="AH153" s="108">
        <f>average(40,60)</f>
        <v>50</v>
      </c>
      <c r="AI153" s="16">
        <f t="shared" si="90"/>
        <v>57.15</v>
      </c>
      <c r="AJ153" s="108">
        <f>average(20,25)</f>
        <v>22.5</v>
      </c>
      <c r="AK153" s="27"/>
      <c r="AL153" s="50"/>
      <c r="AM153" s="50"/>
      <c r="AN153" s="50"/>
      <c r="AO153" s="13" t="s">
        <v>150</v>
      </c>
      <c r="AP153" s="13" t="s">
        <v>150</v>
      </c>
      <c r="AQ153" s="13" t="s">
        <v>150</v>
      </c>
      <c r="AR153" s="13" t="s">
        <v>182</v>
      </c>
      <c r="AS153" s="13" t="s">
        <v>145</v>
      </c>
      <c r="AT153" s="13" t="s">
        <v>145</v>
      </c>
      <c r="AU153" s="64"/>
      <c r="AV153" s="50"/>
      <c r="AW153" s="50"/>
      <c r="AX153" s="62" t="s">
        <v>150</v>
      </c>
      <c r="AY153" s="50"/>
      <c r="AZ153" s="62" t="s">
        <v>150</v>
      </c>
      <c r="BA153" s="62" t="s">
        <v>150</v>
      </c>
      <c r="BB153" s="62" t="s">
        <v>150</v>
      </c>
      <c r="BC153" s="62" t="s">
        <v>150</v>
      </c>
      <c r="BD153" s="62" t="s">
        <v>150</v>
      </c>
      <c r="BE153" s="62" t="s">
        <v>150</v>
      </c>
      <c r="BF153" s="62" t="s">
        <v>150</v>
      </c>
      <c r="BG153" s="62" t="s">
        <v>150</v>
      </c>
      <c r="BH153" s="42"/>
      <c r="BI153" s="62" t="s">
        <v>150</v>
      </c>
      <c r="BJ153" s="158"/>
      <c r="BK153" s="62" t="s">
        <v>150</v>
      </c>
      <c r="BL153" s="42">
        <f>IFERROR(__xludf.DUMMYFUNCTION("BM153*GoogleFinance(""CURRENCY:GBPUSD"")"),976.70328)</f>
        <v>976.70328</v>
      </c>
      <c r="BM153" s="24">
        <f t="shared" si="94"/>
        <v>784</v>
      </c>
      <c r="BN153" s="13">
        <v>121.0</v>
      </c>
      <c r="BO153" s="13">
        <v>126.0</v>
      </c>
      <c r="BP153" s="13">
        <v>244.0</v>
      </c>
      <c r="BQ153" s="13">
        <v>177.0</v>
      </c>
      <c r="BR153" s="13">
        <v>116.0</v>
      </c>
      <c r="BS153" s="13">
        <v>200.0</v>
      </c>
      <c r="BT153" s="50"/>
      <c r="BU153" s="53"/>
      <c r="BV153" s="53"/>
      <c r="BW153" s="50"/>
      <c r="BX153" s="50"/>
      <c r="BY153" s="50"/>
      <c r="BZ153" s="50"/>
      <c r="CA153" s="50"/>
    </row>
    <row r="154">
      <c r="A154" s="13" t="s">
        <v>718</v>
      </c>
      <c r="B154" s="27"/>
      <c r="C154" s="13" t="s">
        <v>32</v>
      </c>
      <c r="D154" s="27"/>
      <c r="E154" s="17"/>
      <c r="F154" s="13">
        <v>159.0</v>
      </c>
      <c r="G154" s="50"/>
      <c r="H154" s="26" t="s">
        <v>150</v>
      </c>
      <c r="I154" s="18"/>
      <c r="J154" s="27"/>
      <c r="K154" s="13" t="s">
        <v>150</v>
      </c>
      <c r="L154" s="236"/>
      <c r="M154" s="67">
        <v>10.8</v>
      </c>
      <c r="N154" s="18"/>
      <c r="O154" s="13" t="s">
        <v>150</v>
      </c>
      <c r="P154" s="236"/>
      <c r="Q154" s="26" t="s">
        <v>150</v>
      </c>
      <c r="R154" s="18"/>
      <c r="S154" s="48"/>
      <c r="T154" s="18"/>
      <c r="U154" s="13">
        <v>2.0</v>
      </c>
      <c r="V154" s="18"/>
      <c r="W154" s="13">
        <v>2.0</v>
      </c>
      <c r="X154" s="18"/>
      <c r="Y154" s="27"/>
      <c r="Z154" s="50"/>
      <c r="AA154" s="50"/>
      <c r="AB154" s="50"/>
      <c r="AC154" s="50"/>
      <c r="AD154" s="50"/>
      <c r="AE154" s="27"/>
      <c r="AF154" s="13" t="s">
        <v>148</v>
      </c>
      <c r="AG154" s="115" t="s">
        <v>150</v>
      </c>
      <c r="AH154" s="107" t="s">
        <v>150</v>
      </c>
      <c r="AI154" s="16">
        <f t="shared" si="90"/>
        <v>46.99</v>
      </c>
      <c r="AJ154" s="108">
        <f>average(17,20)</f>
        <v>18.5</v>
      </c>
      <c r="AK154" s="27"/>
      <c r="AL154" s="50"/>
      <c r="AM154" s="50"/>
      <c r="AN154" s="50"/>
      <c r="AO154" s="13" t="s">
        <v>150</v>
      </c>
      <c r="AP154" s="13" t="s">
        <v>150</v>
      </c>
      <c r="AQ154" s="13" t="s">
        <v>150</v>
      </c>
      <c r="AR154" s="13">
        <v>30.0</v>
      </c>
      <c r="AS154" s="13" t="s">
        <v>150</v>
      </c>
      <c r="AT154" s="13" t="s">
        <v>150</v>
      </c>
      <c r="AU154" s="50"/>
      <c r="AV154" s="50"/>
      <c r="AW154" s="50"/>
      <c r="AX154" s="62" t="s">
        <v>150</v>
      </c>
      <c r="AY154" s="50"/>
      <c r="AZ154" s="62" t="s">
        <v>150</v>
      </c>
      <c r="BA154" s="62" t="s">
        <v>150</v>
      </c>
      <c r="BB154" s="62" t="s">
        <v>150</v>
      </c>
      <c r="BC154" s="62" t="s">
        <v>150</v>
      </c>
      <c r="BD154" s="24">
        <f>average(BE154,BF154)</f>
        <v>5.75</v>
      </c>
      <c r="BE154" s="13">
        <v>4.0</v>
      </c>
      <c r="BF154" s="13">
        <v>7.5</v>
      </c>
      <c r="BG154" s="35">
        <f>IFERROR(__xludf.DUMMYFUNCTION("BD154*GoogleFinance(""CURRENCY:GBPUSD"")"),7.16332125)</f>
        <v>7.16332125</v>
      </c>
      <c r="BH154" s="50"/>
      <c r="BI154" s="42">
        <f>BG154*52.1775*M154</f>
        <v>4036.653301</v>
      </c>
      <c r="BJ154" s="158"/>
      <c r="BK154" s="42">
        <f t="shared" ref="BK154:BK155" si="96">BL154*M154</f>
        <v>10548.39542</v>
      </c>
      <c r="BL154" s="42">
        <f>IFERROR(__xludf.DUMMYFUNCTION("BM154*GoogleFinance(""CURRENCY:GBPUSD"")"),976.70328)</f>
        <v>976.70328</v>
      </c>
      <c r="BM154" s="24">
        <f t="shared" si="94"/>
        <v>784</v>
      </c>
      <c r="BN154" s="13">
        <v>121.0</v>
      </c>
      <c r="BO154" s="13">
        <v>126.0</v>
      </c>
      <c r="BP154" s="13">
        <v>244.0</v>
      </c>
      <c r="BQ154" s="13">
        <v>177.0</v>
      </c>
      <c r="BR154" s="13">
        <v>116.0</v>
      </c>
      <c r="BS154" s="13">
        <v>200.0</v>
      </c>
      <c r="BT154" s="50"/>
      <c r="BU154" s="53"/>
      <c r="BV154" s="53"/>
      <c r="BW154" s="50"/>
      <c r="BX154" s="50"/>
      <c r="BY154" s="50"/>
      <c r="BZ154" s="50"/>
      <c r="CA154" s="50"/>
    </row>
    <row r="155">
      <c r="A155" s="13" t="s">
        <v>721</v>
      </c>
      <c r="B155" s="27"/>
      <c r="C155" s="13" t="s">
        <v>38</v>
      </c>
      <c r="D155" s="27"/>
      <c r="E155" s="17"/>
      <c r="F155" s="13">
        <v>56.0</v>
      </c>
      <c r="G155" s="50"/>
      <c r="H155" s="26" t="s">
        <v>150</v>
      </c>
      <c r="I155" s="18"/>
      <c r="J155" s="27"/>
      <c r="K155" s="13" t="s">
        <v>150</v>
      </c>
      <c r="L155" s="236"/>
      <c r="M155" s="67">
        <v>11.42</v>
      </c>
      <c r="N155" s="18"/>
      <c r="O155" s="13">
        <v>0.0</v>
      </c>
      <c r="P155" s="236"/>
      <c r="Q155" s="26" t="s">
        <v>150</v>
      </c>
      <c r="R155" s="18"/>
      <c r="S155" s="48"/>
      <c r="T155" s="18"/>
      <c r="U155" s="13" t="s">
        <v>182</v>
      </c>
      <c r="V155" s="18"/>
      <c r="W155" s="13" t="s">
        <v>182</v>
      </c>
      <c r="X155" s="18"/>
      <c r="Y155" s="27"/>
      <c r="Z155" s="50"/>
      <c r="AA155" s="50"/>
      <c r="AB155" s="50"/>
      <c r="AC155" s="50"/>
      <c r="AD155" s="50"/>
      <c r="AE155" s="27"/>
      <c r="AF155" s="13" t="s">
        <v>148</v>
      </c>
      <c r="AG155" s="16">
        <f>AH155*0.45359237</f>
        <v>21.54563758</v>
      </c>
      <c r="AH155" s="108">
        <f>average(35,60)</f>
        <v>47.5</v>
      </c>
      <c r="AI155" s="16">
        <f t="shared" si="90"/>
        <v>50.8</v>
      </c>
      <c r="AJ155" s="108">
        <f>average(17,23)</f>
        <v>20</v>
      </c>
      <c r="AK155" s="27"/>
      <c r="AL155" s="50"/>
      <c r="AM155" s="50"/>
      <c r="AN155" s="50"/>
      <c r="AO155" s="13" t="s">
        <v>150</v>
      </c>
      <c r="AP155" s="13" t="s">
        <v>150</v>
      </c>
      <c r="AQ155" s="13" t="s">
        <v>150</v>
      </c>
      <c r="AR155" s="13">
        <v>6.0</v>
      </c>
      <c r="AS155" s="13" t="s">
        <v>145</v>
      </c>
      <c r="AT155" s="13" t="s">
        <v>145</v>
      </c>
      <c r="AU155" s="50"/>
      <c r="AV155" s="50"/>
      <c r="AW155" s="50"/>
      <c r="AX155" s="62" t="s">
        <v>150</v>
      </c>
      <c r="AY155" s="50"/>
      <c r="AZ155" s="62" t="s">
        <v>150</v>
      </c>
      <c r="BA155" s="62" t="s">
        <v>150</v>
      </c>
      <c r="BB155" s="62" t="s">
        <v>150</v>
      </c>
      <c r="BC155" s="62" t="s">
        <v>150</v>
      </c>
      <c r="BD155" s="62" t="s">
        <v>150</v>
      </c>
      <c r="BE155" s="62" t="s">
        <v>150</v>
      </c>
      <c r="BF155" s="62" t="s">
        <v>150</v>
      </c>
      <c r="BG155" s="62" t="s">
        <v>150</v>
      </c>
      <c r="BH155" s="42"/>
      <c r="BI155" s="62" t="s">
        <v>150</v>
      </c>
      <c r="BJ155" s="158"/>
      <c r="BK155" s="42">
        <f t="shared" si="96"/>
        <v>11153.95146</v>
      </c>
      <c r="BL155" s="42">
        <f>IFERROR(__xludf.DUMMYFUNCTION("BM155*GoogleFinance(""CURRENCY:GBPUSD"")"),976.70328)</f>
        <v>976.70328</v>
      </c>
      <c r="BM155" s="24">
        <f t="shared" si="94"/>
        <v>784</v>
      </c>
      <c r="BN155" s="13">
        <v>121.0</v>
      </c>
      <c r="BO155" s="13">
        <v>126.0</v>
      </c>
      <c r="BP155" s="13">
        <v>244.0</v>
      </c>
      <c r="BQ155" s="13">
        <v>177.0</v>
      </c>
      <c r="BR155" s="13">
        <v>116.0</v>
      </c>
      <c r="BS155" s="13">
        <v>200.0</v>
      </c>
      <c r="BT155" s="50"/>
      <c r="BU155" s="53"/>
      <c r="BV155" s="53"/>
      <c r="BW155" s="50"/>
      <c r="BX155" s="50"/>
      <c r="BY155" s="50"/>
      <c r="BZ155" s="50"/>
      <c r="CA155" s="50"/>
    </row>
    <row r="156">
      <c r="A156" s="13" t="s">
        <v>724</v>
      </c>
      <c r="B156" s="27"/>
      <c r="C156" s="13" t="s">
        <v>32</v>
      </c>
      <c r="D156" s="27"/>
      <c r="E156" s="17"/>
      <c r="F156" s="13">
        <v>156.0</v>
      </c>
      <c r="G156" s="50"/>
      <c r="H156" s="26" t="s">
        <v>150</v>
      </c>
      <c r="I156" s="18"/>
      <c r="J156" s="27"/>
      <c r="K156" s="13">
        <v>27.0</v>
      </c>
      <c r="L156" s="236"/>
      <c r="M156" s="67" t="s">
        <v>150</v>
      </c>
      <c r="N156" s="18"/>
      <c r="O156" s="13">
        <v>0.0</v>
      </c>
      <c r="P156" s="236"/>
      <c r="Q156" s="26">
        <v>912.5</v>
      </c>
      <c r="R156" s="18"/>
      <c r="S156" s="48"/>
      <c r="T156" s="18"/>
      <c r="U156" s="13" t="s">
        <v>182</v>
      </c>
      <c r="V156" s="18"/>
      <c r="W156" s="13" t="s">
        <v>182</v>
      </c>
      <c r="X156" s="18"/>
      <c r="Y156" s="27"/>
      <c r="Z156" s="50"/>
      <c r="AA156" s="50"/>
      <c r="AB156" s="50"/>
      <c r="AC156" s="50"/>
      <c r="AD156" s="50"/>
      <c r="AE156" s="27"/>
      <c r="AF156" s="13" t="s">
        <v>148</v>
      </c>
      <c r="AG156" s="107" t="s">
        <v>150</v>
      </c>
      <c r="AH156" s="107" t="s">
        <v>150</v>
      </c>
      <c r="AI156" s="16">
        <f t="shared" si="90"/>
        <v>41.91</v>
      </c>
      <c r="AJ156" s="108">
        <f>average(16,17)</f>
        <v>16.5</v>
      </c>
      <c r="AK156" s="27"/>
      <c r="AL156" s="50"/>
      <c r="AM156" s="50"/>
      <c r="AN156" s="50"/>
      <c r="AO156" s="13" t="s">
        <v>142</v>
      </c>
      <c r="AP156" s="13" t="s">
        <v>143</v>
      </c>
      <c r="AQ156" s="13" t="s">
        <v>144</v>
      </c>
      <c r="AR156" s="13" t="s">
        <v>182</v>
      </c>
      <c r="AS156" s="13" t="s">
        <v>145</v>
      </c>
      <c r="AT156" s="13" t="s">
        <v>145</v>
      </c>
      <c r="AU156" s="50"/>
      <c r="AV156" s="50"/>
      <c r="AW156" s="50"/>
      <c r="AX156" s="62" t="s">
        <v>150</v>
      </c>
      <c r="AY156" s="50"/>
      <c r="AZ156" s="42">
        <f>average(700,1000,1000,800,800,1000,1000,1000)</f>
        <v>912.5</v>
      </c>
      <c r="BA156" s="13" t="s">
        <v>160</v>
      </c>
      <c r="BB156" s="13">
        <v>700.0</v>
      </c>
      <c r="BC156" s="13">
        <v>1000.0</v>
      </c>
      <c r="BD156" s="62" t="s">
        <v>150</v>
      </c>
      <c r="BE156" s="62" t="s">
        <v>150</v>
      </c>
      <c r="BF156" s="62" t="s">
        <v>150</v>
      </c>
      <c r="BG156" s="62" t="s">
        <v>150</v>
      </c>
      <c r="BH156" s="42"/>
      <c r="BI156" s="62" t="s">
        <v>150</v>
      </c>
      <c r="BJ156" s="158"/>
      <c r="BK156" s="62" t="s">
        <v>150</v>
      </c>
      <c r="BL156" s="42">
        <f>IFERROR(__xludf.DUMMYFUNCTION("BM156*GoogleFinance(""CURRENCY:GBPUSD"")"),976.70328)</f>
        <v>976.70328</v>
      </c>
      <c r="BM156" s="24">
        <f t="shared" si="94"/>
        <v>784</v>
      </c>
      <c r="BN156" s="13">
        <v>121.0</v>
      </c>
      <c r="BO156" s="13">
        <v>126.0</v>
      </c>
      <c r="BP156" s="13">
        <v>244.0</v>
      </c>
      <c r="BQ156" s="13">
        <v>177.0</v>
      </c>
      <c r="BR156" s="13">
        <v>116.0</v>
      </c>
      <c r="BS156" s="13">
        <v>200.0</v>
      </c>
      <c r="BT156" s="50"/>
      <c r="BU156" s="53"/>
      <c r="BV156" s="53"/>
      <c r="BW156" s="50"/>
      <c r="BX156" s="50"/>
      <c r="BY156" s="50"/>
      <c r="BZ156" s="50"/>
      <c r="CA156" s="50"/>
    </row>
    <row r="157">
      <c r="A157" s="13" t="s">
        <v>727</v>
      </c>
      <c r="B157" s="27"/>
      <c r="C157" s="13" t="s">
        <v>32</v>
      </c>
      <c r="D157" s="27"/>
      <c r="E157" s="17"/>
      <c r="F157" s="13">
        <v>162.0</v>
      </c>
      <c r="G157" s="50"/>
      <c r="H157" s="26" t="s">
        <v>150</v>
      </c>
      <c r="I157" s="18"/>
      <c r="J157" s="27"/>
      <c r="K157" s="13" t="s">
        <v>150</v>
      </c>
      <c r="L157" s="236"/>
      <c r="M157" s="67" t="s">
        <v>150</v>
      </c>
      <c r="N157" s="18"/>
      <c r="O157" s="13" t="s">
        <v>150</v>
      </c>
      <c r="P157" s="236"/>
      <c r="Q157" s="26" t="s">
        <v>150</v>
      </c>
      <c r="R157" s="18"/>
      <c r="S157" s="48"/>
      <c r="T157" s="18"/>
      <c r="U157" s="13" t="s">
        <v>182</v>
      </c>
      <c r="V157" s="18"/>
      <c r="W157" s="13" t="s">
        <v>182</v>
      </c>
      <c r="X157" s="18"/>
      <c r="Y157" s="27"/>
      <c r="Z157" s="50"/>
      <c r="AA157" s="50"/>
      <c r="AB157" s="50"/>
      <c r="AC157" s="50"/>
      <c r="AD157" s="50"/>
      <c r="AE157" s="27"/>
      <c r="AF157" s="13" t="s">
        <v>148</v>
      </c>
      <c r="AG157" s="115" t="s">
        <v>150</v>
      </c>
      <c r="AH157" s="107" t="s">
        <v>150</v>
      </c>
      <c r="AI157" s="16">
        <f t="shared" si="90"/>
        <v>45.72</v>
      </c>
      <c r="AJ157" s="108">
        <f>average(15,21)</f>
        <v>18</v>
      </c>
      <c r="AK157" s="27"/>
      <c r="AL157" s="50"/>
      <c r="AM157" s="50"/>
      <c r="AN157" s="50"/>
      <c r="AO157" s="13" t="s">
        <v>150</v>
      </c>
      <c r="AP157" s="13" t="s">
        <v>150</v>
      </c>
      <c r="AQ157" s="13" t="s">
        <v>150</v>
      </c>
      <c r="AR157" s="13" t="s">
        <v>182</v>
      </c>
      <c r="AS157" s="13" t="s">
        <v>150</v>
      </c>
      <c r="AT157" s="13" t="s">
        <v>150</v>
      </c>
      <c r="AU157" s="50"/>
      <c r="AV157" s="50"/>
      <c r="AW157" s="50"/>
      <c r="AX157" s="62" t="s">
        <v>150</v>
      </c>
      <c r="AY157" s="50"/>
      <c r="AZ157" s="62" t="s">
        <v>150</v>
      </c>
      <c r="BA157" s="62" t="s">
        <v>150</v>
      </c>
      <c r="BB157" s="62" t="s">
        <v>150</v>
      </c>
      <c r="BC157" s="62" t="s">
        <v>150</v>
      </c>
      <c r="BD157" s="62" t="s">
        <v>150</v>
      </c>
      <c r="BE157" s="62" t="s">
        <v>150</v>
      </c>
      <c r="BF157" s="62" t="s">
        <v>150</v>
      </c>
      <c r="BG157" s="62" t="s">
        <v>150</v>
      </c>
      <c r="BH157" s="42"/>
      <c r="BI157" s="62" t="s">
        <v>150</v>
      </c>
      <c r="BJ157" s="158"/>
      <c r="BK157" s="62" t="s">
        <v>150</v>
      </c>
      <c r="BL157" s="42">
        <f>IFERROR(__xludf.DUMMYFUNCTION("BM157*GoogleFinance(""CURRENCY:GBPUSD"")"),976.70328)</f>
        <v>976.70328</v>
      </c>
      <c r="BM157" s="24">
        <f t="shared" si="94"/>
        <v>784</v>
      </c>
      <c r="BN157" s="13">
        <v>121.0</v>
      </c>
      <c r="BO157" s="13">
        <v>126.0</v>
      </c>
      <c r="BP157" s="13">
        <v>244.0</v>
      </c>
      <c r="BQ157" s="13">
        <v>177.0</v>
      </c>
      <c r="BR157" s="13">
        <v>116.0</v>
      </c>
      <c r="BS157" s="13">
        <v>200.0</v>
      </c>
      <c r="BT157" s="50"/>
      <c r="BU157" s="53"/>
      <c r="BV157" s="53"/>
      <c r="BW157" s="50"/>
      <c r="BX157" s="50"/>
      <c r="BY157" s="50"/>
      <c r="BZ157" s="50"/>
      <c r="CA157" s="50"/>
    </row>
    <row r="158">
      <c r="A158" s="13" t="s">
        <v>729</v>
      </c>
      <c r="B158" s="27"/>
      <c r="C158" s="13" t="s">
        <v>53</v>
      </c>
      <c r="D158" s="27"/>
      <c r="E158" s="17"/>
      <c r="F158" s="13">
        <v>126.0</v>
      </c>
      <c r="G158" s="50"/>
      <c r="H158" s="26" t="s">
        <v>150</v>
      </c>
      <c r="I158" s="18"/>
      <c r="J158" s="27"/>
      <c r="K158" s="13" t="s">
        <v>150</v>
      </c>
      <c r="L158" s="236"/>
      <c r="M158" s="67" t="s">
        <v>150</v>
      </c>
      <c r="N158" s="18"/>
      <c r="O158" s="13">
        <v>0.0</v>
      </c>
      <c r="P158" s="236"/>
      <c r="Q158" s="26">
        <v>425.0</v>
      </c>
      <c r="R158" s="18"/>
      <c r="S158" s="48"/>
      <c r="T158" s="18"/>
      <c r="U158" s="13" t="s">
        <v>182</v>
      </c>
      <c r="V158" s="18"/>
      <c r="W158" s="13" t="s">
        <v>182</v>
      </c>
      <c r="X158" s="18"/>
      <c r="Y158" s="27"/>
      <c r="Z158" s="50"/>
      <c r="AA158" s="50"/>
      <c r="AB158" s="50"/>
      <c r="AC158" s="50"/>
      <c r="AD158" s="50"/>
      <c r="AE158" s="27"/>
      <c r="AF158" s="13" t="s">
        <v>166</v>
      </c>
      <c r="AG158" s="107" t="s">
        <v>150</v>
      </c>
      <c r="AH158" s="107" t="s">
        <v>150</v>
      </c>
      <c r="AI158" s="16">
        <f t="shared" si="90"/>
        <v>60.96</v>
      </c>
      <c r="AJ158" s="108">
        <f>average(21,27)</f>
        <v>24</v>
      </c>
      <c r="AK158" s="27"/>
      <c r="AL158" s="50"/>
      <c r="AM158" s="50"/>
      <c r="AN158" s="50"/>
      <c r="AO158" s="13" t="s">
        <v>150</v>
      </c>
      <c r="AP158" s="13" t="s">
        <v>150</v>
      </c>
      <c r="AQ158" s="13" t="s">
        <v>150</v>
      </c>
      <c r="AR158" s="13" t="s">
        <v>182</v>
      </c>
      <c r="AS158" s="13" t="s">
        <v>145</v>
      </c>
      <c r="AT158" s="13" t="s">
        <v>145</v>
      </c>
      <c r="AU158" s="50"/>
      <c r="AV158" s="50"/>
      <c r="AW158" s="50"/>
      <c r="AX158" s="62" t="s">
        <v>150</v>
      </c>
      <c r="AY158" s="50"/>
      <c r="AZ158" s="42">
        <f>average(350,500,400,300,600,350,300,700,350,400)</f>
        <v>425</v>
      </c>
      <c r="BA158" s="13" t="s">
        <v>146</v>
      </c>
      <c r="BB158" s="13">
        <v>300.0</v>
      </c>
      <c r="BC158" s="13">
        <v>700.0</v>
      </c>
      <c r="BD158" s="62" t="s">
        <v>150</v>
      </c>
      <c r="BE158" s="62" t="s">
        <v>150</v>
      </c>
      <c r="BF158" s="62" t="s">
        <v>150</v>
      </c>
      <c r="BG158" s="62" t="s">
        <v>150</v>
      </c>
      <c r="BH158" s="42"/>
      <c r="BI158" s="62" t="s">
        <v>150</v>
      </c>
      <c r="BJ158" s="158"/>
      <c r="BK158" s="62" t="s">
        <v>150</v>
      </c>
      <c r="BL158" s="42">
        <f>IFERROR(__xludf.DUMMYFUNCTION("BM158*GoogleFinance(""CURRENCY:GBPUSD"")"),976.70328)</f>
        <v>976.70328</v>
      </c>
      <c r="BM158" s="24">
        <f t="shared" si="94"/>
        <v>784</v>
      </c>
      <c r="BN158" s="13">
        <v>121.0</v>
      </c>
      <c r="BO158" s="13">
        <v>126.0</v>
      </c>
      <c r="BP158" s="13">
        <v>244.0</v>
      </c>
      <c r="BQ158" s="13">
        <v>177.0</v>
      </c>
      <c r="BR158" s="13">
        <v>116.0</v>
      </c>
      <c r="BS158" s="13">
        <v>200.0</v>
      </c>
      <c r="BT158" s="50"/>
      <c r="BU158" s="53"/>
      <c r="BV158" s="53"/>
      <c r="BW158" s="50"/>
      <c r="BX158" s="50"/>
      <c r="BY158" s="50"/>
      <c r="BZ158" s="50"/>
      <c r="CA158" s="50"/>
    </row>
    <row r="159">
      <c r="A159" s="13" t="s">
        <v>736</v>
      </c>
      <c r="B159" s="27"/>
      <c r="C159" s="13" t="s">
        <v>34</v>
      </c>
      <c r="D159" s="27"/>
      <c r="E159" s="17"/>
      <c r="F159" s="13">
        <v>105.0</v>
      </c>
      <c r="G159" s="50"/>
      <c r="H159" s="26" t="s">
        <v>150</v>
      </c>
      <c r="I159" s="18"/>
      <c r="J159" s="27"/>
      <c r="K159" s="13">
        <v>15.0</v>
      </c>
      <c r="L159" s="236"/>
      <c r="M159" s="67">
        <v>13.0</v>
      </c>
      <c r="N159" s="18"/>
      <c r="O159" s="13">
        <v>4.0</v>
      </c>
      <c r="P159" s="236"/>
      <c r="Q159" s="26">
        <v>657.5</v>
      </c>
      <c r="R159" s="18"/>
      <c r="S159" s="48"/>
      <c r="T159" s="18"/>
      <c r="U159" s="13" t="s">
        <v>182</v>
      </c>
      <c r="V159" s="18"/>
      <c r="W159" s="13" t="s">
        <v>182</v>
      </c>
      <c r="X159" s="18"/>
      <c r="Y159" s="27"/>
      <c r="Z159" s="50"/>
      <c r="AA159" s="50"/>
      <c r="AB159" s="50"/>
      <c r="AC159" s="50"/>
      <c r="AD159" s="50"/>
      <c r="AE159" s="27"/>
      <c r="AF159" s="13" t="s">
        <v>149</v>
      </c>
      <c r="AG159" s="107" t="s">
        <v>150</v>
      </c>
      <c r="AH159" s="107" t="s">
        <v>150</v>
      </c>
      <c r="AI159" s="16">
        <f t="shared" si="90"/>
        <v>29.21</v>
      </c>
      <c r="AJ159" s="108">
        <f>average(10,13)</f>
        <v>11.5</v>
      </c>
      <c r="AK159" s="27"/>
      <c r="AL159" s="50"/>
      <c r="AM159" s="50"/>
      <c r="AN159" s="50"/>
      <c r="AO159" s="13" t="s">
        <v>267</v>
      </c>
      <c r="AP159" s="159" t="s">
        <v>268</v>
      </c>
      <c r="AQ159" s="13" t="s">
        <v>269</v>
      </c>
      <c r="AR159" s="13">
        <v>36.0</v>
      </c>
      <c r="AS159" s="13" t="s">
        <v>738</v>
      </c>
      <c r="AT159" s="13" t="s">
        <v>739</v>
      </c>
      <c r="AU159" s="50"/>
      <c r="AV159" s="50"/>
      <c r="AW159" s="50"/>
      <c r="AX159" s="62" t="s">
        <v>150</v>
      </c>
      <c r="AY159" s="50"/>
      <c r="AZ159" s="42">
        <f>average(800,500,700,975,600,800,700,700,300,500)</f>
        <v>657.5</v>
      </c>
      <c r="BA159" s="13" t="s">
        <v>146</v>
      </c>
      <c r="BB159" s="13">
        <v>300.0</v>
      </c>
      <c r="BC159" s="13">
        <v>975.0</v>
      </c>
      <c r="BD159" s="62" t="s">
        <v>150</v>
      </c>
      <c r="BE159" s="62" t="s">
        <v>150</v>
      </c>
      <c r="BF159" s="62" t="s">
        <v>150</v>
      </c>
      <c r="BG159" s="62" t="s">
        <v>150</v>
      </c>
      <c r="BH159" s="42"/>
      <c r="BI159" s="62" t="s">
        <v>150</v>
      </c>
      <c r="BJ159" s="158"/>
      <c r="BK159" s="42">
        <f t="shared" ref="BK159:BK167" si="97">BL159*M159</f>
        <v>12697.14264</v>
      </c>
      <c r="BL159" s="42">
        <f>IFERROR(__xludf.DUMMYFUNCTION("BM159*GoogleFinance(""CURRENCY:GBPUSD"")"),976.70328)</f>
        <v>976.70328</v>
      </c>
      <c r="BM159" s="24">
        <f t="shared" si="94"/>
        <v>784</v>
      </c>
      <c r="BN159" s="13">
        <v>121.0</v>
      </c>
      <c r="BO159" s="13">
        <v>126.0</v>
      </c>
      <c r="BP159" s="13">
        <v>244.0</v>
      </c>
      <c r="BQ159" s="13">
        <v>177.0</v>
      </c>
      <c r="BR159" s="13">
        <v>116.0</v>
      </c>
      <c r="BS159" s="13">
        <v>200.0</v>
      </c>
      <c r="BT159" s="50"/>
      <c r="BU159" s="53"/>
      <c r="BV159" s="53"/>
      <c r="BW159" s="50"/>
      <c r="BX159" s="50"/>
      <c r="BY159" s="50"/>
      <c r="BZ159" s="50"/>
      <c r="CA159" s="50"/>
    </row>
    <row r="160">
      <c r="A160" s="13" t="s">
        <v>740</v>
      </c>
      <c r="B160" s="27"/>
      <c r="C160" s="13" t="s">
        <v>53</v>
      </c>
      <c r="D160" s="27"/>
      <c r="E160" s="17"/>
      <c r="F160" s="13">
        <v>142.0</v>
      </c>
      <c r="G160" s="50"/>
      <c r="H160" s="26" t="s">
        <v>150</v>
      </c>
      <c r="I160" s="18"/>
      <c r="J160" s="27"/>
      <c r="K160" s="13">
        <v>47.0</v>
      </c>
      <c r="L160" s="236"/>
      <c r="M160" s="67">
        <v>8.7</v>
      </c>
      <c r="N160" s="18"/>
      <c r="O160" s="13">
        <v>2.0</v>
      </c>
      <c r="P160" s="236"/>
      <c r="Q160" s="26" t="s">
        <v>150</v>
      </c>
      <c r="R160" s="18"/>
      <c r="S160" s="48"/>
      <c r="T160" s="18"/>
      <c r="U160" s="13" t="s">
        <v>182</v>
      </c>
      <c r="V160" s="18"/>
      <c r="W160" s="13" t="s">
        <v>182</v>
      </c>
      <c r="X160" s="18"/>
      <c r="Y160" s="27"/>
      <c r="Z160" s="50"/>
      <c r="AA160" s="50"/>
      <c r="AB160" s="50"/>
      <c r="AC160" s="50"/>
      <c r="AD160" s="50"/>
      <c r="AE160" s="27"/>
      <c r="AF160" s="13" t="s">
        <v>166</v>
      </c>
      <c r="AG160" s="16">
        <f t="shared" ref="AG160:AG166" si="98">AH160*0.45359237</f>
        <v>41.95729423</v>
      </c>
      <c r="AH160" s="108">
        <f>average(75,110)</f>
        <v>92.5</v>
      </c>
      <c r="AI160" s="107" t="s">
        <v>150</v>
      </c>
      <c r="AJ160" s="107" t="s">
        <v>150</v>
      </c>
      <c r="AK160" s="27"/>
      <c r="AL160" s="50"/>
      <c r="AM160" s="50"/>
      <c r="AN160" s="50"/>
      <c r="AO160" s="13" t="s">
        <v>184</v>
      </c>
      <c r="AP160" s="159" t="s">
        <v>185</v>
      </c>
      <c r="AQ160" s="13" t="s">
        <v>187</v>
      </c>
      <c r="AR160" s="13">
        <v>300.0</v>
      </c>
      <c r="AS160" s="13" t="s">
        <v>741</v>
      </c>
      <c r="AT160" s="13" t="s">
        <v>742</v>
      </c>
      <c r="AU160" s="50"/>
      <c r="AV160" s="50"/>
      <c r="AW160" s="50"/>
      <c r="AX160" s="62" t="s">
        <v>150</v>
      </c>
      <c r="AY160" s="50"/>
      <c r="AZ160" s="62" t="s">
        <v>150</v>
      </c>
      <c r="BA160" s="62" t="s">
        <v>150</v>
      </c>
      <c r="BB160" s="62" t="s">
        <v>150</v>
      </c>
      <c r="BC160" s="62" t="s">
        <v>150</v>
      </c>
      <c r="BD160" s="62" t="s">
        <v>150</v>
      </c>
      <c r="BE160" s="62" t="s">
        <v>150</v>
      </c>
      <c r="BF160" s="62" t="s">
        <v>150</v>
      </c>
      <c r="BG160" s="62" t="s">
        <v>150</v>
      </c>
      <c r="BH160" s="42"/>
      <c r="BI160" s="62" t="s">
        <v>150</v>
      </c>
      <c r="BJ160" s="158"/>
      <c r="BK160" s="42">
        <f t="shared" si="97"/>
        <v>8497.318536</v>
      </c>
      <c r="BL160" s="42">
        <f>IFERROR(__xludf.DUMMYFUNCTION("BM160*GoogleFinance(""CURRENCY:GBPUSD"")"),976.70328)</f>
        <v>976.70328</v>
      </c>
      <c r="BM160" s="24">
        <f t="shared" si="94"/>
        <v>784</v>
      </c>
      <c r="BN160" s="13">
        <v>121.0</v>
      </c>
      <c r="BO160" s="13">
        <v>126.0</v>
      </c>
      <c r="BP160" s="13">
        <v>244.0</v>
      </c>
      <c r="BQ160" s="13">
        <v>177.0</v>
      </c>
      <c r="BR160" s="13">
        <v>116.0</v>
      </c>
      <c r="BS160" s="13">
        <v>200.0</v>
      </c>
      <c r="BT160" s="50"/>
      <c r="BU160" s="53"/>
      <c r="BV160" s="53"/>
      <c r="BW160" s="50"/>
      <c r="BX160" s="50"/>
      <c r="BY160" s="50"/>
      <c r="BZ160" s="50"/>
      <c r="CA160" s="50"/>
    </row>
    <row r="161">
      <c r="A161" s="13" t="s">
        <v>744</v>
      </c>
      <c r="B161" s="27"/>
      <c r="C161" s="13" t="s">
        <v>23</v>
      </c>
      <c r="D161" s="27"/>
      <c r="E161" s="17"/>
      <c r="F161" s="13">
        <v>163.0</v>
      </c>
      <c r="G161" s="50"/>
      <c r="H161" s="26" t="s">
        <v>150</v>
      </c>
      <c r="I161" s="18"/>
      <c r="J161" s="27"/>
      <c r="K161" s="13">
        <v>56.0</v>
      </c>
      <c r="L161" s="236"/>
      <c r="M161" s="67">
        <v>12.25</v>
      </c>
      <c r="N161" s="18"/>
      <c r="O161" s="13">
        <v>1.0</v>
      </c>
      <c r="P161" s="236"/>
      <c r="Q161" s="26" t="s">
        <v>150</v>
      </c>
      <c r="R161" s="18"/>
      <c r="S161" s="48"/>
      <c r="T161" s="18"/>
      <c r="U161" s="13" t="s">
        <v>182</v>
      </c>
      <c r="V161" s="18"/>
      <c r="W161" s="13" t="s">
        <v>182</v>
      </c>
      <c r="X161" s="18"/>
      <c r="Y161" s="27"/>
      <c r="Z161" s="50"/>
      <c r="AA161" s="50"/>
      <c r="AB161" s="50"/>
      <c r="AC161" s="50"/>
      <c r="AD161" s="50"/>
      <c r="AE161" s="27"/>
      <c r="AF161" s="13" t="s">
        <v>149</v>
      </c>
      <c r="AG161" s="16">
        <f t="shared" si="98"/>
        <v>10.88621688</v>
      </c>
      <c r="AH161" s="107">
        <v>24.0</v>
      </c>
      <c r="AI161" s="16">
        <f t="shared" ref="AI161:AI178" si="99">AJ161*2.54</f>
        <v>26.67</v>
      </c>
      <c r="AJ161" s="107">
        <v>10.5</v>
      </c>
      <c r="AK161" s="27"/>
      <c r="AL161" s="50"/>
      <c r="AM161" s="50"/>
      <c r="AN161" s="50"/>
      <c r="AO161" s="13" t="s">
        <v>400</v>
      </c>
      <c r="AP161" s="13" t="s">
        <v>401</v>
      </c>
      <c r="AQ161" s="13" t="s">
        <v>402</v>
      </c>
      <c r="AR161" s="13">
        <v>12.0</v>
      </c>
      <c r="AS161" s="13" t="s">
        <v>580</v>
      </c>
      <c r="AT161" s="13" t="s">
        <v>745</v>
      </c>
      <c r="AU161" s="50"/>
      <c r="AV161" s="50"/>
      <c r="AW161" s="50"/>
      <c r="AX161" s="62" t="s">
        <v>150</v>
      </c>
      <c r="AY161" s="50"/>
      <c r="AZ161" s="62" t="s">
        <v>150</v>
      </c>
      <c r="BA161" s="62" t="s">
        <v>150</v>
      </c>
      <c r="BB161" s="62" t="s">
        <v>150</v>
      </c>
      <c r="BC161" s="62" t="s">
        <v>150</v>
      </c>
      <c r="BD161" s="62" t="s">
        <v>150</v>
      </c>
      <c r="BE161" s="62" t="s">
        <v>150</v>
      </c>
      <c r="BF161" s="62" t="s">
        <v>150</v>
      </c>
      <c r="BG161" s="62" t="s">
        <v>150</v>
      </c>
      <c r="BH161" s="42"/>
      <c r="BI161" s="62" t="s">
        <v>150</v>
      </c>
      <c r="BJ161" s="158"/>
      <c r="BK161" s="42">
        <f t="shared" si="97"/>
        <v>11964.61518</v>
      </c>
      <c r="BL161" s="42">
        <f>IFERROR(__xludf.DUMMYFUNCTION("BM161*GoogleFinance(""CURRENCY:GBPUSD"")"),976.70328)</f>
        <v>976.70328</v>
      </c>
      <c r="BM161" s="24">
        <f t="shared" si="94"/>
        <v>784</v>
      </c>
      <c r="BN161" s="13">
        <v>121.0</v>
      </c>
      <c r="BO161" s="13">
        <v>126.0</v>
      </c>
      <c r="BP161" s="13">
        <v>244.0</v>
      </c>
      <c r="BQ161" s="13">
        <v>177.0</v>
      </c>
      <c r="BR161" s="13">
        <v>116.0</v>
      </c>
      <c r="BS161" s="13">
        <v>200.0</v>
      </c>
      <c r="BT161" s="50"/>
      <c r="BU161" s="53"/>
      <c r="BV161" s="53"/>
      <c r="BW161" s="50"/>
      <c r="BX161" s="50"/>
      <c r="BY161" s="50"/>
      <c r="BZ161" s="50"/>
      <c r="CA161" s="50"/>
    </row>
    <row r="162">
      <c r="A162" s="13" t="s">
        <v>746</v>
      </c>
      <c r="B162" s="27"/>
      <c r="C162" s="13" t="s">
        <v>34</v>
      </c>
      <c r="D162" s="27"/>
      <c r="E162" s="17"/>
      <c r="F162" s="13">
        <v>53.0</v>
      </c>
      <c r="G162" s="50"/>
      <c r="H162" s="26" t="s">
        <v>150</v>
      </c>
      <c r="I162" s="18"/>
      <c r="J162" s="27"/>
      <c r="K162" s="13" t="s">
        <v>150</v>
      </c>
      <c r="L162" s="236"/>
      <c r="M162" s="67">
        <v>7.0</v>
      </c>
      <c r="N162" s="18"/>
      <c r="O162" s="13">
        <v>1.0</v>
      </c>
      <c r="P162" s="236"/>
      <c r="Q162" s="26">
        <v>890.0</v>
      </c>
      <c r="R162" s="18"/>
      <c r="S162" s="48"/>
      <c r="T162" s="18"/>
      <c r="U162" s="13" t="s">
        <v>182</v>
      </c>
      <c r="V162" s="18"/>
      <c r="W162" s="13" t="s">
        <v>182</v>
      </c>
      <c r="X162" s="18"/>
      <c r="Y162" s="27"/>
      <c r="Z162" s="50"/>
      <c r="AA162" s="50"/>
      <c r="AB162" s="50"/>
      <c r="AC162" s="50"/>
      <c r="AD162" s="50"/>
      <c r="AE162" s="27"/>
      <c r="AF162" s="13" t="s">
        <v>149</v>
      </c>
      <c r="AG162" s="16">
        <f t="shared" si="98"/>
        <v>9.0718474</v>
      </c>
      <c r="AH162" s="108">
        <f>average(17,23)</f>
        <v>20</v>
      </c>
      <c r="AI162" s="16">
        <f t="shared" si="99"/>
        <v>38.1</v>
      </c>
      <c r="AJ162" s="108">
        <f>average(13.5,16.5)</f>
        <v>15</v>
      </c>
      <c r="AK162" s="27"/>
      <c r="AL162" s="50"/>
      <c r="AM162" s="50"/>
      <c r="AN162" s="50"/>
      <c r="AO162" s="13" t="s">
        <v>150</v>
      </c>
      <c r="AP162" s="13" t="s">
        <v>150</v>
      </c>
      <c r="AQ162" s="13" t="s">
        <v>150</v>
      </c>
      <c r="AR162" s="13">
        <v>3.0</v>
      </c>
      <c r="AS162" s="13" t="s">
        <v>174</v>
      </c>
      <c r="AT162" s="13" t="s">
        <v>175</v>
      </c>
      <c r="AU162" s="50"/>
      <c r="AV162" s="50"/>
      <c r="AW162" s="50"/>
      <c r="AX162" s="62" t="s">
        <v>150</v>
      </c>
      <c r="AY162" s="50"/>
      <c r="AZ162" s="42">
        <f>average(1200,950,750,850,1400,650,800,850,800,650)</f>
        <v>890</v>
      </c>
      <c r="BA162" s="13" t="s">
        <v>160</v>
      </c>
      <c r="BB162" s="13">
        <v>650.0</v>
      </c>
      <c r="BC162" s="13">
        <v>1400.0</v>
      </c>
      <c r="BD162" s="62" t="s">
        <v>150</v>
      </c>
      <c r="BE162" s="62" t="s">
        <v>150</v>
      </c>
      <c r="BF162" s="62" t="s">
        <v>150</v>
      </c>
      <c r="BG162" s="62" t="s">
        <v>150</v>
      </c>
      <c r="BH162" s="42"/>
      <c r="BI162" s="62" t="s">
        <v>150</v>
      </c>
      <c r="BJ162" s="158"/>
      <c r="BK162" s="42">
        <f t="shared" si="97"/>
        <v>6836.92296</v>
      </c>
      <c r="BL162" s="42">
        <f>IFERROR(__xludf.DUMMYFUNCTION("BM162*GoogleFinance(""CURRENCY:GBPUSD"")"),976.70328)</f>
        <v>976.70328</v>
      </c>
      <c r="BM162" s="24">
        <f t="shared" si="94"/>
        <v>784</v>
      </c>
      <c r="BN162" s="13">
        <v>121.0</v>
      </c>
      <c r="BO162" s="13">
        <v>126.0</v>
      </c>
      <c r="BP162" s="13">
        <v>244.0</v>
      </c>
      <c r="BQ162" s="13">
        <v>177.0</v>
      </c>
      <c r="BR162" s="13">
        <v>116.0</v>
      </c>
      <c r="BS162" s="13">
        <v>200.0</v>
      </c>
      <c r="BT162" s="50"/>
      <c r="BU162" s="53"/>
      <c r="BV162" s="53"/>
      <c r="BW162" s="50"/>
      <c r="BX162" s="50"/>
      <c r="BY162" s="50"/>
      <c r="BZ162" s="50"/>
      <c r="CA162" s="50"/>
    </row>
    <row r="163">
      <c r="A163" s="13" t="s">
        <v>747</v>
      </c>
      <c r="B163" s="27"/>
      <c r="C163" s="13" t="s">
        <v>43</v>
      </c>
      <c r="D163" s="27"/>
      <c r="E163" s="17"/>
      <c r="F163" s="13">
        <v>85.0</v>
      </c>
      <c r="G163" s="50"/>
      <c r="H163" s="26" t="s">
        <v>150</v>
      </c>
      <c r="I163" s="18"/>
      <c r="J163" s="27"/>
      <c r="K163" s="13">
        <v>37.0</v>
      </c>
      <c r="L163" s="236"/>
      <c r="M163" s="67">
        <v>14.25</v>
      </c>
      <c r="N163" s="18"/>
      <c r="O163" s="13">
        <v>0.0</v>
      </c>
      <c r="P163" s="236"/>
      <c r="Q163" s="26">
        <v>447.5</v>
      </c>
      <c r="R163" s="18"/>
      <c r="S163" s="48"/>
      <c r="T163" s="18"/>
      <c r="U163" s="13" t="s">
        <v>182</v>
      </c>
      <c r="V163" s="18"/>
      <c r="W163" s="13" t="s">
        <v>182</v>
      </c>
      <c r="X163" s="18"/>
      <c r="Y163" s="27"/>
      <c r="Z163" s="50"/>
      <c r="AA163" s="50"/>
      <c r="AB163" s="50"/>
      <c r="AC163" s="50"/>
      <c r="AD163" s="50"/>
      <c r="AE163" s="27"/>
      <c r="AF163" s="13" t="s">
        <v>149</v>
      </c>
      <c r="AG163" s="16">
        <f t="shared" si="98"/>
        <v>4.5359237</v>
      </c>
      <c r="AH163" s="107">
        <v>10.0</v>
      </c>
      <c r="AI163" s="16">
        <f t="shared" si="99"/>
        <v>24.13</v>
      </c>
      <c r="AJ163" s="108">
        <f>average(9,10)</f>
        <v>9.5</v>
      </c>
      <c r="AK163" s="27"/>
      <c r="AL163" s="50"/>
      <c r="AM163" s="50"/>
      <c r="AN163" s="50"/>
      <c r="AO163" s="13" t="s">
        <v>142</v>
      </c>
      <c r="AP163" s="13" t="s">
        <v>143</v>
      </c>
      <c r="AQ163" s="13" t="s">
        <v>144</v>
      </c>
      <c r="AR163" s="13">
        <v>3.0</v>
      </c>
      <c r="AS163" s="13" t="s">
        <v>145</v>
      </c>
      <c r="AT163" s="13" t="s">
        <v>145</v>
      </c>
      <c r="AU163" s="50"/>
      <c r="AV163" s="50"/>
      <c r="AW163" s="50"/>
      <c r="AX163" s="62" t="s">
        <v>150</v>
      </c>
      <c r="AY163" s="50"/>
      <c r="AZ163" s="42">
        <f>average(500,500,500,500,375,500,500,250,500,350)</f>
        <v>447.5</v>
      </c>
      <c r="BA163" s="13" t="s">
        <v>146</v>
      </c>
      <c r="BB163" s="13">
        <v>250.0</v>
      </c>
      <c r="BC163" s="13">
        <v>500.0</v>
      </c>
      <c r="BD163" s="62" t="s">
        <v>150</v>
      </c>
      <c r="BE163" s="62" t="s">
        <v>150</v>
      </c>
      <c r="BF163" s="62" t="s">
        <v>150</v>
      </c>
      <c r="BG163" s="62" t="s">
        <v>150</v>
      </c>
      <c r="BH163" s="42"/>
      <c r="BI163" s="62" t="s">
        <v>150</v>
      </c>
      <c r="BJ163" s="158"/>
      <c r="BK163" s="42">
        <f t="shared" si="97"/>
        <v>13918.02174</v>
      </c>
      <c r="BL163" s="42">
        <f>IFERROR(__xludf.DUMMYFUNCTION("BM163*GoogleFinance(""CURRENCY:GBPUSD"")"),976.70328)</f>
        <v>976.70328</v>
      </c>
      <c r="BM163" s="24">
        <f t="shared" si="94"/>
        <v>784</v>
      </c>
      <c r="BN163" s="13">
        <v>121.0</v>
      </c>
      <c r="BO163" s="13">
        <v>126.0</v>
      </c>
      <c r="BP163" s="13">
        <v>244.0</v>
      </c>
      <c r="BQ163" s="13">
        <v>177.0</v>
      </c>
      <c r="BR163" s="13">
        <v>116.0</v>
      </c>
      <c r="BS163" s="13">
        <v>200.0</v>
      </c>
      <c r="BT163" s="50"/>
      <c r="BU163" s="53"/>
      <c r="BV163" s="53"/>
      <c r="BW163" s="50"/>
      <c r="BX163" s="50"/>
      <c r="BY163" s="50"/>
      <c r="BZ163" s="50"/>
      <c r="CA163" s="50"/>
    </row>
    <row r="164">
      <c r="A164" s="13" t="s">
        <v>749</v>
      </c>
      <c r="B164" s="27"/>
      <c r="C164" s="13" t="s">
        <v>23</v>
      </c>
      <c r="D164" s="27"/>
      <c r="E164" s="17"/>
      <c r="F164" s="13">
        <v>164.0</v>
      </c>
      <c r="G164" s="50"/>
      <c r="H164" s="26" t="s">
        <v>150</v>
      </c>
      <c r="I164" s="18"/>
      <c r="J164" s="27"/>
      <c r="K164" s="13">
        <v>55.0</v>
      </c>
      <c r="L164" s="236"/>
      <c r="M164" s="67">
        <v>11.0</v>
      </c>
      <c r="N164" s="18"/>
      <c r="O164" s="13">
        <v>0.0</v>
      </c>
      <c r="P164" s="236"/>
      <c r="Q164" s="26">
        <v>550.0</v>
      </c>
      <c r="R164" s="18"/>
      <c r="S164" s="48"/>
      <c r="T164" s="18"/>
      <c r="U164" s="13" t="s">
        <v>182</v>
      </c>
      <c r="V164" s="18"/>
      <c r="W164" s="13" t="s">
        <v>182</v>
      </c>
      <c r="X164" s="18"/>
      <c r="Y164" s="27"/>
      <c r="Z164" s="50"/>
      <c r="AA164" s="50"/>
      <c r="AB164" s="50"/>
      <c r="AC164" s="50"/>
      <c r="AD164" s="50"/>
      <c r="AE164" s="27"/>
      <c r="AF164" s="13" t="s">
        <v>149</v>
      </c>
      <c r="AG164" s="16">
        <f t="shared" si="98"/>
        <v>18.1436948</v>
      </c>
      <c r="AH164" s="108">
        <f>average(35,45)</f>
        <v>40</v>
      </c>
      <c r="AI164" s="16">
        <f t="shared" si="99"/>
        <v>24.765</v>
      </c>
      <c r="AJ164" s="108">
        <f>average(10,9.5)</f>
        <v>9.75</v>
      </c>
      <c r="AK164" s="27"/>
      <c r="AL164" s="50"/>
      <c r="AM164" s="50"/>
      <c r="AN164" s="50"/>
      <c r="AO164" s="13" t="s">
        <v>400</v>
      </c>
      <c r="AP164" s="13" t="s">
        <v>401</v>
      </c>
      <c r="AQ164" s="13" t="s">
        <v>402</v>
      </c>
      <c r="AR164" s="13">
        <v>37.0</v>
      </c>
      <c r="AS164" s="13" t="s">
        <v>145</v>
      </c>
      <c r="AT164" s="13" t="s">
        <v>145</v>
      </c>
      <c r="AU164" s="50"/>
      <c r="AV164" s="50"/>
      <c r="AW164" s="50"/>
      <c r="AX164" s="62" t="s">
        <v>150</v>
      </c>
      <c r="AY164" s="50"/>
      <c r="AZ164" s="42">
        <f>average(600,500)</f>
        <v>550</v>
      </c>
      <c r="BA164" s="13" t="s">
        <v>146</v>
      </c>
      <c r="BB164" s="13">
        <v>500.0</v>
      </c>
      <c r="BC164" s="13">
        <v>600.0</v>
      </c>
      <c r="BD164" s="62" t="s">
        <v>150</v>
      </c>
      <c r="BE164" s="62" t="s">
        <v>150</v>
      </c>
      <c r="BF164" s="62" t="s">
        <v>150</v>
      </c>
      <c r="BG164" s="62" t="s">
        <v>150</v>
      </c>
      <c r="BH164" s="42"/>
      <c r="BI164" s="62" t="s">
        <v>150</v>
      </c>
      <c r="BJ164" s="158"/>
      <c r="BK164" s="42">
        <f t="shared" si="97"/>
        <v>10743.73608</v>
      </c>
      <c r="BL164" s="42">
        <f>IFERROR(__xludf.DUMMYFUNCTION("BM164*GoogleFinance(""CURRENCY:GBPUSD"")"),976.70328)</f>
        <v>976.70328</v>
      </c>
      <c r="BM164" s="24">
        <f t="shared" si="94"/>
        <v>784</v>
      </c>
      <c r="BN164" s="13">
        <v>121.0</v>
      </c>
      <c r="BO164" s="13">
        <v>126.0</v>
      </c>
      <c r="BP164" s="13">
        <v>244.0</v>
      </c>
      <c r="BQ164" s="13">
        <v>177.0</v>
      </c>
      <c r="BR164" s="13">
        <v>116.0</v>
      </c>
      <c r="BS164" s="13">
        <v>200.0</v>
      </c>
      <c r="BT164" s="50"/>
      <c r="BU164" s="53"/>
      <c r="BV164" s="53"/>
      <c r="BW164" s="50"/>
      <c r="BX164" s="50"/>
      <c r="BY164" s="50"/>
      <c r="BZ164" s="50"/>
      <c r="CA164" s="50"/>
    </row>
    <row r="165">
      <c r="A165" s="13" t="s">
        <v>751</v>
      </c>
      <c r="B165" s="27"/>
      <c r="C165" s="13" t="s">
        <v>23</v>
      </c>
      <c r="D165" s="27"/>
      <c r="E165" s="17"/>
      <c r="F165" s="13">
        <v>113.0</v>
      </c>
      <c r="G165" s="50"/>
      <c r="H165" s="26" t="s">
        <v>150</v>
      </c>
      <c r="I165" s="18"/>
      <c r="J165" s="27"/>
      <c r="K165" s="13">
        <v>40.0</v>
      </c>
      <c r="L165" s="236"/>
      <c r="M165" s="67">
        <v>13.17</v>
      </c>
      <c r="N165" s="18"/>
      <c r="O165" s="13">
        <v>0.0</v>
      </c>
      <c r="P165" s="236"/>
      <c r="Q165" s="26">
        <v>575.0</v>
      </c>
      <c r="R165" s="18"/>
      <c r="S165" s="48"/>
      <c r="T165" s="18"/>
      <c r="U165" s="13" t="s">
        <v>182</v>
      </c>
      <c r="V165" s="18"/>
      <c r="W165" s="13" t="s">
        <v>182</v>
      </c>
      <c r="X165" s="18"/>
      <c r="Y165" s="27"/>
      <c r="Z165" s="50"/>
      <c r="AA165" s="50"/>
      <c r="AB165" s="50"/>
      <c r="AC165" s="50"/>
      <c r="AD165" s="50"/>
      <c r="AE165" s="27"/>
      <c r="AF165" s="13" t="s">
        <v>149</v>
      </c>
      <c r="AG165" s="16">
        <f t="shared" si="98"/>
        <v>7.937866475</v>
      </c>
      <c r="AH165" s="107">
        <v>17.5</v>
      </c>
      <c r="AI165" s="16">
        <f t="shared" si="99"/>
        <v>38.1</v>
      </c>
      <c r="AJ165" s="107">
        <v>15.0</v>
      </c>
      <c r="AK165" s="27"/>
      <c r="AL165" s="13" t="s">
        <v>752</v>
      </c>
      <c r="AM165" s="50"/>
      <c r="AN165" s="50"/>
      <c r="AO165" s="13" t="s">
        <v>184</v>
      </c>
      <c r="AP165" s="159" t="s">
        <v>185</v>
      </c>
      <c r="AQ165" s="13" t="s">
        <v>187</v>
      </c>
      <c r="AR165" s="13">
        <v>44.0</v>
      </c>
      <c r="AS165" s="13" t="s">
        <v>145</v>
      </c>
      <c r="AT165" s="13" t="s">
        <v>145</v>
      </c>
      <c r="AU165" s="50"/>
      <c r="AV165" s="50"/>
      <c r="AW165" s="50"/>
      <c r="AX165" s="62" t="s">
        <v>150</v>
      </c>
      <c r="AY165" s="50"/>
      <c r="AZ165" s="42">
        <f>average(450,650,750,450)</f>
        <v>575</v>
      </c>
      <c r="BA165" s="13" t="s">
        <v>146</v>
      </c>
      <c r="BB165" s="13">
        <v>450.0</v>
      </c>
      <c r="BC165" s="13">
        <v>750.0</v>
      </c>
      <c r="BD165" s="62" t="s">
        <v>150</v>
      </c>
      <c r="BE165" s="62" t="s">
        <v>150</v>
      </c>
      <c r="BF165" s="62" t="s">
        <v>150</v>
      </c>
      <c r="BG165" s="62" t="s">
        <v>150</v>
      </c>
      <c r="BH165" s="42"/>
      <c r="BI165" s="62" t="s">
        <v>150</v>
      </c>
      <c r="BJ165" s="158"/>
      <c r="BK165" s="42">
        <f t="shared" si="97"/>
        <v>12863.1822</v>
      </c>
      <c r="BL165" s="42">
        <f>IFERROR(__xludf.DUMMYFUNCTION("BM165*GoogleFinance(""CURRENCY:GBPUSD"")"),976.70328)</f>
        <v>976.70328</v>
      </c>
      <c r="BM165" s="24">
        <f t="shared" si="94"/>
        <v>784</v>
      </c>
      <c r="BN165" s="13">
        <v>121.0</v>
      </c>
      <c r="BO165" s="13">
        <v>126.0</v>
      </c>
      <c r="BP165" s="13">
        <v>244.0</v>
      </c>
      <c r="BQ165" s="13">
        <v>177.0</v>
      </c>
      <c r="BR165" s="13">
        <v>116.0</v>
      </c>
      <c r="BS165" s="13">
        <v>200.0</v>
      </c>
      <c r="BT165" s="50"/>
      <c r="BU165" s="53"/>
      <c r="BV165" s="53"/>
      <c r="BW165" s="50"/>
      <c r="BX165" s="50"/>
      <c r="BY165" s="50"/>
      <c r="BZ165" s="50"/>
      <c r="CA165" s="50"/>
    </row>
    <row r="166">
      <c r="A166" s="13" t="s">
        <v>753</v>
      </c>
      <c r="B166" s="27"/>
      <c r="C166" s="13" t="s">
        <v>23</v>
      </c>
      <c r="D166" s="27"/>
      <c r="E166" s="17"/>
      <c r="F166" s="13">
        <v>52.0</v>
      </c>
      <c r="G166" s="50"/>
      <c r="H166" s="26" t="s">
        <v>150</v>
      </c>
      <c r="I166" s="18"/>
      <c r="J166" s="27"/>
      <c r="K166" s="13">
        <v>40.0</v>
      </c>
      <c r="L166" s="236"/>
      <c r="M166" s="67">
        <v>12.16</v>
      </c>
      <c r="N166" s="18"/>
      <c r="O166" s="13">
        <v>0.0</v>
      </c>
      <c r="P166" s="236"/>
      <c r="Q166" s="26">
        <v>831.5</v>
      </c>
      <c r="R166" s="18"/>
      <c r="S166" s="48"/>
      <c r="T166" s="18"/>
      <c r="U166" s="13" t="s">
        <v>182</v>
      </c>
      <c r="V166" s="18"/>
      <c r="W166" s="13" t="s">
        <v>182</v>
      </c>
      <c r="X166" s="18"/>
      <c r="Y166" s="27"/>
      <c r="Z166" s="50"/>
      <c r="AA166" s="50"/>
      <c r="AB166" s="50"/>
      <c r="AC166" s="50"/>
      <c r="AD166" s="50"/>
      <c r="AE166" s="27"/>
      <c r="AF166" s="13" t="s">
        <v>148</v>
      </c>
      <c r="AG166" s="16">
        <f t="shared" si="98"/>
        <v>15.87573295</v>
      </c>
      <c r="AH166" s="108">
        <f>average(30,40)</f>
        <v>35</v>
      </c>
      <c r="AI166" s="16">
        <f t="shared" si="99"/>
        <v>45.72</v>
      </c>
      <c r="AJ166" s="108">
        <f>average(17,19)</f>
        <v>18</v>
      </c>
      <c r="AK166" s="27"/>
      <c r="AL166" s="50"/>
      <c r="AM166" s="50"/>
      <c r="AN166" s="50"/>
      <c r="AO166" s="13" t="s">
        <v>184</v>
      </c>
      <c r="AP166" s="159" t="s">
        <v>185</v>
      </c>
      <c r="AQ166" s="13" t="s">
        <v>187</v>
      </c>
      <c r="AR166" s="13">
        <v>345.0</v>
      </c>
      <c r="AS166" s="13" t="s">
        <v>145</v>
      </c>
      <c r="AT166" s="13" t="s">
        <v>145</v>
      </c>
      <c r="AU166" s="50"/>
      <c r="AV166" s="50"/>
      <c r="AW166" s="50"/>
      <c r="AX166" s="62" t="s">
        <v>150</v>
      </c>
      <c r="AY166" s="50"/>
      <c r="AZ166" s="42">
        <f>average(700,1000,800,900,795,750,900,675,800,995)</f>
        <v>831.5</v>
      </c>
      <c r="BA166" s="13" t="s">
        <v>160</v>
      </c>
      <c r="BB166" s="13">
        <v>675.0</v>
      </c>
      <c r="BC166" s="13">
        <v>1000.0</v>
      </c>
      <c r="BD166" s="62" t="s">
        <v>150</v>
      </c>
      <c r="BE166" s="62" t="s">
        <v>150</v>
      </c>
      <c r="BF166" s="62" t="s">
        <v>150</v>
      </c>
      <c r="BG166" s="62" t="s">
        <v>150</v>
      </c>
      <c r="BH166" s="42"/>
      <c r="BI166" s="62" t="s">
        <v>150</v>
      </c>
      <c r="BJ166" s="158"/>
      <c r="BK166" s="42">
        <f t="shared" si="97"/>
        <v>11876.71188</v>
      </c>
      <c r="BL166" s="42">
        <f>IFERROR(__xludf.DUMMYFUNCTION("BM166*GoogleFinance(""CURRENCY:GBPUSD"")"),976.70328)</f>
        <v>976.70328</v>
      </c>
      <c r="BM166" s="24">
        <f t="shared" si="94"/>
        <v>784</v>
      </c>
      <c r="BN166" s="13">
        <v>121.0</v>
      </c>
      <c r="BO166" s="13">
        <v>126.0</v>
      </c>
      <c r="BP166" s="13">
        <v>244.0</v>
      </c>
      <c r="BQ166" s="13">
        <v>177.0</v>
      </c>
      <c r="BR166" s="13">
        <v>116.0</v>
      </c>
      <c r="BS166" s="13">
        <v>200.0</v>
      </c>
      <c r="BT166" s="50"/>
      <c r="BU166" s="53"/>
      <c r="BV166" s="53"/>
      <c r="BW166" s="50"/>
      <c r="BX166" s="50"/>
      <c r="BY166" s="50"/>
      <c r="BZ166" s="50"/>
      <c r="CA166" s="50"/>
    </row>
    <row r="167">
      <c r="A167" s="13" t="s">
        <v>754</v>
      </c>
      <c r="B167" s="27"/>
      <c r="C167" s="13" t="s">
        <v>27</v>
      </c>
      <c r="D167" s="27"/>
      <c r="E167" s="17"/>
      <c r="F167" s="13">
        <v>123.0</v>
      </c>
      <c r="G167" s="50"/>
      <c r="H167" s="26" t="s">
        <v>150</v>
      </c>
      <c r="I167" s="18"/>
      <c r="J167" s="27"/>
      <c r="K167" s="13" t="s">
        <v>150</v>
      </c>
      <c r="L167" s="236"/>
      <c r="M167" s="67">
        <v>9.0</v>
      </c>
      <c r="N167" s="18"/>
      <c r="O167" s="13" t="s">
        <v>150</v>
      </c>
      <c r="P167" s="236"/>
      <c r="Q167" s="26">
        <v>1725.0</v>
      </c>
      <c r="R167" s="18"/>
      <c r="S167" s="48"/>
      <c r="T167" s="18"/>
      <c r="U167" s="13" t="s">
        <v>182</v>
      </c>
      <c r="V167" s="18"/>
      <c r="W167" s="13" t="s">
        <v>182</v>
      </c>
      <c r="X167" s="18"/>
      <c r="Y167" s="27"/>
      <c r="Z167" s="50"/>
      <c r="AA167" s="50"/>
      <c r="AB167" s="50"/>
      <c r="AC167" s="50"/>
      <c r="AD167" s="50"/>
      <c r="AE167" s="27"/>
      <c r="AF167" s="13" t="s">
        <v>166</v>
      </c>
      <c r="AG167" s="107" t="s">
        <v>150</v>
      </c>
      <c r="AH167" s="107" t="s">
        <v>150</v>
      </c>
      <c r="AI167" s="16">
        <f t="shared" si="99"/>
        <v>62.23</v>
      </c>
      <c r="AJ167" s="108">
        <f>average(22,27)</f>
        <v>24.5</v>
      </c>
      <c r="AK167" s="27"/>
      <c r="AL167" s="13" t="s">
        <v>698</v>
      </c>
      <c r="AM167" s="50"/>
      <c r="AN167" s="50"/>
      <c r="AO167" s="13" t="s">
        <v>150</v>
      </c>
      <c r="AP167" s="13" t="s">
        <v>150</v>
      </c>
      <c r="AQ167" s="13" t="s">
        <v>150</v>
      </c>
      <c r="AR167" s="13">
        <v>47.0</v>
      </c>
      <c r="AS167" s="13" t="s">
        <v>150</v>
      </c>
      <c r="AT167" s="13" t="s">
        <v>150</v>
      </c>
      <c r="AU167" s="50"/>
      <c r="AV167" s="50"/>
      <c r="AW167" s="50"/>
      <c r="AX167" s="62" t="s">
        <v>150</v>
      </c>
      <c r="AY167" s="50"/>
      <c r="AZ167" s="42">
        <f>average(1100,2000,2000,1800)</f>
        <v>1725</v>
      </c>
      <c r="BA167" s="13" t="s">
        <v>372</v>
      </c>
      <c r="BB167" s="13">
        <v>1100.0</v>
      </c>
      <c r="BC167" s="13">
        <v>2000.0</v>
      </c>
      <c r="BD167" s="62" t="s">
        <v>150</v>
      </c>
      <c r="BE167" s="62" t="s">
        <v>150</v>
      </c>
      <c r="BF167" s="62" t="s">
        <v>150</v>
      </c>
      <c r="BG167" s="62" t="s">
        <v>150</v>
      </c>
      <c r="BH167" s="42"/>
      <c r="BI167" s="62" t="s">
        <v>150</v>
      </c>
      <c r="BJ167" s="158"/>
      <c r="BK167" s="42">
        <f t="shared" si="97"/>
        <v>8790.32952</v>
      </c>
      <c r="BL167" s="42">
        <f>IFERROR(__xludf.DUMMYFUNCTION("BM167*GoogleFinance(""CURRENCY:GBPUSD"")"),976.70328)</f>
        <v>976.70328</v>
      </c>
      <c r="BM167" s="24">
        <f t="shared" si="94"/>
        <v>784</v>
      </c>
      <c r="BN167" s="13">
        <v>121.0</v>
      </c>
      <c r="BO167" s="13">
        <v>126.0</v>
      </c>
      <c r="BP167" s="13">
        <v>244.0</v>
      </c>
      <c r="BQ167" s="13">
        <v>177.0</v>
      </c>
      <c r="BR167" s="13">
        <v>116.0</v>
      </c>
      <c r="BS167" s="13">
        <v>200.0</v>
      </c>
      <c r="BT167" s="50"/>
      <c r="BU167" s="53"/>
      <c r="BV167" s="53"/>
      <c r="BW167" s="50"/>
      <c r="BX167" s="50"/>
      <c r="BY167" s="50"/>
      <c r="BZ167" s="50"/>
      <c r="CA167" s="50"/>
    </row>
    <row r="168">
      <c r="A168" s="13" t="s">
        <v>755</v>
      </c>
      <c r="B168" s="181"/>
      <c r="C168" s="13" t="s">
        <v>38</v>
      </c>
      <c r="D168" s="27"/>
      <c r="E168" s="17"/>
      <c r="F168" s="13">
        <v>91.0</v>
      </c>
      <c r="G168" s="50"/>
      <c r="H168" s="26" t="s">
        <v>150</v>
      </c>
      <c r="I168" s="18"/>
      <c r="J168" s="27"/>
      <c r="K168" s="13">
        <v>18.0</v>
      </c>
      <c r="L168" s="236"/>
      <c r="M168" s="67" t="s">
        <v>150</v>
      </c>
      <c r="N168" s="18"/>
      <c r="O168" s="13">
        <v>1.0</v>
      </c>
      <c r="P168" s="236"/>
      <c r="Q168" s="26">
        <v>855.0</v>
      </c>
      <c r="R168" s="18"/>
      <c r="S168" s="48"/>
      <c r="T168" s="18"/>
      <c r="U168" s="13" t="s">
        <v>182</v>
      </c>
      <c r="V168" s="18"/>
      <c r="W168" s="13" t="s">
        <v>182</v>
      </c>
      <c r="X168" s="18"/>
      <c r="Y168" s="27"/>
      <c r="Z168" s="50"/>
      <c r="AA168" s="50"/>
      <c r="AB168" s="50"/>
      <c r="AC168" s="50"/>
      <c r="AD168" s="50"/>
      <c r="AE168" s="27"/>
      <c r="AF168" s="13" t="s">
        <v>148</v>
      </c>
      <c r="AG168" s="107" t="s">
        <v>150</v>
      </c>
      <c r="AH168" s="107" t="s">
        <v>150</v>
      </c>
      <c r="AI168" s="16">
        <f t="shared" si="99"/>
        <v>46.99</v>
      </c>
      <c r="AJ168" s="108">
        <f>average(17.5,19.5)</f>
        <v>18.5</v>
      </c>
      <c r="AK168" s="27"/>
      <c r="AL168" s="50"/>
      <c r="AM168" s="50"/>
      <c r="AN168" s="50"/>
      <c r="AO168" s="13" t="s">
        <v>267</v>
      </c>
      <c r="AP168" s="159" t="s">
        <v>268</v>
      </c>
      <c r="AQ168" s="13" t="s">
        <v>269</v>
      </c>
      <c r="AR168" s="13" t="s">
        <v>182</v>
      </c>
      <c r="AS168" s="13" t="s">
        <v>174</v>
      </c>
      <c r="AT168" s="13" t="s">
        <v>175</v>
      </c>
      <c r="AU168" s="64"/>
      <c r="AV168" s="50"/>
      <c r="AW168" s="50"/>
      <c r="AX168" s="62" t="s">
        <v>150</v>
      </c>
      <c r="AY168" s="50"/>
      <c r="AZ168" s="42">
        <f>average(1500,700,1000,1200,1500,50,1000,300,1000,300)</f>
        <v>855</v>
      </c>
      <c r="BA168" s="13" t="s">
        <v>160</v>
      </c>
      <c r="BB168" s="13">
        <v>50.0</v>
      </c>
      <c r="BC168" s="13">
        <v>1500.0</v>
      </c>
      <c r="BD168" s="62" t="s">
        <v>150</v>
      </c>
      <c r="BE168" s="62" t="s">
        <v>150</v>
      </c>
      <c r="BF168" s="62" t="s">
        <v>150</v>
      </c>
      <c r="BG168" s="62" t="s">
        <v>150</v>
      </c>
      <c r="BH168" s="42"/>
      <c r="BI168" s="62" t="s">
        <v>150</v>
      </c>
      <c r="BJ168" s="158"/>
      <c r="BK168" s="62" t="s">
        <v>150</v>
      </c>
      <c r="BL168" s="42">
        <f>IFERROR(__xludf.DUMMYFUNCTION("BM168*GoogleFinance(""CURRENCY:GBPUSD"")"),976.70328)</f>
        <v>976.70328</v>
      </c>
      <c r="BM168" s="24">
        <f t="shared" si="94"/>
        <v>784</v>
      </c>
      <c r="BN168" s="13">
        <v>121.0</v>
      </c>
      <c r="BO168" s="13">
        <v>126.0</v>
      </c>
      <c r="BP168" s="13">
        <v>244.0</v>
      </c>
      <c r="BQ168" s="13">
        <v>177.0</v>
      </c>
      <c r="BR168" s="13">
        <v>116.0</v>
      </c>
      <c r="BS168" s="13">
        <v>200.0</v>
      </c>
      <c r="BT168" s="50"/>
      <c r="BU168" s="53"/>
      <c r="BV168" s="53"/>
      <c r="BW168" s="50"/>
      <c r="BX168" s="50"/>
      <c r="BY168" s="50"/>
      <c r="BZ168" s="50"/>
      <c r="CA168" s="50"/>
    </row>
    <row r="169">
      <c r="A169" s="13" t="s">
        <v>756</v>
      </c>
      <c r="B169" s="27"/>
      <c r="C169" s="13" t="s">
        <v>27</v>
      </c>
      <c r="D169" s="27"/>
      <c r="E169" s="17"/>
      <c r="F169" s="13">
        <v>161.0</v>
      </c>
      <c r="G169" s="50"/>
      <c r="H169" s="26" t="s">
        <v>150</v>
      </c>
      <c r="I169" s="18"/>
      <c r="J169" s="27"/>
      <c r="K169" s="13" t="s">
        <v>150</v>
      </c>
      <c r="L169" s="236"/>
      <c r="M169" s="67">
        <v>11.17</v>
      </c>
      <c r="N169" s="18"/>
      <c r="O169" s="13">
        <v>0.0</v>
      </c>
      <c r="P169" s="236"/>
      <c r="Q169" s="26" t="s">
        <v>150</v>
      </c>
      <c r="R169" s="18"/>
      <c r="S169" s="48"/>
      <c r="T169" s="18"/>
      <c r="U169" s="13">
        <v>2.0</v>
      </c>
      <c r="V169" s="18"/>
      <c r="W169" s="13">
        <v>3.0</v>
      </c>
      <c r="X169" s="18"/>
      <c r="Y169" s="27"/>
      <c r="Z169" s="50"/>
      <c r="AA169" s="50"/>
      <c r="AB169" s="50"/>
      <c r="AC169" s="50"/>
      <c r="AD169" s="50"/>
      <c r="AE169" s="27"/>
      <c r="AF169" s="13" t="s">
        <v>149</v>
      </c>
      <c r="AG169" s="16">
        <f>AH169*0.45359237</f>
        <v>18.1436948</v>
      </c>
      <c r="AH169" s="108">
        <f>average(35,45)</f>
        <v>40</v>
      </c>
      <c r="AI169" s="16">
        <f t="shared" si="99"/>
        <v>35.56</v>
      </c>
      <c r="AJ169" s="108">
        <f>average (13,15)</f>
        <v>14</v>
      </c>
      <c r="AK169" s="27"/>
      <c r="AL169" s="50"/>
      <c r="AM169" s="50"/>
      <c r="AN169" s="50"/>
      <c r="AO169" s="13" t="s">
        <v>150</v>
      </c>
      <c r="AP169" s="13" t="s">
        <v>150</v>
      </c>
      <c r="AQ169" s="13" t="s">
        <v>150</v>
      </c>
      <c r="AR169" s="13">
        <v>42.0</v>
      </c>
      <c r="AS169" s="13" t="s">
        <v>145</v>
      </c>
      <c r="AT169" s="13" t="s">
        <v>145</v>
      </c>
      <c r="AU169" s="50"/>
      <c r="AV169" s="50"/>
      <c r="AW169" s="50"/>
      <c r="AX169" s="62" t="s">
        <v>150</v>
      </c>
      <c r="AY169" s="50"/>
      <c r="AZ169" s="62" t="s">
        <v>150</v>
      </c>
      <c r="BA169" s="62" t="s">
        <v>150</v>
      </c>
      <c r="BB169" s="62" t="s">
        <v>150</v>
      </c>
      <c r="BC169" s="62" t="s">
        <v>150</v>
      </c>
      <c r="BD169" s="24">
        <f t="shared" ref="BD169:BD171" si="100">average(BE169,BF169)</f>
        <v>5.75</v>
      </c>
      <c r="BE169" s="13">
        <v>4.0</v>
      </c>
      <c r="BF169" s="13">
        <v>7.5</v>
      </c>
      <c r="BG169" s="35">
        <f>IFERROR(__xludf.DUMMYFUNCTION("BD169*GoogleFinance(""CURRENCY:GBPUSD"")"),7.16332125)</f>
        <v>7.16332125</v>
      </c>
      <c r="BH169" s="50"/>
      <c r="BI169" s="42">
        <f t="shared" ref="BI169:BI171" si="101">BG169*52.1775*M169</f>
        <v>4174.946053</v>
      </c>
      <c r="BJ169" s="158"/>
      <c r="BK169" s="42">
        <f t="shared" ref="BK169:BK171" si="102">BL169*M169</f>
        <v>10909.77564</v>
      </c>
      <c r="BL169" s="42">
        <f>IFERROR(__xludf.DUMMYFUNCTION("BM169*GoogleFinance(""CURRENCY:GBPUSD"")"),976.70328)</f>
        <v>976.70328</v>
      </c>
      <c r="BM169" s="24">
        <f t="shared" si="94"/>
        <v>784</v>
      </c>
      <c r="BN169" s="13">
        <v>121.0</v>
      </c>
      <c r="BO169" s="13">
        <v>126.0</v>
      </c>
      <c r="BP169" s="13">
        <v>244.0</v>
      </c>
      <c r="BQ169" s="13">
        <v>177.0</v>
      </c>
      <c r="BR169" s="13">
        <v>116.0</v>
      </c>
      <c r="BS169" s="13">
        <v>200.0</v>
      </c>
      <c r="BT169" s="50"/>
      <c r="BU169" s="53"/>
      <c r="BV169" s="53"/>
      <c r="BW169" s="50"/>
      <c r="BX169" s="50"/>
      <c r="BY169" s="50"/>
      <c r="BZ169" s="50"/>
      <c r="CA169" s="50"/>
    </row>
    <row r="170">
      <c r="A170" s="13" t="s">
        <v>757</v>
      </c>
      <c r="B170" s="27"/>
      <c r="C170" s="13" t="s">
        <v>32</v>
      </c>
      <c r="D170" s="27"/>
      <c r="E170" s="17"/>
      <c r="F170" s="13">
        <v>153.0</v>
      </c>
      <c r="G170" s="50"/>
      <c r="H170" s="26">
        <v>22839.0</v>
      </c>
      <c r="I170" s="18"/>
      <c r="J170" s="27"/>
      <c r="K170" s="13" t="s">
        <v>150</v>
      </c>
      <c r="L170" s="236"/>
      <c r="M170" s="67">
        <v>14.17</v>
      </c>
      <c r="N170" s="18"/>
      <c r="O170" s="13" t="s">
        <v>150</v>
      </c>
      <c r="P170" s="236"/>
      <c r="Q170" s="26">
        <v>772.222222222222</v>
      </c>
      <c r="R170" s="18"/>
      <c r="S170" s="48"/>
      <c r="T170" s="18"/>
      <c r="U170" s="13">
        <v>2.0</v>
      </c>
      <c r="V170" s="18"/>
      <c r="W170" s="13">
        <v>1.0</v>
      </c>
      <c r="X170" s="18"/>
      <c r="Y170" s="27"/>
      <c r="Z170" s="50"/>
      <c r="AA170" s="50"/>
      <c r="AB170" s="50"/>
      <c r="AC170" s="50"/>
      <c r="AD170" s="50"/>
      <c r="AE170" s="27"/>
      <c r="AF170" s="13" t="s">
        <v>149</v>
      </c>
      <c r="AG170" s="115" t="s">
        <v>150</v>
      </c>
      <c r="AH170" s="107" t="s">
        <v>150</v>
      </c>
      <c r="AI170" s="16">
        <f t="shared" si="99"/>
        <v>31.75</v>
      </c>
      <c r="AJ170" s="108">
        <f>average(11.5,13.5)</f>
        <v>12.5</v>
      </c>
      <c r="AK170" s="27"/>
      <c r="AL170" s="50"/>
      <c r="AM170" s="50"/>
      <c r="AN170" s="50"/>
      <c r="AO170" s="13" t="s">
        <v>150</v>
      </c>
      <c r="AP170" s="13" t="s">
        <v>150</v>
      </c>
      <c r="AQ170" s="13" t="s">
        <v>150</v>
      </c>
      <c r="AR170" s="13">
        <v>7.0</v>
      </c>
      <c r="AS170" s="13" t="s">
        <v>150</v>
      </c>
      <c r="AT170" s="13" t="s">
        <v>150</v>
      </c>
      <c r="AU170" s="50"/>
      <c r="AV170" s="50"/>
      <c r="AW170" s="50"/>
      <c r="AX170" s="42">
        <f t="shared" ref="AX170:AX171" si="103">AZ170+BI170+BK170+BS170</f>
        <v>18496.44762</v>
      </c>
      <c r="AY170" s="50"/>
      <c r="AZ170" s="42">
        <f>average(600,700,800,700,1000,1000,600,1000,550)</f>
        <v>772.2222222</v>
      </c>
      <c r="BA170" s="13" t="s">
        <v>160</v>
      </c>
      <c r="BB170" s="13">
        <v>550.0</v>
      </c>
      <c r="BC170" s="13">
        <v>1000.0</v>
      </c>
      <c r="BD170" s="24">
        <f t="shared" si="100"/>
        <v>4</v>
      </c>
      <c r="BE170" s="13">
        <v>4.0</v>
      </c>
      <c r="BF170" s="13">
        <v>4.0</v>
      </c>
      <c r="BG170" s="35">
        <f>IFERROR(__xludf.DUMMYFUNCTION("BD170*GoogleFinance(""CURRENCY:GBPUSD"")"),4.98318)</f>
        <v>4.98318</v>
      </c>
      <c r="BH170" s="50"/>
      <c r="BI170" s="42">
        <f t="shared" si="101"/>
        <v>3684.339921</v>
      </c>
      <c r="BJ170" s="158"/>
      <c r="BK170" s="42">
        <f t="shared" si="102"/>
        <v>13839.88548</v>
      </c>
      <c r="BL170" s="42">
        <f>IFERROR(__xludf.DUMMYFUNCTION("BM170*GoogleFinance(""CURRENCY:GBPUSD"")"),976.70328)</f>
        <v>976.70328</v>
      </c>
      <c r="BM170" s="24">
        <f t="shared" si="94"/>
        <v>784</v>
      </c>
      <c r="BN170" s="13">
        <v>121.0</v>
      </c>
      <c r="BO170" s="13">
        <v>126.0</v>
      </c>
      <c r="BP170" s="13">
        <v>244.0</v>
      </c>
      <c r="BQ170" s="13">
        <v>177.0</v>
      </c>
      <c r="BR170" s="13">
        <v>116.0</v>
      </c>
      <c r="BS170" s="13">
        <v>200.0</v>
      </c>
      <c r="BT170" s="50"/>
      <c r="BU170" s="53"/>
      <c r="BV170" s="53"/>
      <c r="BW170" s="50"/>
      <c r="BX170" s="50"/>
      <c r="BY170" s="50"/>
      <c r="BZ170" s="50"/>
      <c r="CA170" s="50"/>
    </row>
    <row r="171">
      <c r="A171" s="13" t="s">
        <v>758</v>
      </c>
      <c r="B171" s="27"/>
      <c r="C171" s="13" t="s">
        <v>38</v>
      </c>
      <c r="D171" s="27"/>
      <c r="E171" s="17"/>
      <c r="F171" s="13">
        <v>122.0</v>
      </c>
      <c r="G171" s="50"/>
      <c r="H171" s="26">
        <v>23747.0</v>
      </c>
      <c r="I171" s="18"/>
      <c r="J171" s="27"/>
      <c r="K171" s="13" t="s">
        <v>150</v>
      </c>
      <c r="L171" s="236"/>
      <c r="M171" s="67">
        <v>11.92</v>
      </c>
      <c r="N171" s="18"/>
      <c r="O171" s="13" t="s">
        <v>150</v>
      </c>
      <c r="P171" s="236"/>
      <c r="Q171" s="26">
        <v>3460.0</v>
      </c>
      <c r="R171" s="18"/>
      <c r="S171" s="48"/>
      <c r="T171" s="18"/>
      <c r="U171" s="13">
        <v>2.0</v>
      </c>
      <c r="V171" s="18"/>
      <c r="W171" s="13">
        <v>1.0</v>
      </c>
      <c r="X171" s="18"/>
      <c r="Y171" s="27"/>
      <c r="Z171" s="50"/>
      <c r="AA171" s="50"/>
      <c r="AB171" s="50"/>
      <c r="AC171" s="50"/>
      <c r="AD171" s="50"/>
      <c r="AE171" s="27"/>
      <c r="AF171" s="13" t="s">
        <v>166</v>
      </c>
      <c r="AG171" s="107" t="s">
        <v>150</v>
      </c>
      <c r="AH171" s="107" t="s">
        <v>150</v>
      </c>
      <c r="AI171" s="16">
        <f t="shared" si="99"/>
        <v>63.5</v>
      </c>
      <c r="AJ171" s="108">
        <f>average(24,26)</f>
        <v>25</v>
      </c>
      <c r="AK171" s="27"/>
      <c r="AL171" s="13" t="s">
        <v>663</v>
      </c>
      <c r="AM171" s="50"/>
      <c r="AN171" s="50"/>
      <c r="AO171" s="13" t="s">
        <v>150</v>
      </c>
      <c r="AP171" s="13" t="s">
        <v>150</v>
      </c>
      <c r="AQ171" s="13" t="s">
        <v>150</v>
      </c>
      <c r="AR171" s="13">
        <v>10.0</v>
      </c>
      <c r="AS171" s="13" t="s">
        <v>150</v>
      </c>
      <c r="AT171" s="13" t="s">
        <v>150</v>
      </c>
      <c r="AU171" s="50"/>
      <c r="AV171" s="50"/>
      <c r="AW171" s="50"/>
      <c r="AX171" s="42">
        <f t="shared" si="103"/>
        <v>19757.5723</v>
      </c>
      <c r="AY171" s="50"/>
      <c r="AZ171" s="42">
        <f>average(2000,4000,800,6500,4000)</f>
        <v>3460</v>
      </c>
      <c r="BA171" s="13" t="s">
        <v>372</v>
      </c>
      <c r="BB171" s="13">
        <v>800.0</v>
      </c>
      <c r="BC171" s="13">
        <v>6500.0</v>
      </c>
      <c r="BD171" s="24">
        <f t="shared" si="100"/>
        <v>5.75</v>
      </c>
      <c r="BE171" s="13">
        <v>4.0</v>
      </c>
      <c r="BF171" s="13">
        <v>7.5</v>
      </c>
      <c r="BG171" s="35">
        <f>IFERROR(__xludf.DUMMYFUNCTION("BD171*GoogleFinance(""CURRENCY:GBPUSD"")"),7.16332125)</f>
        <v>7.16332125</v>
      </c>
      <c r="BH171" s="50"/>
      <c r="BI171" s="42">
        <f t="shared" si="101"/>
        <v>4455.269199</v>
      </c>
      <c r="BJ171" s="158"/>
      <c r="BK171" s="42">
        <f t="shared" si="102"/>
        <v>11642.3031</v>
      </c>
      <c r="BL171" s="42">
        <f>IFERROR(__xludf.DUMMYFUNCTION("BM171*GoogleFinance(""CURRENCY:GBPUSD"")"),976.70328)</f>
        <v>976.70328</v>
      </c>
      <c r="BM171" s="24">
        <f t="shared" si="94"/>
        <v>784</v>
      </c>
      <c r="BN171" s="13">
        <v>121.0</v>
      </c>
      <c r="BO171" s="13">
        <v>126.0</v>
      </c>
      <c r="BP171" s="13">
        <v>244.0</v>
      </c>
      <c r="BQ171" s="13">
        <v>177.0</v>
      </c>
      <c r="BR171" s="13">
        <v>116.0</v>
      </c>
      <c r="BS171" s="13">
        <v>200.0</v>
      </c>
      <c r="BT171" s="50"/>
      <c r="BU171" s="53"/>
      <c r="BV171" s="53"/>
      <c r="BW171" s="50"/>
      <c r="BX171" s="50"/>
      <c r="BY171" s="50"/>
      <c r="BZ171" s="50"/>
      <c r="CA171" s="50"/>
    </row>
    <row r="172">
      <c r="A172" s="13" t="s">
        <v>759</v>
      </c>
      <c r="B172" s="27"/>
      <c r="C172" s="13" t="s">
        <v>43</v>
      </c>
      <c r="D172" s="27"/>
      <c r="E172" s="17"/>
      <c r="F172" s="13">
        <v>101.0</v>
      </c>
      <c r="G172" s="50"/>
      <c r="H172" s="26" t="s">
        <v>150</v>
      </c>
      <c r="I172" s="18"/>
      <c r="J172" s="27"/>
      <c r="K172" s="13" t="s">
        <v>150</v>
      </c>
      <c r="L172" s="236"/>
      <c r="M172" s="67" t="s">
        <v>150</v>
      </c>
      <c r="N172" s="18"/>
      <c r="O172" s="13" t="s">
        <v>150</v>
      </c>
      <c r="P172" s="236"/>
      <c r="Q172" s="26">
        <v>460.0</v>
      </c>
      <c r="R172" s="18"/>
      <c r="S172" s="48"/>
      <c r="T172" s="18"/>
      <c r="U172" s="13" t="s">
        <v>182</v>
      </c>
      <c r="V172" s="18"/>
      <c r="W172" s="13" t="s">
        <v>182</v>
      </c>
      <c r="X172" s="18"/>
      <c r="Y172" s="27"/>
      <c r="Z172" s="50"/>
      <c r="AA172" s="50"/>
      <c r="AB172" s="50"/>
      <c r="AC172" s="50"/>
      <c r="AD172" s="50"/>
      <c r="AE172" s="27"/>
      <c r="AF172" s="13" t="s">
        <v>149</v>
      </c>
      <c r="AG172" s="107" t="s">
        <v>150</v>
      </c>
      <c r="AH172" s="107" t="s">
        <v>150</v>
      </c>
      <c r="AI172" s="16">
        <f t="shared" si="99"/>
        <v>25.4</v>
      </c>
      <c r="AJ172" s="108">
        <f>average(9,11)</f>
        <v>10</v>
      </c>
      <c r="AK172" s="27"/>
      <c r="AL172" s="50"/>
      <c r="AM172" s="50"/>
      <c r="AN172" s="50"/>
      <c r="AO172" s="13" t="s">
        <v>150</v>
      </c>
      <c r="AP172" s="13" t="s">
        <v>150</v>
      </c>
      <c r="AQ172" s="13" t="s">
        <v>150</v>
      </c>
      <c r="AR172" s="13" t="s">
        <v>182</v>
      </c>
      <c r="AS172" s="13" t="s">
        <v>150</v>
      </c>
      <c r="AT172" s="13" t="s">
        <v>150</v>
      </c>
      <c r="AU172" s="50"/>
      <c r="AV172" s="50"/>
      <c r="AW172" s="50"/>
      <c r="AX172" s="62" t="s">
        <v>150</v>
      </c>
      <c r="AY172" s="50"/>
      <c r="AZ172" s="42">
        <f>average(350,450,350,600,350,200,650,550,650,450)</f>
        <v>460</v>
      </c>
      <c r="BA172" s="13" t="s">
        <v>146</v>
      </c>
      <c r="BB172" s="13">
        <v>200.0</v>
      </c>
      <c r="BC172" s="13">
        <v>650.0</v>
      </c>
      <c r="BD172" s="62" t="s">
        <v>150</v>
      </c>
      <c r="BE172" s="62" t="s">
        <v>150</v>
      </c>
      <c r="BF172" s="62" t="s">
        <v>150</v>
      </c>
      <c r="BG172" s="62" t="s">
        <v>150</v>
      </c>
      <c r="BH172" s="42"/>
      <c r="BI172" s="62" t="s">
        <v>150</v>
      </c>
      <c r="BJ172" s="158"/>
      <c r="BK172" s="62" t="s">
        <v>150</v>
      </c>
      <c r="BL172" s="42">
        <f>IFERROR(__xludf.DUMMYFUNCTION("BM172*GoogleFinance(""CURRENCY:GBPUSD"")"),976.70328)</f>
        <v>976.70328</v>
      </c>
      <c r="BM172" s="24">
        <f t="shared" si="94"/>
        <v>784</v>
      </c>
      <c r="BN172" s="13">
        <v>121.0</v>
      </c>
      <c r="BO172" s="13">
        <v>126.0</v>
      </c>
      <c r="BP172" s="13">
        <v>244.0</v>
      </c>
      <c r="BQ172" s="13">
        <v>177.0</v>
      </c>
      <c r="BR172" s="13">
        <v>116.0</v>
      </c>
      <c r="BS172" s="13">
        <v>200.0</v>
      </c>
      <c r="BT172" s="50"/>
      <c r="BU172" s="53"/>
      <c r="BV172" s="53"/>
      <c r="BW172" s="50"/>
      <c r="BX172" s="50"/>
      <c r="BY172" s="50"/>
      <c r="BZ172" s="50"/>
      <c r="CA172" s="50"/>
    </row>
    <row r="173">
      <c r="A173" s="13" t="s">
        <v>760</v>
      </c>
      <c r="B173" s="27"/>
      <c r="C173" s="13" t="s">
        <v>27</v>
      </c>
      <c r="D173" s="27"/>
      <c r="E173" s="17"/>
      <c r="F173" s="13">
        <v>37.0</v>
      </c>
      <c r="G173" s="50"/>
      <c r="H173" s="26" t="s">
        <v>150</v>
      </c>
      <c r="I173" s="18"/>
      <c r="J173" s="27"/>
      <c r="K173" s="13">
        <v>25.0</v>
      </c>
      <c r="L173" s="236"/>
      <c r="M173" s="67">
        <v>12.5</v>
      </c>
      <c r="N173" s="18"/>
      <c r="O173" s="13">
        <v>0.0</v>
      </c>
      <c r="P173" s="236"/>
      <c r="Q173" s="26">
        <v>934.5</v>
      </c>
      <c r="R173" s="18"/>
      <c r="S173" s="48"/>
      <c r="T173" s="18"/>
      <c r="U173" s="13" t="s">
        <v>182</v>
      </c>
      <c r="V173" s="18"/>
      <c r="W173" s="13" t="s">
        <v>182</v>
      </c>
      <c r="X173" s="18"/>
      <c r="Y173" s="27"/>
      <c r="Z173" s="50"/>
      <c r="AA173" s="50"/>
      <c r="AB173" s="50"/>
      <c r="AC173" s="50"/>
      <c r="AD173" s="50"/>
      <c r="AE173" s="27"/>
      <c r="AF173" s="13" t="s">
        <v>148</v>
      </c>
      <c r="AG173" s="107" t="s">
        <v>150</v>
      </c>
      <c r="AH173" s="107" t="s">
        <v>150</v>
      </c>
      <c r="AI173" s="16">
        <f t="shared" si="99"/>
        <v>57.15</v>
      </c>
      <c r="AJ173" s="108">
        <f>average(21,24)</f>
        <v>22.5</v>
      </c>
      <c r="AK173" s="27"/>
      <c r="AL173" s="50"/>
      <c r="AM173" s="50"/>
      <c r="AN173" s="50"/>
      <c r="AO173" s="13" t="s">
        <v>267</v>
      </c>
      <c r="AP173" s="159" t="s">
        <v>268</v>
      </c>
      <c r="AQ173" s="13" t="s">
        <v>269</v>
      </c>
      <c r="AR173" s="13">
        <v>6.0</v>
      </c>
      <c r="AS173" s="13" t="s">
        <v>145</v>
      </c>
      <c r="AT173" s="13" t="s">
        <v>145</v>
      </c>
      <c r="AU173" s="50"/>
      <c r="AV173" s="50"/>
      <c r="AW173" s="50"/>
      <c r="AX173" s="62" t="s">
        <v>150</v>
      </c>
      <c r="AY173" s="50"/>
      <c r="AZ173" s="42">
        <f>average(700,1000,900,850,1095,800,1200,1000,800,1000)</f>
        <v>934.5</v>
      </c>
      <c r="BA173" s="13" t="s">
        <v>160</v>
      </c>
      <c r="BB173" s="13">
        <v>800.0</v>
      </c>
      <c r="BC173" s="13">
        <v>1200.0</v>
      </c>
      <c r="BD173" s="62" t="s">
        <v>150</v>
      </c>
      <c r="BE173" s="62" t="s">
        <v>150</v>
      </c>
      <c r="BF173" s="62" t="s">
        <v>150</v>
      </c>
      <c r="BG173" s="62" t="s">
        <v>150</v>
      </c>
      <c r="BH173" s="42"/>
      <c r="BI173" s="62" t="s">
        <v>150</v>
      </c>
      <c r="BJ173" s="158"/>
      <c r="BK173" s="42">
        <f>BL173*M173</f>
        <v>12208.791</v>
      </c>
      <c r="BL173" s="42">
        <f>IFERROR(__xludf.DUMMYFUNCTION("BM173*GoogleFinance(""CURRENCY:GBPUSD"")"),976.70328)</f>
        <v>976.70328</v>
      </c>
      <c r="BM173" s="24">
        <f t="shared" si="94"/>
        <v>784</v>
      </c>
      <c r="BN173" s="13">
        <v>121.0</v>
      </c>
      <c r="BO173" s="13">
        <v>126.0</v>
      </c>
      <c r="BP173" s="13">
        <v>244.0</v>
      </c>
      <c r="BQ173" s="13">
        <v>177.0</v>
      </c>
      <c r="BR173" s="13">
        <v>116.0</v>
      </c>
      <c r="BS173" s="13">
        <v>200.0</v>
      </c>
      <c r="BT173" s="50"/>
      <c r="BU173" s="53"/>
      <c r="BV173" s="53"/>
      <c r="BW173" s="50"/>
      <c r="BX173" s="50"/>
      <c r="BY173" s="50"/>
      <c r="BZ173" s="50"/>
      <c r="CA173" s="50"/>
    </row>
    <row r="174">
      <c r="A174" s="13" t="s">
        <v>761</v>
      </c>
      <c r="B174" s="27"/>
      <c r="C174" s="13" t="s">
        <v>27</v>
      </c>
      <c r="D174" s="27"/>
      <c r="E174" s="17"/>
      <c r="F174" s="13">
        <v>32.0</v>
      </c>
      <c r="G174" s="50"/>
      <c r="H174" s="26" t="s">
        <v>150</v>
      </c>
      <c r="I174" s="18"/>
      <c r="J174" s="27"/>
      <c r="K174" s="13">
        <v>21.0</v>
      </c>
      <c r="L174" s="236"/>
      <c r="M174" s="67" t="s">
        <v>150</v>
      </c>
      <c r="N174" s="18"/>
      <c r="O174" s="13">
        <v>1.0</v>
      </c>
      <c r="P174" s="236"/>
      <c r="Q174" s="26">
        <v>562.0</v>
      </c>
      <c r="R174" s="18"/>
      <c r="S174" s="48"/>
      <c r="T174" s="18"/>
      <c r="U174" s="13">
        <v>2.0</v>
      </c>
      <c r="V174" s="18"/>
      <c r="W174" s="13">
        <v>1.0</v>
      </c>
      <c r="X174" s="18"/>
      <c r="Y174" s="27"/>
      <c r="Z174" s="50"/>
      <c r="AA174" s="50"/>
      <c r="AB174" s="50"/>
      <c r="AC174" s="50"/>
      <c r="AD174" s="50"/>
      <c r="AE174" s="27"/>
      <c r="AF174" s="13" t="s">
        <v>166</v>
      </c>
      <c r="AG174" s="107" t="s">
        <v>150</v>
      </c>
      <c r="AH174" s="107" t="s">
        <v>150</v>
      </c>
      <c r="AI174" s="16">
        <f t="shared" si="99"/>
        <v>63.5</v>
      </c>
      <c r="AJ174" s="108">
        <f>average(23,27)</f>
        <v>25</v>
      </c>
      <c r="AK174" s="27"/>
      <c r="AL174" s="50"/>
      <c r="AM174" s="50"/>
      <c r="AN174" s="50"/>
      <c r="AO174" s="13" t="s">
        <v>267</v>
      </c>
      <c r="AP174" s="159" t="s">
        <v>268</v>
      </c>
      <c r="AQ174" s="13" t="s">
        <v>269</v>
      </c>
      <c r="AR174" s="13" t="s">
        <v>182</v>
      </c>
      <c r="AS174" s="13" t="s">
        <v>174</v>
      </c>
      <c r="AT174" s="13" t="s">
        <v>175</v>
      </c>
      <c r="AU174" s="50"/>
      <c r="AV174" s="50"/>
      <c r="AW174" s="50"/>
      <c r="AX174" s="62" t="s">
        <v>150</v>
      </c>
      <c r="AY174" s="50"/>
      <c r="AZ174" s="42">
        <f>average(300,400,600,600,700,600,900,495,425,600)</f>
        <v>562</v>
      </c>
      <c r="BA174" s="13" t="s">
        <v>146</v>
      </c>
      <c r="BB174" s="13">
        <v>300.0</v>
      </c>
      <c r="BC174" s="13">
        <v>900.0</v>
      </c>
      <c r="BD174" s="24">
        <f t="shared" ref="BD174:BD175" si="104">average(BE174,BF174)</f>
        <v>5.75</v>
      </c>
      <c r="BE174" s="13">
        <v>4.0</v>
      </c>
      <c r="BF174" s="13">
        <v>7.5</v>
      </c>
      <c r="BG174" s="35">
        <f>IFERROR(__xludf.DUMMYFUNCTION("BD174*GoogleFinance(""CURRENCY:GBPUSD"")"),7.16332125)</f>
        <v>7.16332125</v>
      </c>
      <c r="BH174" s="50"/>
      <c r="BI174" s="62" t="s">
        <v>150</v>
      </c>
      <c r="BJ174" s="158"/>
      <c r="BK174" s="62" t="s">
        <v>150</v>
      </c>
      <c r="BL174" s="42">
        <f>IFERROR(__xludf.DUMMYFUNCTION("BM174*GoogleFinance(""CURRENCY:GBPUSD"")"),976.70328)</f>
        <v>976.70328</v>
      </c>
      <c r="BM174" s="24">
        <f t="shared" si="94"/>
        <v>784</v>
      </c>
      <c r="BN174" s="13">
        <v>121.0</v>
      </c>
      <c r="BO174" s="13">
        <v>126.0</v>
      </c>
      <c r="BP174" s="13">
        <v>244.0</v>
      </c>
      <c r="BQ174" s="13">
        <v>177.0</v>
      </c>
      <c r="BR174" s="13">
        <v>116.0</v>
      </c>
      <c r="BS174" s="13">
        <v>200.0</v>
      </c>
      <c r="BT174" s="50"/>
      <c r="BU174" s="53"/>
      <c r="BV174" s="53"/>
      <c r="BW174" s="50"/>
      <c r="BX174" s="50"/>
      <c r="BY174" s="50"/>
      <c r="BZ174" s="50"/>
      <c r="CA174" s="50"/>
    </row>
    <row r="175">
      <c r="A175" s="13" t="s">
        <v>763</v>
      </c>
      <c r="B175" s="27"/>
      <c r="C175" s="13" t="s">
        <v>23</v>
      </c>
      <c r="D175" s="27"/>
      <c r="E175" s="17"/>
      <c r="F175" s="13">
        <v>99.0</v>
      </c>
      <c r="G175" s="50"/>
      <c r="H175" s="26" t="s">
        <v>150</v>
      </c>
      <c r="I175" s="18"/>
      <c r="J175" s="27"/>
      <c r="K175" s="13">
        <v>53.0</v>
      </c>
      <c r="L175" s="236"/>
      <c r="M175" s="67" t="s">
        <v>150</v>
      </c>
      <c r="N175" s="18"/>
      <c r="O175" s="13">
        <v>0.0</v>
      </c>
      <c r="P175" s="236"/>
      <c r="Q175" s="26">
        <v>842.5</v>
      </c>
      <c r="R175" s="18"/>
      <c r="S175" s="48"/>
      <c r="T175" s="18"/>
      <c r="U175" s="13">
        <v>2.0</v>
      </c>
      <c r="V175" s="18"/>
      <c r="W175" s="13">
        <v>1.0</v>
      </c>
      <c r="X175" s="18"/>
      <c r="Y175" s="27"/>
      <c r="Z175" s="50"/>
      <c r="AA175" s="50"/>
      <c r="AB175" s="50"/>
      <c r="AC175" s="50"/>
      <c r="AD175" s="50"/>
      <c r="AE175" s="27"/>
      <c r="AF175" s="13" t="s">
        <v>149</v>
      </c>
      <c r="AG175" s="16">
        <f t="shared" ref="AG175:AG176" si="105">AH175*0.45359237</f>
        <v>9.0718474</v>
      </c>
      <c r="AH175" s="107">
        <v>20.0</v>
      </c>
      <c r="AI175" s="16">
        <f t="shared" si="99"/>
        <v>38.1</v>
      </c>
      <c r="AJ175" s="107">
        <v>15.0</v>
      </c>
      <c r="AK175" s="27"/>
      <c r="AL175" s="50"/>
      <c r="AM175" s="50"/>
      <c r="AN175" s="50"/>
      <c r="AO175" s="13" t="s">
        <v>184</v>
      </c>
      <c r="AP175" s="159" t="s">
        <v>185</v>
      </c>
      <c r="AQ175" s="13" t="s">
        <v>187</v>
      </c>
      <c r="AR175" s="13" t="s">
        <v>182</v>
      </c>
      <c r="AS175" s="13" t="s">
        <v>145</v>
      </c>
      <c r="AT175" s="13" t="s">
        <v>145</v>
      </c>
      <c r="AU175" s="50"/>
      <c r="AV175" s="50"/>
      <c r="AW175" s="50"/>
      <c r="AX175" s="62" t="s">
        <v>150</v>
      </c>
      <c r="AY175" s="50"/>
      <c r="AZ175" s="42">
        <f>average(1250,600,950,900,575,650,825,600,1250,825)</f>
        <v>842.5</v>
      </c>
      <c r="BA175" s="13" t="s">
        <v>160</v>
      </c>
      <c r="BB175" s="13">
        <v>575.0</v>
      </c>
      <c r="BC175" s="13">
        <v>1250.0</v>
      </c>
      <c r="BD175" s="24">
        <f t="shared" si="104"/>
        <v>4</v>
      </c>
      <c r="BE175" s="13">
        <v>4.0</v>
      </c>
      <c r="BF175" s="13">
        <v>4.0</v>
      </c>
      <c r="BG175" s="35">
        <f>IFERROR(__xludf.DUMMYFUNCTION("BD175*GoogleFinance(""CURRENCY:GBPUSD"")"),4.98318)</f>
        <v>4.98318</v>
      </c>
      <c r="BH175" s="50"/>
      <c r="BI175" s="62" t="s">
        <v>150</v>
      </c>
      <c r="BJ175" s="158"/>
      <c r="BK175" s="62" t="s">
        <v>150</v>
      </c>
      <c r="BL175" s="42">
        <f>IFERROR(__xludf.DUMMYFUNCTION("BM175*GoogleFinance(""CURRENCY:GBPUSD"")"),976.70328)</f>
        <v>976.70328</v>
      </c>
      <c r="BM175" s="24">
        <f t="shared" si="94"/>
        <v>784</v>
      </c>
      <c r="BN175" s="13">
        <v>121.0</v>
      </c>
      <c r="BO175" s="13">
        <v>126.0</v>
      </c>
      <c r="BP175" s="13">
        <v>244.0</v>
      </c>
      <c r="BQ175" s="13">
        <v>177.0</v>
      </c>
      <c r="BR175" s="13">
        <v>116.0</v>
      </c>
      <c r="BS175" s="13">
        <v>200.0</v>
      </c>
      <c r="BT175" s="50"/>
      <c r="BU175" s="53"/>
      <c r="BV175" s="53"/>
      <c r="BW175" s="50"/>
      <c r="BX175" s="50"/>
      <c r="BY175" s="50"/>
      <c r="BZ175" s="50"/>
      <c r="CA175" s="50"/>
    </row>
    <row r="176">
      <c r="A176" s="13" t="s">
        <v>764</v>
      </c>
      <c r="B176" s="27"/>
      <c r="C176" s="13" t="s">
        <v>23</v>
      </c>
      <c r="D176" s="27"/>
      <c r="E176" s="17"/>
      <c r="F176" s="13">
        <v>100.0</v>
      </c>
      <c r="G176" s="50"/>
      <c r="H176" s="26" t="s">
        <v>150</v>
      </c>
      <c r="I176" s="18"/>
      <c r="J176" s="27"/>
      <c r="K176" s="13">
        <v>51.0</v>
      </c>
      <c r="L176" s="236"/>
      <c r="M176" s="67">
        <v>13.17</v>
      </c>
      <c r="N176" s="18"/>
      <c r="O176" s="13">
        <v>0.0</v>
      </c>
      <c r="P176" s="236"/>
      <c r="Q176" s="26">
        <v>667.5</v>
      </c>
      <c r="R176" s="18"/>
      <c r="S176" s="48"/>
      <c r="T176" s="18"/>
      <c r="U176" s="13" t="s">
        <v>182</v>
      </c>
      <c r="V176" s="18"/>
      <c r="W176" s="13" t="s">
        <v>182</v>
      </c>
      <c r="X176" s="18"/>
      <c r="Y176" s="27"/>
      <c r="Z176" s="50"/>
      <c r="AA176" s="50"/>
      <c r="AB176" s="50"/>
      <c r="AC176" s="50"/>
      <c r="AD176" s="50"/>
      <c r="AE176" s="27"/>
      <c r="AF176" s="13" t="s">
        <v>149</v>
      </c>
      <c r="AG176" s="16">
        <f t="shared" si="105"/>
        <v>7.937866475</v>
      </c>
      <c r="AH176" s="107">
        <v>17.5</v>
      </c>
      <c r="AI176" s="16">
        <f t="shared" si="99"/>
        <v>38.1</v>
      </c>
      <c r="AJ176" s="107">
        <v>15.0</v>
      </c>
      <c r="AK176" s="27"/>
      <c r="AL176" s="13" t="s">
        <v>765</v>
      </c>
      <c r="AM176" s="50"/>
      <c r="AN176" s="50"/>
      <c r="AO176" s="13" t="s">
        <v>184</v>
      </c>
      <c r="AP176" s="159" t="s">
        <v>185</v>
      </c>
      <c r="AQ176" s="13" t="s">
        <v>187</v>
      </c>
      <c r="AR176" s="13">
        <v>44.0</v>
      </c>
      <c r="AS176" s="13" t="s">
        <v>145</v>
      </c>
      <c r="AT176" s="13" t="s">
        <v>145</v>
      </c>
      <c r="AU176" s="50"/>
      <c r="AV176" s="50"/>
      <c r="AW176" s="50"/>
      <c r="AX176" s="62" t="s">
        <v>150</v>
      </c>
      <c r="AY176" s="50"/>
      <c r="AZ176" s="42">
        <f>average(600,600,650,700,650,1600,650,175,600,450)</f>
        <v>667.5</v>
      </c>
      <c r="BA176" s="13" t="s">
        <v>146</v>
      </c>
      <c r="BB176" s="13">
        <v>175.0</v>
      </c>
      <c r="BC176" s="13">
        <v>1600.0</v>
      </c>
      <c r="BD176" s="62" t="s">
        <v>150</v>
      </c>
      <c r="BE176" s="62" t="s">
        <v>150</v>
      </c>
      <c r="BF176" s="62" t="s">
        <v>150</v>
      </c>
      <c r="BG176" s="62" t="s">
        <v>150</v>
      </c>
      <c r="BH176" s="42"/>
      <c r="BI176" s="62" t="s">
        <v>150</v>
      </c>
      <c r="BJ176" s="158"/>
      <c r="BK176" s="42">
        <f t="shared" ref="BK176:BK177" si="106">BL176*M176</f>
        <v>12863.1822</v>
      </c>
      <c r="BL176" s="42">
        <f>IFERROR(__xludf.DUMMYFUNCTION("BM176*GoogleFinance(""CURRENCY:GBPUSD"")"),976.70328)</f>
        <v>976.70328</v>
      </c>
      <c r="BM176" s="24">
        <f t="shared" si="94"/>
        <v>784</v>
      </c>
      <c r="BN176" s="13">
        <v>121.0</v>
      </c>
      <c r="BO176" s="13">
        <v>126.0</v>
      </c>
      <c r="BP176" s="13">
        <v>244.0</v>
      </c>
      <c r="BQ176" s="13">
        <v>177.0</v>
      </c>
      <c r="BR176" s="13">
        <v>116.0</v>
      </c>
      <c r="BS176" s="13">
        <v>200.0</v>
      </c>
      <c r="BT176" s="50"/>
      <c r="BU176" s="53"/>
      <c r="BV176" s="53"/>
      <c r="BW176" s="50"/>
      <c r="BX176" s="50"/>
      <c r="BY176" s="50"/>
      <c r="BZ176" s="50"/>
      <c r="CA176" s="50"/>
    </row>
    <row r="177">
      <c r="A177" s="13" t="s">
        <v>766</v>
      </c>
      <c r="B177" s="27"/>
      <c r="C177" s="13" t="s">
        <v>27</v>
      </c>
      <c r="D177" s="27"/>
      <c r="E177" s="17"/>
      <c r="F177" s="13">
        <v>92.0</v>
      </c>
      <c r="G177" s="50"/>
      <c r="H177" s="26" t="s">
        <v>150</v>
      </c>
      <c r="I177" s="18"/>
      <c r="J177" s="27"/>
      <c r="K177" s="13">
        <v>46.0</v>
      </c>
      <c r="L177" s="236"/>
      <c r="M177" s="67">
        <v>8.8</v>
      </c>
      <c r="N177" s="18"/>
      <c r="O177" s="13">
        <v>0.0</v>
      </c>
      <c r="P177" s="236"/>
      <c r="Q177" s="26">
        <v>755.0</v>
      </c>
      <c r="R177" s="18"/>
      <c r="S177" s="48"/>
      <c r="T177" s="18"/>
      <c r="U177" s="13" t="s">
        <v>182</v>
      </c>
      <c r="V177" s="18"/>
      <c r="W177" s="13" t="s">
        <v>182</v>
      </c>
      <c r="X177" s="18"/>
      <c r="Y177" s="27"/>
      <c r="Z177" s="50"/>
      <c r="AA177" s="50"/>
      <c r="AB177" s="50"/>
      <c r="AC177" s="50"/>
      <c r="AD177" s="50"/>
      <c r="AE177" s="27"/>
      <c r="AF177" s="13" t="s">
        <v>148</v>
      </c>
      <c r="AG177" s="107" t="s">
        <v>150</v>
      </c>
      <c r="AH177" s="107" t="s">
        <v>150</v>
      </c>
      <c r="AI177" s="16">
        <f t="shared" si="99"/>
        <v>55.88</v>
      </c>
      <c r="AJ177" s="108">
        <f>average(20,24)</f>
        <v>22</v>
      </c>
      <c r="AK177" s="27"/>
      <c r="AL177" s="50"/>
      <c r="AM177" s="50"/>
      <c r="AN177" s="50"/>
      <c r="AO177" s="13" t="s">
        <v>184</v>
      </c>
      <c r="AP177" s="159" t="s">
        <v>185</v>
      </c>
      <c r="AQ177" s="13" t="s">
        <v>187</v>
      </c>
      <c r="AR177" s="13">
        <v>16.0</v>
      </c>
      <c r="AS177" s="13" t="s">
        <v>145</v>
      </c>
      <c r="AT177" s="13" t="s">
        <v>145</v>
      </c>
      <c r="AU177" s="50"/>
      <c r="AV177" s="50"/>
      <c r="AW177" s="50"/>
      <c r="AX177" s="62" t="s">
        <v>150</v>
      </c>
      <c r="AY177" s="50"/>
      <c r="AZ177" s="42">
        <f>average(750,750,800,750,750,750,750,750,750,750)</f>
        <v>755</v>
      </c>
      <c r="BA177" s="13" t="s">
        <v>160</v>
      </c>
      <c r="BB177" s="13">
        <v>750.0</v>
      </c>
      <c r="BC177" s="13">
        <v>800.0</v>
      </c>
      <c r="BD177" s="62" t="s">
        <v>150</v>
      </c>
      <c r="BE177" s="62" t="s">
        <v>150</v>
      </c>
      <c r="BF177" s="62" t="s">
        <v>150</v>
      </c>
      <c r="BG177" s="62" t="s">
        <v>150</v>
      </c>
      <c r="BH177" s="42"/>
      <c r="BI177" s="62" t="s">
        <v>150</v>
      </c>
      <c r="BJ177" s="158"/>
      <c r="BK177" s="42">
        <f t="shared" si="106"/>
        <v>8594.988864</v>
      </c>
      <c r="BL177" s="42">
        <f>IFERROR(__xludf.DUMMYFUNCTION("BM177*GoogleFinance(""CURRENCY:GBPUSD"")"),976.70328)</f>
        <v>976.70328</v>
      </c>
      <c r="BM177" s="24">
        <f t="shared" si="94"/>
        <v>784</v>
      </c>
      <c r="BN177" s="13">
        <v>121.0</v>
      </c>
      <c r="BO177" s="13">
        <v>126.0</v>
      </c>
      <c r="BP177" s="13">
        <v>244.0</v>
      </c>
      <c r="BQ177" s="13">
        <v>177.0</v>
      </c>
      <c r="BR177" s="13">
        <v>116.0</v>
      </c>
      <c r="BS177" s="13">
        <v>200.0</v>
      </c>
      <c r="BT177" s="50"/>
      <c r="BU177" s="53"/>
      <c r="BV177" s="53"/>
      <c r="BW177" s="50"/>
      <c r="BX177" s="50"/>
      <c r="BY177" s="50"/>
      <c r="BZ177" s="50"/>
      <c r="CA177" s="50"/>
    </row>
    <row r="178">
      <c r="A178" s="13" t="s">
        <v>767</v>
      </c>
      <c r="B178" s="27"/>
      <c r="C178" s="13" t="s">
        <v>34</v>
      </c>
      <c r="D178" s="27"/>
      <c r="E178" s="17"/>
      <c r="F178" s="13">
        <v>155.0</v>
      </c>
      <c r="G178" s="50"/>
      <c r="H178" s="26" t="s">
        <v>150</v>
      </c>
      <c r="I178" s="18"/>
      <c r="J178" s="27"/>
      <c r="K178" s="13" t="s">
        <v>150</v>
      </c>
      <c r="L178" s="236"/>
      <c r="M178" s="67" t="s">
        <v>150</v>
      </c>
      <c r="N178" s="18"/>
      <c r="O178" s="13" t="s">
        <v>150</v>
      </c>
      <c r="P178" s="236"/>
      <c r="Q178" s="26">
        <v>716.666666666667</v>
      </c>
      <c r="R178" s="18"/>
      <c r="S178" s="48"/>
      <c r="T178" s="18"/>
      <c r="U178" s="13" t="s">
        <v>182</v>
      </c>
      <c r="V178" s="18"/>
      <c r="W178" s="13" t="s">
        <v>182</v>
      </c>
      <c r="X178" s="18"/>
      <c r="Y178" s="27"/>
      <c r="Z178" s="50"/>
      <c r="AA178" s="50"/>
      <c r="AB178" s="50"/>
      <c r="AC178" s="50"/>
      <c r="AD178" s="50"/>
      <c r="AE178" s="27"/>
      <c r="AF178" s="13" t="s">
        <v>148</v>
      </c>
      <c r="AG178" s="115" t="s">
        <v>150</v>
      </c>
      <c r="AH178" s="107" t="s">
        <v>150</v>
      </c>
      <c r="AI178" s="16">
        <f t="shared" si="99"/>
        <v>41.91</v>
      </c>
      <c r="AJ178" s="108">
        <f>average(10,23)</f>
        <v>16.5</v>
      </c>
      <c r="AK178" s="27"/>
      <c r="AL178" s="50"/>
      <c r="AM178" s="50"/>
      <c r="AN178" s="50"/>
      <c r="AO178" s="13" t="s">
        <v>150</v>
      </c>
      <c r="AP178" s="13" t="s">
        <v>150</v>
      </c>
      <c r="AQ178" s="13" t="s">
        <v>150</v>
      </c>
      <c r="AR178" s="13" t="s">
        <v>182</v>
      </c>
      <c r="AS178" s="13" t="s">
        <v>150</v>
      </c>
      <c r="AT178" s="13" t="s">
        <v>150</v>
      </c>
      <c r="AU178" s="50"/>
      <c r="AV178" s="50"/>
      <c r="AW178" s="50"/>
      <c r="AX178" s="62" t="s">
        <v>150</v>
      </c>
      <c r="AY178" s="50"/>
      <c r="AZ178" s="42">
        <f>average(450,450,450,2000,600,1200,500,500,300)</f>
        <v>716.6666667</v>
      </c>
      <c r="BA178" s="13" t="s">
        <v>160</v>
      </c>
      <c r="BB178" s="62">
        <v>300.0</v>
      </c>
      <c r="BC178" s="62">
        <v>2000.0</v>
      </c>
      <c r="BD178" s="62" t="s">
        <v>150</v>
      </c>
      <c r="BE178" s="62" t="s">
        <v>150</v>
      </c>
      <c r="BF178" s="62" t="s">
        <v>150</v>
      </c>
      <c r="BG178" s="62" t="s">
        <v>150</v>
      </c>
      <c r="BH178" s="42"/>
      <c r="BI178" s="62" t="s">
        <v>150</v>
      </c>
      <c r="BJ178" s="158"/>
      <c r="BK178" s="62" t="s">
        <v>150</v>
      </c>
      <c r="BL178" s="42">
        <f>IFERROR(__xludf.DUMMYFUNCTION("BM178*GoogleFinance(""CURRENCY:GBPUSD"")"),976.70328)</f>
        <v>976.70328</v>
      </c>
      <c r="BM178" s="24">
        <f t="shared" si="94"/>
        <v>784</v>
      </c>
      <c r="BN178" s="13">
        <v>121.0</v>
      </c>
      <c r="BO178" s="13">
        <v>126.0</v>
      </c>
      <c r="BP178" s="13">
        <v>244.0</v>
      </c>
      <c r="BQ178" s="13">
        <v>177.0</v>
      </c>
      <c r="BR178" s="13">
        <v>116.0</v>
      </c>
      <c r="BS178" s="13">
        <v>200.0</v>
      </c>
      <c r="BT178" s="50"/>
      <c r="BU178" s="53"/>
      <c r="BV178" s="53"/>
      <c r="BW178" s="50"/>
      <c r="BX178" s="50"/>
      <c r="BY178" s="50"/>
      <c r="BZ178" s="50"/>
      <c r="CA178" s="50"/>
    </row>
    <row r="179">
      <c r="A179" s="50"/>
      <c r="B179" s="181"/>
      <c r="C179" s="50"/>
      <c r="D179" s="27"/>
      <c r="E179" s="17"/>
      <c r="F179" s="50"/>
      <c r="G179" s="50"/>
      <c r="H179" s="48"/>
      <c r="I179" s="18"/>
      <c r="J179" s="27"/>
      <c r="K179" s="50"/>
      <c r="L179" s="236"/>
      <c r="M179" s="35"/>
      <c r="N179" s="18"/>
      <c r="O179" s="50"/>
      <c r="P179" s="236"/>
      <c r="Q179" s="48"/>
      <c r="R179" s="18"/>
      <c r="S179" s="48"/>
      <c r="T179" s="18"/>
      <c r="U179" s="50"/>
      <c r="V179" s="18"/>
      <c r="W179" s="50"/>
      <c r="X179" s="18"/>
      <c r="Y179" s="27"/>
      <c r="Z179" s="35"/>
      <c r="AA179" s="50"/>
      <c r="AB179" s="50"/>
      <c r="AC179" s="50"/>
      <c r="AD179" s="50"/>
      <c r="AE179" s="27"/>
      <c r="AF179" s="50"/>
      <c r="AG179" s="18"/>
      <c r="AH179" s="18"/>
      <c r="AI179" s="18"/>
      <c r="AJ179" s="18"/>
      <c r="AK179" s="27"/>
      <c r="AL179" s="50"/>
      <c r="AM179" s="50"/>
      <c r="AN179" s="50"/>
      <c r="AO179" s="50"/>
      <c r="AP179" s="50"/>
      <c r="AQ179" s="50"/>
      <c r="AR179" s="50"/>
      <c r="AS179" s="50"/>
      <c r="AT179" s="50"/>
      <c r="AU179" s="64"/>
      <c r="AV179" s="50"/>
      <c r="AW179" s="50"/>
      <c r="AX179" s="42"/>
      <c r="AY179" s="50"/>
      <c r="AZ179" s="42"/>
      <c r="BA179" s="50"/>
      <c r="BB179" s="50"/>
      <c r="BC179" s="50"/>
      <c r="BD179" s="42"/>
      <c r="BE179" s="42"/>
      <c r="BF179" s="42"/>
      <c r="BG179" s="42"/>
      <c r="BH179" s="42"/>
      <c r="BI179" s="42"/>
      <c r="BJ179" s="158"/>
      <c r="BK179" s="42"/>
      <c r="BL179" s="42"/>
      <c r="BM179" s="50"/>
      <c r="BN179" s="50"/>
      <c r="BO179" s="50"/>
      <c r="BP179" s="50"/>
      <c r="BQ179" s="50"/>
      <c r="BR179" s="50"/>
      <c r="BS179" s="50"/>
      <c r="BT179" s="50"/>
      <c r="BU179" s="53"/>
      <c r="BV179" s="53"/>
      <c r="BW179" s="50"/>
      <c r="BX179" s="50"/>
      <c r="BY179" s="50"/>
      <c r="BZ179" s="50"/>
      <c r="CA179" s="50"/>
    </row>
    <row r="180">
      <c r="A180" s="50"/>
      <c r="B180" s="181"/>
      <c r="C180" s="50"/>
      <c r="D180" s="27"/>
      <c r="E180" s="17"/>
      <c r="F180" s="50"/>
      <c r="G180" s="50"/>
      <c r="H180" s="48"/>
      <c r="I180" s="18"/>
      <c r="J180" s="27"/>
      <c r="K180" s="50"/>
      <c r="L180" s="236"/>
      <c r="M180" s="35"/>
      <c r="N180" s="18"/>
      <c r="O180" s="50"/>
      <c r="P180" s="236"/>
      <c r="Q180" s="48"/>
      <c r="R180" s="18"/>
      <c r="S180" s="48"/>
      <c r="T180" s="18"/>
      <c r="U180" s="50"/>
      <c r="V180" s="18"/>
      <c r="W180" s="50"/>
      <c r="X180" s="18"/>
      <c r="Y180" s="27"/>
      <c r="Z180" s="35"/>
      <c r="AA180" s="50"/>
      <c r="AB180" s="50"/>
      <c r="AC180" s="50"/>
      <c r="AD180" s="50"/>
      <c r="AE180" s="27"/>
      <c r="AF180" s="50"/>
      <c r="AG180" s="18"/>
      <c r="AH180" s="18"/>
      <c r="AI180" s="18"/>
      <c r="AJ180" s="18"/>
      <c r="AK180" s="27"/>
      <c r="AL180" s="50"/>
      <c r="AM180" s="50"/>
      <c r="AN180" s="50"/>
      <c r="AO180" s="50"/>
      <c r="AP180" s="50"/>
      <c r="AQ180" s="50"/>
      <c r="AR180" s="50"/>
      <c r="AS180" s="50"/>
      <c r="AT180" s="50"/>
      <c r="AU180" s="64"/>
      <c r="AV180" s="50"/>
      <c r="AW180" s="50"/>
      <c r="AX180" s="42"/>
      <c r="AY180" s="50"/>
      <c r="AZ180" s="42"/>
      <c r="BA180" s="50"/>
      <c r="BB180" s="50"/>
      <c r="BC180" s="50"/>
      <c r="BD180" s="42"/>
      <c r="BE180" s="42"/>
      <c r="BF180" s="42"/>
      <c r="BG180" s="42"/>
      <c r="BH180" s="42"/>
      <c r="BI180" s="42"/>
      <c r="BJ180" s="158"/>
      <c r="BK180" s="42"/>
      <c r="BL180" s="42"/>
      <c r="BM180" s="50"/>
      <c r="BN180" s="50"/>
      <c r="BO180" s="50"/>
      <c r="BP180" s="50"/>
      <c r="BQ180" s="50"/>
      <c r="BR180" s="50"/>
      <c r="BS180" s="50"/>
      <c r="BT180" s="50"/>
      <c r="BU180" s="53"/>
      <c r="BV180" s="53"/>
      <c r="BW180" s="50"/>
      <c r="BX180" s="50"/>
      <c r="BY180" s="50"/>
      <c r="BZ180" s="50"/>
      <c r="CA180" s="50"/>
    </row>
    <row r="181">
      <c r="A181" s="50"/>
      <c r="B181" s="181"/>
      <c r="C181" s="50"/>
      <c r="D181" s="27"/>
      <c r="E181" s="17"/>
      <c r="F181" s="50"/>
      <c r="G181" s="50"/>
      <c r="H181" s="48"/>
      <c r="I181" s="18"/>
      <c r="J181" s="27"/>
      <c r="K181" s="50"/>
      <c r="L181" s="236"/>
      <c r="M181" s="35"/>
      <c r="N181" s="18"/>
      <c r="O181" s="50"/>
      <c r="P181" s="236"/>
      <c r="Q181" s="48"/>
      <c r="R181" s="18"/>
      <c r="S181" s="48"/>
      <c r="T181" s="18"/>
      <c r="U181" s="50"/>
      <c r="V181" s="18"/>
      <c r="W181" s="50"/>
      <c r="X181" s="18"/>
      <c r="Y181" s="27"/>
      <c r="Z181" s="35"/>
      <c r="AA181" s="50"/>
      <c r="AB181" s="50"/>
      <c r="AC181" s="50"/>
      <c r="AD181" s="50"/>
      <c r="AE181" s="27"/>
      <c r="AF181" s="50"/>
      <c r="AG181" s="18"/>
      <c r="AH181" s="18"/>
      <c r="AI181" s="18"/>
      <c r="AJ181" s="18"/>
      <c r="AK181" s="27"/>
      <c r="AL181" s="50"/>
      <c r="AM181" s="50"/>
      <c r="AN181" s="50"/>
      <c r="AO181" s="50"/>
      <c r="AP181" s="50"/>
      <c r="AQ181" s="50"/>
      <c r="AR181" s="50"/>
      <c r="AS181" s="50"/>
      <c r="AT181" s="50"/>
      <c r="AU181" s="64"/>
      <c r="AV181" s="50"/>
      <c r="AW181" s="50"/>
      <c r="AX181" s="42"/>
      <c r="AY181" s="50"/>
      <c r="AZ181" s="42"/>
      <c r="BA181" s="50"/>
      <c r="BB181" s="50"/>
      <c r="BC181" s="50"/>
      <c r="BD181" s="42"/>
      <c r="BE181" s="42"/>
      <c r="BF181" s="42"/>
      <c r="BG181" s="42"/>
      <c r="BH181" s="42"/>
      <c r="BI181" s="42"/>
      <c r="BJ181" s="158"/>
      <c r="BK181" s="42"/>
      <c r="BL181" s="42"/>
      <c r="BM181" s="50"/>
      <c r="BN181" s="50"/>
      <c r="BO181" s="50"/>
      <c r="BP181" s="50"/>
      <c r="BQ181" s="50"/>
      <c r="BR181" s="50"/>
      <c r="BS181" s="50"/>
      <c r="BT181" s="50"/>
      <c r="BU181" s="53"/>
      <c r="BV181" s="53"/>
      <c r="BW181" s="50"/>
      <c r="BX181" s="50"/>
      <c r="BY181" s="50"/>
      <c r="BZ181" s="50"/>
      <c r="CA181" s="50"/>
    </row>
    <row r="182">
      <c r="A182" s="50"/>
      <c r="B182" s="181"/>
      <c r="C182" s="50"/>
      <c r="D182" s="27"/>
      <c r="E182" s="17"/>
      <c r="F182" s="50"/>
      <c r="G182" s="50"/>
      <c r="H182" s="48"/>
      <c r="I182" s="18"/>
      <c r="J182" s="27"/>
      <c r="K182" s="50"/>
      <c r="L182" s="236"/>
      <c r="M182" s="35"/>
      <c r="N182" s="18"/>
      <c r="O182" s="50"/>
      <c r="P182" s="236"/>
      <c r="Q182" s="48"/>
      <c r="R182" s="18"/>
      <c r="S182" s="48"/>
      <c r="T182" s="18"/>
      <c r="U182" s="50"/>
      <c r="V182" s="18"/>
      <c r="W182" s="50"/>
      <c r="X182" s="18"/>
      <c r="Y182" s="27"/>
      <c r="Z182" s="35"/>
      <c r="AA182" s="50"/>
      <c r="AB182" s="50"/>
      <c r="AC182" s="50"/>
      <c r="AD182" s="50"/>
      <c r="AE182" s="27"/>
      <c r="AF182" s="50"/>
      <c r="AG182" s="18"/>
      <c r="AH182" s="18"/>
      <c r="AI182" s="18"/>
      <c r="AJ182" s="18"/>
      <c r="AK182" s="27"/>
      <c r="AL182" s="50"/>
      <c r="AM182" s="50"/>
      <c r="AN182" s="50"/>
      <c r="AO182" s="50"/>
      <c r="AP182" s="50"/>
      <c r="AQ182" s="50"/>
      <c r="AR182" s="50"/>
      <c r="AS182" s="50"/>
      <c r="AT182" s="50"/>
      <c r="AU182" s="64"/>
      <c r="AV182" s="50"/>
      <c r="AW182" s="50"/>
      <c r="AX182" s="42"/>
      <c r="AY182" s="50"/>
      <c r="AZ182" s="42"/>
      <c r="BA182" s="50"/>
      <c r="BB182" s="50"/>
      <c r="BC182" s="50"/>
      <c r="BD182" s="42"/>
      <c r="BE182" s="42"/>
      <c r="BF182" s="42"/>
      <c r="BG182" s="42"/>
      <c r="BH182" s="42"/>
      <c r="BI182" s="42"/>
      <c r="BJ182" s="158"/>
      <c r="BK182" s="42"/>
      <c r="BL182" s="42"/>
      <c r="BM182" s="50"/>
      <c r="BN182" s="50"/>
      <c r="BO182" s="50"/>
      <c r="BP182" s="50"/>
      <c r="BQ182" s="50"/>
      <c r="BR182" s="50"/>
      <c r="BS182" s="50"/>
      <c r="BT182" s="50"/>
      <c r="BU182" s="53"/>
      <c r="BV182" s="53"/>
      <c r="BW182" s="50"/>
      <c r="BX182" s="50"/>
      <c r="BY182" s="50"/>
      <c r="BZ182" s="50"/>
      <c r="CA182" s="50"/>
    </row>
    <row r="183">
      <c r="A183" s="50"/>
      <c r="B183" s="181"/>
      <c r="C183" s="50"/>
      <c r="D183" s="27"/>
      <c r="E183" s="17"/>
      <c r="F183" s="50"/>
      <c r="G183" s="50"/>
      <c r="H183" s="48"/>
      <c r="I183" s="18"/>
      <c r="J183" s="27"/>
      <c r="K183" s="50"/>
      <c r="L183" s="236"/>
      <c r="M183" s="35"/>
      <c r="N183" s="18"/>
      <c r="O183" s="50"/>
      <c r="P183" s="236"/>
      <c r="Q183" s="48"/>
      <c r="R183" s="18"/>
      <c r="S183" s="48"/>
      <c r="T183" s="18"/>
      <c r="U183" s="50"/>
      <c r="V183" s="18"/>
      <c r="W183" s="50"/>
      <c r="X183" s="18"/>
      <c r="Y183" s="27"/>
      <c r="Z183" s="35"/>
      <c r="AA183" s="50"/>
      <c r="AB183" s="50"/>
      <c r="AC183" s="50"/>
      <c r="AD183" s="50"/>
      <c r="AE183" s="27"/>
      <c r="AF183" s="50"/>
      <c r="AG183" s="18"/>
      <c r="AH183" s="18"/>
      <c r="AI183" s="18"/>
      <c r="AJ183" s="18"/>
      <c r="AK183" s="27"/>
      <c r="AL183" s="50"/>
      <c r="AM183" s="50"/>
      <c r="AN183" s="50"/>
      <c r="AO183" s="50"/>
      <c r="AP183" s="50"/>
      <c r="AQ183" s="50"/>
      <c r="AR183" s="50"/>
      <c r="AS183" s="50"/>
      <c r="AT183" s="50"/>
      <c r="AU183" s="64"/>
      <c r="AV183" s="50"/>
      <c r="AW183" s="50"/>
      <c r="AX183" s="42"/>
      <c r="AY183" s="50"/>
      <c r="AZ183" s="42"/>
      <c r="BA183" s="50"/>
      <c r="BB183" s="50"/>
      <c r="BC183" s="50"/>
      <c r="BD183" s="42"/>
      <c r="BE183" s="42"/>
      <c r="BF183" s="42"/>
      <c r="BG183" s="42"/>
      <c r="BH183" s="42"/>
      <c r="BI183" s="42"/>
      <c r="BJ183" s="158"/>
      <c r="BK183" s="42"/>
      <c r="BL183" s="42"/>
      <c r="BM183" s="50"/>
      <c r="BN183" s="50"/>
      <c r="BO183" s="50"/>
      <c r="BP183" s="50"/>
      <c r="BQ183" s="50"/>
      <c r="BR183" s="50"/>
      <c r="BS183" s="50"/>
      <c r="BT183" s="50"/>
      <c r="BU183" s="53"/>
      <c r="BV183" s="53"/>
      <c r="BW183" s="50"/>
      <c r="BX183" s="50"/>
      <c r="BY183" s="50"/>
      <c r="BZ183" s="50"/>
      <c r="CA183" s="50"/>
    </row>
    <row r="184">
      <c r="A184" s="50"/>
      <c r="B184" s="181"/>
      <c r="C184" s="50"/>
      <c r="D184" s="27"/>
      <c r="E184" s="17"/>
      <c r="F184" s="50"/>
      <c r="G184" s="50"/>
      <c r="H184" s="48"/>
      <c r="I184" s="18"/>
      <c r="J184" s="27"/>
      <c r="K184" s="50"/>
      <c r="L184" s="236"/>
      <c r="M184" s="35"/>
      <c r="N184" s="18"/>
      <c r="O184" s="50"/>
      <c r="P184" s="236"/>
      <c r="Q184" s="48"/>
      <c r="R184" s="18"/>
      <c r="S184" s="48"/>
      <c r="T184" s="18"/>
      <c r="U184" s="50"/>
      <c r="V184" s="18"/>
      <c r="W184" s="50"/>
      <c r="X184" s="18"/>
      <c r="Y184" s="27"/>
      <c r="Z184" s="35"/>
      <c r="AA184" s="50"/>
      <c r="AB184" s="50"/>
      <c r="AC184" s="50"/>
      <c r="AD184" s="50"/>
      <c r="AE184" s="27"/>
      <c r="AF184" s="50"/>
      <c r="AG184" s="18"/>
      <c r="AH184" s="18"/>
      <c r="AI184" s="18"/>
      <c r="AJ184" s="18"/>
      <c r="AK184" s="27"/>
      <c r="AL184" s="50"/>
      <c r="AM184" s="50"/>
      <c r="AN184" s="50"/>
      <c r="AO184" s="50"/>
      <c r="AP184" s="50"/>
      <c r="AQ184" s="50"/>
      <c r="AR184" s="50"/>
      <c r="AS184" s="50"/>
      <c r="AT184" s="50"/>
      <c r="AU184" s="64"/>
      <c r="AV184" s="50"/>
      <c r="AW184" s="50"/>
      <c r="AX184" s="42"/>
      <c r="AY184" s="50"/>
      <c r="AZ184" s="42"/>
      <c r="BA184" s="50"/>
      <c r="BB184" s="50"/>
      <c r="BC184" s="50"/>
      <c r="BD184" s="42"/>
      <c r="BE184" s="42"/>
      <c r="BF184" s="42"/>
      <c r="BG184" s="42"/>
      <c r="BH184" s="42"/>
      <c r="BI184" s="42"/>
      <c r="BJ184" s="158"/>
      <c r="BK184" s="42"/>
      <c r="BL184" s="42"/>
      <c r="BM184" s="50"/>
      <c r="BN184" s="50"/>
      <c r="BO184" s="50"/>
      <c r="BP184" s="50"/>
      <c r="BQ184" s="50"/>
      <c r="BR184" s="50"/>
      <c r="BS184" s="50"/>
      <c r="BT184" s="50"/>
      <c r="BU184" s="53"/>
      <c r="BV184" s="53"/>
      <c r="BW184" s="50"/>
      <c r="BX184" s="50"/>
      <c r="BY184" s="50"/>
      <c r="BZ184" s="50"/>
      <c r="CA184" s="50"/>
    </row>
    <row r="185">
      <c r="A185" s="27"/>
      <c r="B185" s="181"/>
      <c r="C185" s="27"/>
      <c r="D185" s="27"/>
      <c r="E185" s="243"/>
      <c r="F185" s="27"/>
      <c r="G185" s="27"/>
      <c r="H185" s="244"/>
      <c r="I185" s="43"/>
      <c r="J185" s="27"/>
      <c r="K185" s="27"/>
      <c r="L185" s="245"/>
      <c r="M185" s="246"/>
      <c r="N185" s="43"/>
      <c r="O185" s="27"/>
      <c r="P185" s="245"/>
      <c r="Q185" s="244"/>
      <c r="R185" s="43"/>
      <c r="S185" s="244"/>
      <c r="T185" s="43"/>
      <c r="U185" s="27"/>
      <c r="V185" s="43"/>
      <c r="W185" s="27"/>
      <c r="X185" s="43"/>
      <c r="Y185" s="27"/>
      <c r="Z185" s="246"/>
      <c r="AA185" s="27"/>
      <c r="AB185" s="27"/>
      <c r="AC185" s="27"/>
      <c r="AD185" s="27"/>
      <c r="AE185" s="27"/>
      <c r="AF185" s="27"/>
      <c r="AG185" s="43"/>
      <c r="AH185" s="43"/>
      <c r="AI185" s="43"/>
      <c r="AJ185" s="43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181"/>
      <c r="AV185" s="27"/>
      <c r="AW185" s="27"/>
      <c r="AX185" s="158"/>
      <c r="AY185" s="27"/>
      <c r="AZ185" s="158"/>
      <c r="BA185" s="27"/>
      <c r="BB185" s="27"/>
      <c r="BC185" s="27"/>
      <c r="BD185" s="158"/>
      <c r="BE185" s="158"/>
      <c r="BF185" s="158"/>
      <c r="BG185" s="158"/>
      <c r="BH185" s="158"/>
      <c r="BI185" s="158"/>
      <c r="BJ185" s="158"/>
      <c r="BK185" s="158"/>
      <c r="BL185" s="158"/>
      <c r="BM185" s="27"/>
      <c r="BN185" s="27"/>
      <c r="BO185" s="27"/>
      <c r="BP185" s="27"/>
      <c r="BQ185" s="27"/>
      <c r="BR185" s="27"/>
      <c r="BS185" s="27"/>
      <c r="BT185" s="27"/>
      <c r="BU185" s="247"/>
      <c r="BV185" s="247"/>
      <c r="BW185" s="27"/>
      <c r="BX185" s="27"/>
      <c r="BY185" s="27"/>
      <c r="BZ185" s="27"/>
      <c r="CA185" s="27"/>
    </row>
    <row r="186">
      <c r="A186" s="50"/>
      <c r="B186" s="181"/>
      <c r="C186" s="50"/>
      <c r="D186" s="27"/>
      <c r="E186" s="17"/>
      <c r="F186" s="50"/>
      <c r="G186" s="50"/>
      <c r="H186" s="48"/>
      <c r="I186" s="18"/>
      <c r="J186" s="27"/>
      <c r="K186" s="50"/>
      <c r="L186" s="236"/>
      <c r="M186" s="35"/>
      <c r="N186" s="18"/>
      <c r="O186" s="50"/>
      <c r="P186" s="236"/>
      <c r="Q186" s="48"/>
      <c r="R186" s="18"/>
      <c r="S186" s="48"/>
      <c r="T186" s="18"/>
      <c r="U186" s="50"/>
      <c r="V186" s="18"/>
      <c r="W186" s="50"/>
      <c r="X186" s="18"/>
      <c r="Y186" s="27"/>
      <c r="Z186" s="35"/>
      <c r="AA186" s="50"/>
      <c r="AB186" s="50"/>
      <c r="AC186" s="50"/>
      <c r="AD186" s="50"/>
      <c r="AE186" s="27"/>
      <c r="AF186" s="50"/>
      <c r="AG186" s="18"/>
      <c r="AH186" s="18"/>
      <c r="AI186" s="18"/>
      <c r="AJ186" s="18"/>
      <c r="AK186" s="27"/>
      <c r="AL186" s="50"/>
      <c r="AM186" s="50"/>
      <c r="AN186" s="50"/>
      <c r="AO186" s="50"/>
      <c r="AP186" s="50"/>
      <c r="AQ186" s="50"/>
      <c r="AR186" s="50"/>
      <c r="AS186" s="50"/>
      <c r="AT186" s="50"/>
      <c r="AU186" s="64"/>
      <c r="AV186" s="50"/>
      <c r="AW186" s="50"/>
      <c r="AX186" s="42"/>
      <c r="AY186" s="50"/>
      <c r="AZ186" s="42"/>
      <c r="BA186" s="50"/>
      <c r="BB186" s="50"/>
      <c r="BC186" s="50"/>
      <c r="BD186" s="42"/>
      <c r="BE186" s="42"/>
      <c r="BF186" s="42"/>
      <c r="BG186" s="42"/>
      <c r="BH186" s="42"/>
      <c r="BI186" s="42"/>
      <c r="BJ186" s="158"/>
      <c r="BK186" s="42"/>
      <c r="BL186" s="42"/>
      <c r="BM186" s="50"/>
      <c r="BN186" s="50"/>
      <c r="BO186" s="50"/>
      <c r="BP186" s="50"/>
      <c r="BQ186" s="50"/>
      <c r="BR186" s="50"/>
      <c r="BS186" s="50"/>
      <c r="BT186" s="50"/>
      <c r="BU186" s="53"/>
      <c r="BV186" s="53"/>
      <c r="BW186" s="50"/>
      <c r="BX186" s="50"/>
      <c r="BY186" s="50"/>
      <c r="BZ186" s="50"/>
      <c r="CA186" s="50"/>
    </row>
    <row r="187">
      <c r="A187" s="50"/>
      <c r="B187" s="181"/>
      <c r="C187" s="50"/>
      <c r="D187" s="27"/>
      <c r="E187" s="17"/>
      <c r="F187" s="50"/>
      <c r="G187" s="50"/>
      <c r="H187" s="48"/>
      <c r="I187" s="18"/>
      <c r="J187" s="27"/>
      <c r="K187" s="50"/>
      <c r="L187" s="236"/>
      <c r="M187" s="35"/>
      <c r="N187" s="18"/>
      <c r="O187" s="50"/>
      <c r="P187" s="236"/>
      <c r="Q187" s="48"/>
      <c r="R187" s="18"/>
      <c r="S187" s="48"/>
      <c r="T187" s="18"/>
      <c r="U187" s="50"/>
      <c r="V187" s="18"/>
      <c r="W187" s="50"/>
      <c r="X187" s="18"/>
      <c r="Y187" s="27"/>
      <c r="Z187" s="35"/>
      <c r="AA187" s="50"/>
      <c r="AB187" s="50"/>
      <c r="AC187" s="50"/>
      <c r="AD187" s="50"/>
      <c r="AE187" s="27"/>
      <c r="AF187" s="50"/>
      <c r="AG187" s="18"/>
      <c r="AH187" s="18"/>
      <c r="AI187" s="18"/>
      <c r="AJ187" s="18"/>
      <c r="AK187" s="27"/>
      <c r="AL187" s="50"/>
      <c r="AM187" s="50"/>
      <c r="AN187" s="50"/>
      <c r="AO187" s="50"/>
      <c r="AP187" s="50"/>
      <c r="AQ187" s="50"/>
      <c r="AR187" s="50"/>
      <c r="AS187" s="50"/>
      <c r="AT187" s="50"/>
      <c r="AU187" s="64"/>
      <c r="AV187" s="50"/>
      <c r="AW187" s="50"/>
      <c r="AX187" s="42"/>
      <c r="AY187" s="50"/>
      <c r="AZ187" s="42"/>
      <c r="BA187" s="50"/>
      <c r="BB187" s="50"/>
      <c r="BC187" s="50"/>
      <c r="BD187" s="42"/>
      <c r="BE187" s="42"/>
      <c r="BF187" s="42"/>
      <c r="BG187" s="42"/>
      <c r="BH187" s="42"/>
      <c r="BI187" s="42"/>
      <c r="BJ187" s="158"/>
      <c r="BK187" s="42"/>
      <c r="BL187" s="42"/>
      <c r="BM187" s="50"/>
      <c r="BN187" s="50"/>
      <c r="BO187" s="50"/>
      <c r="BP187" s="50"/>
      <c r="BQ187" s="50"/>
      <c r="BR187" s="50"/>
      <c r="BS187" s="50"/>
      <c r="BT187" s="50"/>
      <c r="BU187" s="53"/>
      <c r="BV187" s="53"/>
      <c r="BW187" s="50"/>
      <c r="BX187" s="50"/>
      <c r="BY187" s="50"/>
      <c r="BZ187" s="50"/>
      <c r="CA187" s="50"/>
    </row>
    <row r="188">
      <c r="A188" s="50"/>
      <c r="B188" s="181"/>
      <c r="C188" s="50"/>
      <c r="D188" s="27"/>
      <c r="E188" s="17"/>
      <c r="F188" s="50"/>
      <c r="G188" s="50"/>
      <c r="H188" s="48"/>
      <c r="I188" s="18"/>
      <c r="J188" s="27"/>
      <c r="K188" s="50"/>
      <c r="L188" s="236"/>
      <c r="M188" s="35"/>
      <c r="N188" s="18"/>
      <c r="O188" s="50"/>
      <c r="P188" s="236"/>
      <c r="Q188" s="48"/>
      <c r="R188" s="18"/>
      <c r="S188" s="48"/>
      <c r="T188" s="18"/>
      <c r="U188" s="50"/>
      <c r="V188" s="18"/>
      <c r="W188" s="50"/>
      <c r="X188" s="18"/>
      <c r="Y188" s="27"/>
      <c r="Z188" s="35"/>
      <c r="AA188" s="50"/>
      <c r="AB188" s="50"/>
      <c r="AC188" s="50"/>
      <c r="AD188" s="50"/>
      <c r="AE188" s="27"/>
      <c r="AF188" s="50"/>
      <c r="AG188" s="18"/>
      <c r="AH188" s="18"/>
      <c r="AI188" s="18"/>
      <c r="AJ188" s="18"/>
      <c r="AK188" s="27"/>
      <c r="AL188" s="50"/>
      <c r="AM188" s="50"/>
      <c r="AN188" s="50"/>
      <c r="AO188" s="50"/>
      <c r="AP188" s="50"/>
      <c r="AQ188" s="50"/>
      <c r="AR188" s="50"/>
      <c r="AS188" s="50"/>
      <c r="AT188" s="50"/>
      <c r="AU188" s="64"/>
      <c r="AV188" s="50"/>
      <c r="AW188" s="50"/>
      <c r="AX188" s="42"/>
      <c r="AY188" s="50"/>
      <c r="AZ188" s="42"/>
      <c r="BA188" s="50"/>
      <c r="BB188" s="50"/>
      <c r="BC188" s="50"/>
      <c r="BD188" s="42"/>
      <c r="BE188" s="42"/>
      <c r="BF188" s="42"/>
      <c r="BG188" s="42"/>
      <c r="BH188" s="42"/>
      <c r="BI188" s="42"/>
      <c r="BJ188" s="158"/>
      <c r="BK188" s="42"/>
      <c r="BL188" s="42"/>
      <c r="BM188" s="50"/>
      <c r="BN188" s="50"/>
      <c r="BO188" s="50"/>
      <c r="BP188" s="50"/>
      <c r="BQ188" s="50"/>
      <c r="BR188" s="50"/>
      <c r="BS188" s="50"/>
      <c r="BT188" s="50"/>
      <c r="BU188" s="53"/>
      <c r="BV188" s="53"/>
      <c r="BW188" s="50"/>
      <c r="BX188" s="50"/>
      <c r="BY188" s="50"/>
      <c r="BZ188" s="50"/>
      <c r="CA188" s="50"/>
    </row>
    <row r="189">
      <c r="A189" s="50"/>
      <c r="B189" s="181"/>
      <c r="C189" s="50"/>
      <c r="D189" s="27"/>
      <c r="E189" s="17"/>
      <c r="F189" s="50"/>
      <c r="G189" s="50"/>
      <c r="H189" s="48"/>
      <c r="I189" s="18"/>
      <c r="J189" s="27"/>
      <c r="K189" s="50"/>
      <c r="L189" s="236"/>
      <c r="M189" s="35"/>
      <c r="N189" s="18"/>
      <c r="O189" s="50"/>
      <c r="P189" s="236"/>
      <c r="Q189" s="48"/>
      <c r="R189" s="18"/>
      <c r="S189" s="48"/>
      <c r="T189" s="18"/>
      <c r="U189" s="50"/>
      <c r="V189" s="18"/>
      <c r="W189" s="50"/>
      <c r="X189" s="18"/>
      <c r="Y189" s="27"/>
      <c r="Z189" s="35"/>
      <c r="AA189" s="50"/>
      <c r="AB189" s="50"/>
      <c r="AC189" s="50"/>
      <c r="AD189" s="50"/>
      <c r="AE189" s="27"/>
      <c r="AF189" s="50"/>
      <c r="AG189" s="18"/>
      <c r="AH189" s="18"/>
      <c r="AI189" s="18"/>
      <c r="AJ189" s="18"/>
      <c r="AK189" s="27"/>
      <c r="AL189" s="50"/>
      <c r="AM189" s="50"/>
      <c r="AN189" s="50"/>
      <c r="AO189" s="50"/>
      <c r="AP189" s="50"/>
      <c r="AQ189" s="50"/>
      <c r="AR189" s="50"/>
      <c r="AS189" s="50"/>
      <c r="AT189" s="50"/>
      <c r="AU189" s="64"/>
      <c r="AV189" s="50"/>
      <c r="AW189" s="50"/>
      <c r="AX189" s="42"/>
      <c r="AY189" s="50"/>
      <c r="AZ189" s="42"/>
      <c r="BA189" s="50"/>
      <c r="BB189" s="50"/>
      <c r="BC189" s="50"/>
      <c r="BD189" s="42"/>
      <c r="BE189" s="42"/>
      <c r="BF189" s="42"/>
      <c r="BG189" s="42"/>
      <c r="BH189" s="42"/>
      <c r="BI189" s="42"/>
      <c r="BJ189" s="158"/>
      <c r="BK189" s="42"/>
      <c r="BL189" s="42"/>
      <c r="BM189" s="50"/>
      <c r="BN189" s="50"/>
      <c r="BO189" s="50"/>
      <c r="BP189" s="50"/>
      <c r="BQ189" s="50"/>
      <c r="BR189" s="50"/>
      <c r="BS189" s="50"/>
      <c r="BT189" s="50"/>
      <c r="BU189" s="53"/>
      <c r="BV189" s="53"/>
      <c r="BW189" s="50"/>
      <c r="BX189" s="50"/>
      <c r="BY189" s="50"/>
      <c r="BZ189" s="50"/>
      <c r="CA189" s="50"/>
    </row>
    <row r="190">
      <c r="A190" s="50"/>
      <c r="B190" s="181"/>
      <c r="C190" s="50"/>
      <c r="D190" s="27"/>
      <c r="E190" s="17"/>
      <c r="F190" s="50"/>
      <c r="G190" s="50"/>
      <c r="H190" s="48"/>
      <c r="I190" s="18"/>
      <c r="J190" s="27"/>
      <c r="K190" s="50"/>
      <c r="L190" s="236"/>
      <c r="M190" s="35"/>
      <c r="N190" s="18"/>
      <c r="O190" s="50"/>
      <c r="P190" s="236"/>
      <c r="Q190" s="48"/>
      <c r="R190" s="18"/>
      <c r="S190" s="48"/>
      <c r="T190" s="18"/>
      <c r="U190" s="50"/>
      <c r="V190" s="18"/>
      <c r="W190" s="50"/>
      <c r="X190" s="18"/>
      <c r="Y190" s="27"/>
      <c r="Z190" s="35"/>
      <c r="AA190" s="50"/>
      <c r="AB190" s="50"/>
      <c r="AC190" s="50"/>
      <c r="AD190" s="50"/>
      <c r="AE190" s="27"/>
      <c r="AF190" s="50"/>
      <c r="AG190" s="18"/>
      <c r="AH190" s="18"/>
      <c r="AI190" s="18"/>
      <c r="AJ190" s="18"/>
      <c r="AK190" s="27"/>
      <c r="AL190" s="50"/>
      <c r="AM190" s="50"/>
      <c r="AN190" s="50"/>
      <c r="AO190" s="50"/>
      <c r="AP190" s="50"/>
      <c r="AQ190" s="50"/>
      <c r="AR190" s="50"/>
      <c r="AS190" s="50"/>
      <c r="AT190" s="50"/>
      <c r="AU190" s="64"/>
      <c r="AV190" s="50"/>
      <c r="AW190" s="50"/>
      <c r="AX190" s="42"/>
      <c r="AY190" s="50"/>
      <c r="AZ190" s="42"/>
      <c r="BA190" s="50"/>
      <c r="BB190" s="50"/>
      <c r="BC190" s="50"/>
      <c r="BD190" s="42"/>
      <c r="BE190" s="42"/>
      <c r="BF190" s="42"/>
      <c r="BG190" s="42"/>
      <c r="BH190" s="42"/>
      <c r="BI190" s="42"/>
      <c r="BJ190" s="158"/>
      <c r="BK190" s="42"/>
      <c r="BL190" s="42"/>
      <c r="BM190" s="50"/>
      <c r="BN190" s="50"/>
      <c r="BO190" s="50"/>
      <c r="BP190" s="50"/>
      <c r="BQ190" s="50"/>
      <c r="BR190" s="50"/>
      <c r="BS190" s="50"/>
      <c r="BT190" s="50"/>
      <c r="BU190" s="53"/>
      <c r="BV190" s="53"/>
      <c r="BW190" s="50"/>
      <c r="BX190" s="50"/>
      <c r="BY190" s="50"/>
      <c r="BZ190" s="50"/>
      <c r="CA190" s="50"/>
    </row>
    <row r="191">
      <c r="A191" s="64"/>
      <c r="B191" s="181"/>
      <c r="C191" s="64"/>
      <c r="D191" s="181"/>
      <c r="E191" s="248"/>
      <c r="F191" s="64"/>
      <c r="G191" s="64"/>
      <c r="H191" s="249"/>
      <c r="I191" s="250"/>
      <c r="J191" s="181"/>
      <c r="K191" s="64"/>
      <c r="L191" s="251"/>
      <c r="M191" s="64"/>
      <c r="N191" s="250"/>
      <c r="O191" s="64"/>
      <c r="P191" s="251"/>
      <c r="Q191" s="48"/>
      <c r="R191" s="18"/>
      <c r="S191" s="48"/>
      <c r="T191" s="18"/>
      <c r="U191" s="64"/>
      <c r="V191" s="250"/>
      <c r="W191" s="64"/>
      <c r="X191" s="250"/>
      <c r="Y191" s="181"/>
      <c r="Z191" s="64"/>
      <c r="AA191" s="64"/>
      <c r="AB191" s="64"/>
      <c r="AC191" s="64"/>
      <c r="AD191" s="64"/>
      <c r="AE191" s="181"/>
      <c r="AF191" s="64"/>
      <c r="AG191" s="250"/>
      <c r="AH191" s="250"/>
      <c r="AI191" s="250"/>
      <c r="AJ191" s="250"/>
      <c r="AK191" s="181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181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252"/>
      <c r="BV191" s="252"/>
      <c r="BW191" s="64"/>
      <c r="BX191" s="64"/>
      <c r="BY191" s="64"/>
      <c r="BZ191" s="64"/>
      <c r="CA191" s="64"/>
    </row>
    <row r="192">
      <c r="A192" s="64"/>
      <c r="B192" s="181"/>
      <c r="C192" s="64"/>
      <c r="D192" s="181"/>
      <c r="E192" s="248"/>
      <c r="F192" s="64"/>
      <c r="G192" s="64"/>
      <c r="H192" s="249"/>
      <c r="I192" s="250"/>
      <c r="J192" s="181"/>
      <c r="K192" s="64"/>
      <c r="L192" s="251"/>
      <c r="M192" s="64"/>
      <c r="N192" s="250"/>
      <c r="O192" s="64"/>
      <c r="P192" s="251"/>
      <c r="Q192" s="48"/>
      <c r="R192" s="18"/>
      <c r="S192" s="48"/>
      <c r="T192" s="18"/>
      <c r="U192" s="64"/>
      <c r="V192" s="250"/>
      <c r="W192" s="64"/>
      <c r="X192" s="250"/>
      <c r="Y192" s="181"/>
      <c r="Z192" s="64"/>
      <c r="AA192" s="64"/>
      <c r="AB192" s="64"/>
      <c r="AC192" s="64"/>
      <c r="AD192" s="64"/>
      <c r="AE192" s="181"/>
      <c r="AF192" s="64"/>
      <c r="AG192" s="250"/>
      <c r="AH192" s="250"/>
      <c r="AI192" s="250"/>
      <c r="AJ192" s="250"/>
      <c r="AK192" s="181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181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252"/>
      <c r="BV192" s="252"/>
      <c r="BW192" s="64"/>
      <c r="BX192" s="64"/>
      <c r="BY192" s="64"/>
      <c r="BZ192" s="64"/>
      <c r="CA192" s="64"/>
    </row>
    <row r="193">
      <c r="A193" s="64"/>
      <c r="B193" s="181"/>
      <c r="C193" s="64"/>
      <c r="D193" s="181"/>
      <c r="E193" s="248"/>
      <c r="F193" s="64"/>
      <c r="G193" s="64"/>
      <c r="H193" s="249"/>
      <c r="I193" s="250"/>
      <c r="J193" s="181"/>
      <c r="K193" s="64"/>
      <c r="L193" s="251"/>
      <c r="M193" s="64"/>
      <c r="N193" s="250"/>
      <c r="O193" s="64"/>
      <c r="P193" s="251"/>
      <c r="Q193" s="48"/>
      <c r="R193" s="18"/>
      <c r="S193" s="48"/>
      <c r="T193" s="18"/>
      <c r="U193" s="64"/>
      <c r="V193" s="250"/>
      <c r="W193" s="64"/>
      <c r="X193" s="250"/>
      <c r="Y193" s="181"/>
      <c r="Z193" s="64"/>
      <c r="AA193" s="64"/>
      <c r="AB193" s="64"/>
      <c r="AC193" s="64"/>
      <c r="AD193" s="64"/>
      <c r="AE193" s="181"/>
      <c r="AF193" s="64"/>
      <c r="AG193" s="250"/>
      <c r="AH193" s="250"/>
      <c r="AI193" s="250"/>
      <c r="AJ193" s="250"/>
      <c r="AK193" s="181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181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252"/>
      <c r="BV193" s="252"/>
      <c r="BW193" s="64"/>
      <c r="BX193" s="64"/>
      <c r="BY193" s="64"/>
      <c r="BZ193" s="64"/>
      <c r="CA193" s="64"/>
    </row>
    <row r="194">
      <c r="A194" s="64"/>
      <c r="B194" s="181"/>
      <c r="C194" s="64"/>
      <c r="D194" s="181"/>
      <c r="E194" s="248"/>
      <c r="F194" s="64"/>
      <c r="G194" s="64"/>
      <c r="H194" s="249"/>
      <c r="I194" s="250"/>
      <c r="J194" s="181"/>
      <c r="K194" s="64"/>
      <c r="L194" s="251"/>
      <c r="M194" s="64"/>
      <c r="N194" s="250"/>
      <c r="O194" s="64"/>
      <c r="P194" s="251"/>
      <c r="Q194" s="48"/>
      <c r="R194" s="18"/>
      <c r="S194" s="48"/>
      <c r="T194" s="18"/>
      <c r="U194" s="64"/>
      <c r="V194" s="250"/>
      <c r="W194" s="64"/>
      <c r="X194" s="250"/>
      <c r="Y194" s="181"/>
      <c r="Z194" s="64"/>
      <c r="AA194" s="64"/>
      <c r="AB194" s="64"/>
      <c r="AC194" s="64"/>
      <c r="AD194" s="64"/>
      <c r="AE194" s="181"/>
      <c r="AF194" s="64"/>
      <c r="AG194" s="250"/>
      <c r="AH194" s="250"/>
      <c r="AI194" s="250"/>
      <c r="AJ194" s="250"/>
      <c r="AK194" s="181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181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252"/>
      <c r="BV194" s="252"/>
      <c r="BW194" s="64"/>
      <c r="BX194" s="64"/>
      <c r="BY194" s="64"/>
      <c r="BZ194" s="64"/>
      <c r="CA194" s="64"/>
    </row>
    <row r="195">
      <c r="A195" s="64"/>
      <c r="B195" s="181"/>
      <c r="C195" s="64"/>
      <c r="D195" s="181"/>
      <c r="E195" s="248"/>
      <c r="F195" s="64"/>
      <c r="G195" s="64"/>
      <c r="H195" s="249"/>
      <c r="I195" s="250"/>
      <c r="J195" s="181"/>
      <c r="K195" s="64"/>
      <c r="L195" s="251"/>
      <c r="M195" s="64"/>
      <c r="N195" s="250"/>
      <c r="O195" s="64"/>
      <c r="P195" s="251"/>
      <c r="Q195" s="48"/>
      <c r="R195" s="18"/>
      <c r="S195" s="48"/>
      <c r="T195" s="18"/>
      <c r="U195" s="64"/>
      <c r="V195" s="250"/>
      <c r="W195" s="64"/>
      <c r="X195" s="250"/>
      <c r="Y195" s="181"/>
      <c r="Z195" s="64"/>
      <c r="AA195" s="64"/>
      <c r="AB195" s="64"/>
      <c r="AC195" s="64"/>
      <c r="AD195" s="64"/>
      <c r="AE195" s="181"/>
      <c r="AF195" s="64"/>
      <c r="AG195" s="250"/>
      <c r="AH195" s="250"/>
      <c r="AI195" s="250"/>
      <c r="AJ195" s="250"/>
      <c r="AK195" s="181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181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252"/>
      <c r="BV195" s="252"/>
      <c r="BW195" s="64"/>
      <c r="BX195" s="64"/>
      <c r="BY195" s="64"/>
      <c r="BZ195" s="64"/>
      <c r="CA195" s="64"/>
    </row>
    <row r="196">
      <c r="A196" s="64"/>
      <c r="B196" s="181"/>
      <c r="C196" s="64"/>
      <c r="D196" s="181"/>
      <c r="E196" s="248"/>
      <c r="F196" s="64"/>
      <c r="G196" s="64"/>
      <c r="H196" s="249"/>
      <c r="I196" s="250"/>
      <c r="J196" s="181"/>
      <c r="K196" s="64"/>
      <c r="L196" s="251"/>
      <c r="M196" s="64"/>
      <c r="N196" s="250"/>
      <c r="O196" s="64"/>
      <c r="P196" s="251"/>
      <c r="Q196" s="48"/>
      <c r="R196" s="18"/>
      <c r="S196" s="48"/>
      <c r="T196" s="18"/>
      <c r="U196" s="64"/>
      <c r="V196" s="250"/>
      <c r="W196" s="64"/>
      <c r="X196" s="250"/>
      <c r="Y196" s="181"/>
      <c r="Z196" s="64"/>
      <c r="AA196" s="64"/>
      <c r="AB196" s="64"/>
      <c r="AC196" s="64"/>
      <c r="AD196" s="64"/>
      <c r="AE196" s="181"/>
      <c r="AF196" s="64"/>
      <c r="AG196" s="250"/>
      <c r="AH196" s="250"/>
      <c r="AI196" s="250"/>
      <c r="AJ196" s="250"/>
      <c r="AK196" s="181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181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252"/>
      <c r="BV196" s="252"/>
      <c r="BW196" s="64"/>
      <c r="BX196" s="64"/>
      <c r="BY196" s="64"/>
      <c r="BZ196" s="64"/>
      <c r="CA196" s="64"/>
    </row>
    <row r="197">
      <c r="A197" s="64"/>
      <c r="B197" s="181"/>
      <c r="C197" s="64"/>
      <c r="D197" s="181"/>
      <c r="E197" s="248"/>
      <c r="F197" s="64"/>
      <c r="G197" s="64"/>
      <c r="H197" s="249"/>
      <c r="I197" s="250"/>
      <c r="J197" s="181"/>
      <c r="K197" s="64"/>
      <c r="L197" s="251"/>
      <c r="M197" s="64"/>
      <c r="N197" s="250"/>
      <c r="O197" s="64"/>
      <c r="P197" s="251"/>
      <c r="Q197" s="48"/>
      <c r="R197" s="18"/>
      <c r="S197" s="48"/>
      <c r="T197" s="18"/>
      <c r="U197" s="64"/>
      <c r="V197" s="250"/>
      <c r="W197" s="64"/>
      <c r="X197" s="250"/>
      <c r="Y197" s="181"/>
      <c r="Z197" s="64"/>
      <c r="AA197" s="64"/>
      <c r="AB197" s="64"/>
      <c r="AC197" s="64"/>
      <c r="AD197" s="64"/>
      <c r="AE197" s="181"/>
      <c r="AF197" s="64"/>
      <c r="AG197" s="250"/>
      <c r="AH197" s="250"/>
      <c r="AI197" s="250"/>
      <c r="AJ197" s="250"/>
      <c r="AK197" s="181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181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252"/>
      <c r="BV197" s="252"/>
      <c r="BW197" s="64"/>
      <c r="BX197" s="64"/>
      <c r="BY197" s="64"/>
      <c r="BZ197" s="64"/>
      <c r="CA197" s="64"/>
    </row>
    <row r="198">
      <c r="A198" s="64"/>
      <c r="B198" s="181"/>
      <c r="C198" s="64"/>
      <c r="D198" s="181"/>
      <c r="E198" s="248"/>
      <c r="F198" s="64"/>
      <c r="G198" s="64"/>
      <c r="H198" s="249"/>
      <c r="I198" s="250"/>
      <c r="J198" s="181"/>
      <c r="K198" s="64"/>
      <c r="L198" s="251"/>
      <c r="M198" s="64"/>
      <c r="N198" s="250"/>
      <c r="O198" s="64"/>
      <c r="P198" s="251"/>
      <c r="Q198" s="48"/>
      <c r="R198" s="18"/>
      <c r="S198" s="48"/>
      <c r="T198" s="18"/>
      <c r="U198" s="64"/>
      <c r="V198" s="250"/>
      <c r="W198" s="64"/>
      <c r="X198" s="250"/>
      <c r="Y198" s="181"/>
      <c r="Z198" s="64"/>
      <c r="AA198" s="64"/>
      <c r="AB198" s="64"/>
      <c r="AC198" s="64"/>
      <c r="AD198" s="64"/>
      <c r="AE198" s="181"/>
      <c r="AF198" s="64"/>
      <c r="AG198" s="250"/>
      <c r="AH198" s="250"/>
      <c r="AI198" s="250"/>
      <c r="AJ198" s="250"/>
      <c r="AK198" s="181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181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252"/>
      <c r="BV198" s="252"/>
      <c r="BW198" s="64"/>
      <c r="BX198" s="64"/>
      <c r="BY198" s="64"/>
      <c r="BZ198" s="64"/>
      <c r="CA198" s="64"/>
    </row>
    <row r="199">
      <c r="A199" s="64"/>
      <c r="B199" s="181"/>
      <c r="C199" s="64"/>
      <c r="D199" s="181"/>
      <c r="E199" s="248"/>
      <c r="F199" s="64"/>
      <c r="G199" s="64"/>
      <c r="H199" s="249"/>
      <c r="I199" s="250"/>
      <c r="J199" s="181"/>
      <c r="K199" s="64"/>
      <c r="L199" s="251"/>
      <c r="M199" s="64"/>
      <c r="N199" s="250"/>
      <c r="O199" s="64"/>
      <c r="P199" s="251"/>
      <c r="Q199" s="48"/>
      <c r="R199" s="18"/>
      <c r="S199" s="48"/>
      <c r="T199" s="18"/>
      <c r="U199" s="64"/>
      <c r="V199" s="250"/>
      <c r="W199" s="64"/>
      <c r="X199" s="250"/>
      <c r="Y199" s="181"/>
      <c r="Z199" s="64"/>
      <c r="AA199" s="64"/>
      <c r="AB199" s="64"/>
      <c r="AC199" s="64"/>
      <c r="AD199" s="64"/>
      <c r="AE199" s="181"/>
      <c r="AF199" s="64"/>
      <c r="AG199" s="250"/>
      <c r="AH199" s="250"/>
      <c r="AI199" s="250"/>
      <c r="AJ199" s="250"/>
      <c r="AK199" s="181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181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252"/>
      <c r="BV199" s="252"/>
      <c r="BW199" s="64"/>
      <c r="BX199" s="64"/>
      <c r="BY199" s="64"/>
      <c r="BZ199" s="64"/>
      <c r="CA199" s="64"/>
    </row>
    <row r="200">
      <c r="A200" s="64"/>
      <c r="B200" s="181"/>
      <c r="C200" s="64"/>
      <c r="D200" s="181"/>
      <c r="E200" s="248"/>
      <c r="F200" s="64"/>
      <c r="G200" s="64"/>
      <c r="H200" s="249"/>
      <c r="I200" s="250"/>
      <c r="J200" s="181"/>
      <c r="K200" s="64"/>
      <c r="L200" s="251"/>
      <c r="M200" s="64"/>
      <c r="N200" s="250"/>
      <c r="O200" s="64"/>
      <c r="P200" s="251"/>
      <c r="Q200" s="48"/>
      <c r="R200" s="18"/>
      <c r="S200" s="48"/>
      <c r="T200" s="18"/>
      <c r="U200" s="64"/>
      <c r="V200" s="250"/>
      <c r="W200" s="64"/>
      <c r="X200" s="250"/>
      <c r="Y200" s="181"/>
      <c r="Z200" s="64"/>
      <c r="AA200" s="64"/>
      <c r="AB200" s="64"/>
      <c r="AC200" s="64"/>
      <c r="AD200" s="64"/>
      <c r="AE200" s="181"/>
      <c r="AF200" s="64"/>
      <c r="AG200" s="250"/>
      <c r="AH200" s="250"/>
      <c r="AI200" s="250"/>
      <c r="AJ200" s="250"/>
      <c r="AK200" s="181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181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252"/>
      <c r="BV200" s="252"/>
      <c r="BW200" s="64"/>
      <c r="BX200" s="64"/>
      <c r="BY200" s="64"/>
      <c r="BZ200" s="64"/>
      <c r="CA200" s="64"/>
    </row>
    <row r="201">
      <c r="A201" s="64"/>
      <c r="B201" s="181"/>
      <c r="C201" s="64"/>
      <c r="D201" s="181"/>
      <c r="E201" s="248"/>
      <c r="F201" s="64"/>
      <c r="G201" s="64"/>
      <c r="H201" s="249"/>
      <c r="I201" s="250"/>
      <c r="J201" s="181"/>
      <c r="K201" s="64"/>
      <c r="L201" s="251"/>
      <c r="M201" s="64"/>
      <c r="N201" s="250"/>
      <c r="O201" s="64"/>
      <c r="P201" s="251"/>
      <c r="Q201" s="48"/>
      <c r="R201" s="18"/>
      <c r="S201" s="48"/>
      <c r="T201" s="18"/>
      <c r="U201" s="64"/>
      <c r="V201" s="250"/>
      <c r="W201" s="64"/>
      <c r="X201" s="250"/>
      <c r="Y201" s="181"/>
      <c r="Z201" s="64"/>
      <c r="AA201" s="64"/>
      <c r="AB201" s="64"/>
      <c r="AC201" s="64"/>
      <c r="AD201" s="64"/>
      <c r="AE201" s="181"/>
      <c r="AF201" s="64"/>
      <c r="AG201" s="250"/>
      <c r="AH201" s="250"/>
      <c r="AI201" s="250"/>
      <c r="AJ201" s="250"/>
      <c r="AK201" s="181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181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252"/>
      <c r="BV201" s="252"/>
      <c r="BW201" s="64"/>
      <c r="BX201" s="64"/>
      <c r="BY201" s="64"/>
      <c r="BZ201" s="64"/>
      <c r="CA201" s="64"/>
    </row>
    <row r="202">
      <c r="A202" s="64"/>
      <c r="B202" s="181"/>
      <c r="C202" s="64"/>
      <c r="D202" s="181"/>
      <c r="E202" s="248"/>
      <c r="F202" s="64"/>
      <c r="G202" s="64"/>
      <c r="H202" s="249"/>
      <c r="I202" s="250"/>
      <c r="J202" s="181"/>
      <c r="K202" s="64"/>
      <c r="L202" s="251"/>
      <c r="M202" s="64"/>
      <c r="N202" s="250"/>
      <c r="O202" s="64"/>
      <c r="P202" s="251"/>
      <c r="Q202" s="48"/>
      <c r="R202" s="18"/>
      <c r="S202" s="48"/>
      <c r="T202" s="18"/>
      <c r="U202" s="64"/>
      <c r="V202" s="250"/>
      <c r="W202" s="64"/>
      <c r="X202" s="250"/>
      <c r="Y202" s="181"/>
      <c r="Z202" s="64"/>
      <c r="AA202" s="64"/>
      <c r="AB202" s="64"/>
      <c r="AC202" s="64"/>
      <c r="AD202" s="64"/>
      <c r="AE202" s="181"/>
      <c r="AF202" s="64"/>
      <c r="AG202" s="250"/>
      <c r="AH202" s="250"/>
      <c r="AI202" s="250"/>
      <c r="AJ202" s="250"/>
      <c r="AK202" s="181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181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252"/>
      <c r="BV202" s="252"/>
      <c r="BW202" s="64"/>
      <c r="BX202" s="64"/>
      <c r="BY202" s="64"/>
      <c r="BZ202" s="64"/>
      <c r="CA202" s="64"/>
    </row>
    <row r="203">
      <c r="A203" s="64"/>
      <c r="B203" s="181"/>
      <c r="C203" s="64"/>
      <c r="D203" s="181"/>
      <c r="E203" s="248"/>
      <c r="F203" s="64"/>
      <c r="G203" s="64"/>
      <c r="H203" s="249"/>
      <c r="I203" s="250"/>
      <c r="J203" s="181"/>
      <c r="K203" s="64"/>
      <c r="L203" s="251"/>
      <c r="M203" s="64"/>
      <c r="N203" s="250"/>
      <c r="O203" s="64"/>
      <c r="P203" s="251"/>
      <c r="Q203" s="48"/>
      <c r="R203" s="18"/>
      <c r="S203" s="48"/>
      <c r="T203" s="18"/>
      <c r="U203" s="64"/>
      <c r="V203" s="250"/>
      <c r="W203" s="64"/>
      <c r="X203" s="250"/>
      <c r="Y203" s="181"/>
      <c r="Z203" s="64"/>
      <c r="AA203" s="64"/>
      <c r="AB203" s="64"/>
      <c r="AC203" s="64"/>
      <c r="AD203" s="64"/>
      <c r="AE203" s="181"/>
      <c r="AF203" s="64"/>
      <c r="AG203" s="250"/>
      <c r="AH203" s="250"/>
      <c r="AI203" s="250"/>
      <c r="AJ203" s="250"/>
      <c r="AK203" s="181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181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252"/>
      <c r="BV203" s="252"/>
      <c r="BW203" s="64"/>
      <c r="BX203" s="64"/>
      <c r="BY203" s="64"/>
      <c r="BZ203" s="64"/>
      <c r="CA203" s="64"/>
    </row>
    <row r="204">
      <c r="A204" s="50"/>
      <c r="B204" s="27"/>
      <c r="C204" s="50"/>
      <c r="D204" s="27"/>
      <c r="E204" s="17"/>
      <c r="F204" s="50"/>
      <c r="G204" s="50"/>
      <c r="H204" s="48"/>
      <c r="I204" s="18"/>
      <c r="J204" s="27"/>
      <c r="K204" s="50"/>
      <c r="L204" s="236"/>
      <c r="M204" s="35"/>
      <c r="N204" s="18"/>
      <c r="O204" s="50"/>
      <c r="P204" s="236"/>
      <c r="Q204" s="48"/>
      <c r="R204" s="18"/>
      <c r="S204" s="48"/>
      <c r="T204" s="18"/>
      <c r="U204" s="50"/>
      <c r="V204" s="18"/>
      <c r="W204" s="50"/>
      <c r="X204" s="18"/>
      <c r="Y204" s="27"/>
      <c r="Z204" s="50"/>
      <c r="AA204" s="50"/>
      <c r="AB204" s="50"/>
      <c r="AC204" s="50"/>
      <c r="AD204" s="50"/>
      <c r="AE204" s="27"/>
      <c r="AF204" s="50"/>
      <c r="AG204" s="16"/>
      <c r="AH204" s="18"/>
      <c r="AI204" s="16"/>
      <c r="AJ204" s="18"/>
      <c r="AK204" s="27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42"/>
      <c r="AY204" s="50"/>
      <c r="AZ204" s="42"/>
      <c r="BA204" s="50"/>
      <c r="BB204" s="50"/>
      <c r="BC204" s="50"/>
      <c r="BD204" s="50"/>
      <c r="BE204" s="50"/>
      <c r="BF204" s="50"/>
      <c r="BG204" s="35"/>
      <c r="BH204" s="50"/>
      <c r="BI204" s="42"/>
      <c r="BJ204" s="158"/>
      <c r="BK204" s="42"/>
      <c r="BL204" s="42"/>
      <c r="BM204" s="50"/>
      <c r="BN204" s="50"/>
      <c r="BO204" s="50"/>
      <c r="BP204" s="50"/>
      <c r="BQ204" s="50"/>
      <c r="BR204" s="50"/>
      <c r="BS204" s="50"/>
      <c r="BT204" s="50"/>
      <c r="BU204" s="53"/>
      <c r="BV204" s="53"/>
      <c r="BW204" s="50"/>
      <c r="BX204" s="50"/>
      <c r="BY204" s="50"/>
      <c r="BZ204" s="50"/>
      <c r="CA204" s="50"/>
    </row>
    <row r="205">
      <c r="A205" s="52"/>
      <c r="B205" s="27"/>
      <c r="C205" s="50"/>
      <c r="D205" s="27"/>
      <c r="E205" s="17"/>
      <c r="F205" s="50"/>
      <c r="G205" s="50"/>
      <c r="H205" s="48"/>
      <c r="I205" s="18"/>
      <c r="J205" s="27"/>
      <c r="K205" s="50"/>
      <c r="L205" s="236"/>
      <c r="M205" s="50"/>
      <c r="N205" s="18"/>
      <c r="O205" s="50"/>
      <c r="P205" s="236"/>
      <c r="Q205" s="48"/>
      <c r="R205" s="18"/>
      <c r="S205" s="48"/>
      <c r="T205" s="18"/>
      <c r="U205" s="50"/>
      <c r="V205" s="18"/>
      <c r="W205" s="50"/>
      <c r="X205" s="18"/>
      <c r="Y205" s="27"/>
      <c r="Z205" s="50"/>
      <c r="AA205" s="50"/>
      <c r="AB205" s="50"/>
      <c r="AC205" s="50"/>
      <c r="AD205" s="50"/>
      <c r="AE205" s="27"/>
      <c r="AF205" s="50"/>
      <c r="AG205" s="16"/>
      <c r="AH205" s="18"/>
      <c r="AI205" s="16"/>
      <c r="AJ205" s="18"/>
      <c r="AK205" s="27"/>
      <c r="AO205" s="50"/>
      <c r="AP205" s="50"/>
      <c r="AQ205" s="129"/>
      <c r="AR205" s="50"/>
      <c r="AS205" s="50"/>
      <c r="AT205" s="50"/>
      <c r="AU205" s="50"/>
      <c r="AV205" s="50"/>
      <c r="AW205" s="50"/>
      <c r="AX205" s="42"/>
      <c r="AY205" s="50"/>
      <c r="AZ205" s="42"/>
      <c r="BA205" s="50"/>
      <c r="BB205" s="50"/>
      <c r="BC205" s="50"/>
      <c r="BD205" s="50"/>
      <c r="BE205" s="50"/>
      <c r="BF205" s="50"/>
      <c r="BG205" s="35"/>
      <c r="BH205" s="50"/>
      <c r="BI205" s="42"/>
      <c r="BJ205" s="158"/>
      <c r="BK205" s="42"/>
      <c r="BL205" s="42"/>
      <c r="BM205" s="50"/>
      <c r="BN205" s="50"/>
      <c r="BO205" s="50"/>
      <c r="BP205" s="50"/>
      <c r="BQ205" s="50"/>
      <c r="BR205" s="50"/>
      <c r="BS205" s="50"/>
      <c r="BT205" s="50"/>
      <c r="BU205" s="53"/>
      <c r="BV205" s="53"/>
      <c r="BW205" s="50"/>
      <c r="BX205" s="50"/>
      <c r="BY205" s="50"/>
      <c r="BZ205" s="50"/>
      <c r="CA205" s="50"/>
    </row>
    <row r="206">
      <c r="A206" s="50"/>
      <c r="B206" s="181"/>
      <c r="C206" s="253"/>
      <c r="D206" s="254"/>
      <c r="E206" s="17"/>
      <c r="F206" s="253"/>
      <c r="G206" s="253"/>
      <c r="H206" s="255"/>
      <c r="I206" s="256"/>
      <c r="J206" s="254"/>
      <c r="K206" s="253"/>
      <c r="L206" s="257"/>
      <c r="M206" s="50"/>
      <c r="N206" s="18"/>
      <c r="O206" s="50"/>
      <c r="P206" s="236"/>
      <c r="Q206" s="48"/>
      <c r="R206" s="18"/>
      <c r="S206" s="48"/>
      <c r="T206" s="18"/>
      <c r="U206" s="50"/>
      <c r="V206" s="18"/>
      <c r="W206" s="50"/>
      <c r="X206" s="18"/>
      <c r="Y206" s="27"/>
      <c r="Z206" s="50"/>
      <c r="AA206" s="50"/>
      <c r="AB206" s="50"/>
      <c r="AC206" s="50"/>
      <c r="AD206" s="50"/>
      <c r="AE206" s="27"/>
      <c r="AF206" s="50"/>
      <c r="AG206" s="16"/>
      <c r="AH206" s="18"/>
      <c r="AI206" s="16"/>
      <c r="AJ206" s="18"/>
      <c r="AK206" s="27"/>
      <c r="AO206" s="64"/>
      <c r="AP206" s="50"/>
      <c r="AQ206" s="129"/>
      <c r="AR206" s="50"/>
      <c r="AS206" s="50"/>
      <c r="AT206" s="64"/>
      <c r="AU206" s="64"/>
      <c r="AV206" s="50"/>
      <c r="AW206" s="50"/>
      <c r="AX206" s="42"/>
      <c r="AY206" s="50"/>
      <c r="AZ206" s="42"/>
      <c r="BA206" s="50"/>
      <c r="BB206" s="50"/>
      <c r="BC206" s="50"/>
      <c r="BD206" s="50"/>
      <c r="BE206" s="50"/>
      <c r="BF206" s="50"/>
      <c r="BG206" s="35"/>
      <c r="BH206" s="50"/>
      <c r="BI206" s="42"/>
      <c r="BJ206" s="158"/>
      <c r="BK206" s="42"/>
      <c r="BL206" s="42"/>
      <c r="BM206" s="50"/>
      <c r="BN206" s="50"/>
      <c r="BO206" s="50"/>
      <c r="BP206" s="50"/>
      <c r="BQ206" s="50"/>
      <c r="BR206" s="50"/>
      <c r="BS206" s="50"/>
      <c r="BT206" s="50"/>
      <c r="BU206" s="53"/>
      <c r="BV206" s="53"/>
      <c r="BW206" s="50"/>
      <c r="BX206" s="50"/>
      <c r="BY206" s="50"/>
      <c r="BZ206" s="50"/>
      <c r="CA206" s="50"/>
    </row>
    <row r="207">
      <c r="A207" s="50"/>
      <c r="B207" s="27"/>
      <c r="C207" s="253"/>
      <c r="D207" s="254"/>
      <c r="E207" s="17"/>
      <c r="F207" s="253"/>
      <c r="G207" s="253"/>
      <c r="H207" s="255"/>
      <c r="I207" s="256"/>
      <c r="J207" s="254"/>
      <c r="K207" s="253"/>
      <c r="L207" s="257"/>
      <c r="M207" s="50"/>
      <c r="N207" s="18"/>
      <c r="O207" s="50"/>
      <c r="P207" s="236"/>
      <c r="Q207" s="48"/>
      <c r="R207" s="18"/>
      <c r="S207" s="48"/>
      <c r="T207" s="18"/>
      <c r="U207" s="50"/>
      <c r="V207" s="18"/>
      <c r="W207" s="50"/>
      <c r="X207" s="18"/>
      <c r="Y207" s="27"/>
      <c r="Z207" s="50"/>
      <c r="AA207" s="50"/>
      <c r="AB207" s="50"/>
      <c r="AC207" s="50"/>
      <c r="AD207" s="50"/>
      <c r="AE207" s="27"/>
      <c r="AF207" s="50"/>
      <c r="AG207" s="16"/>
      <c r="AH207" s="18"/>
      <c r="AI207" s="16"/>
      <c r="AJ207" s="18"/>
      <c r="AK207" s="27"/>
      <c r="AO207" s="64"/>
      <c r="AP207" s="50"/>
      <c r="AQ207" s="129"/>
      <c r="AR207" s="50"/>
      <c r="AS207" s="50"/>
      <c r="AT207" s="64"/>
      <c r="AU207" s="50"/>
      <c r="AV207" s="50"/>
      <c r="AW207" s="50"/>
      <c r="AX207" s="42"/>
      <c r="AY207" s="50"/>
      <c r="AZ207" s="42"/>
      <c r="BA207" s="50"/>
      <c r="BB207" s="50"/>
      <c r="BC207" s="50"/>
      <c r="BD207" s="50"/>
      <c r="BE207" s="50"/>
      <c r="BF207" s="50"/>
      <c r="BG207" s="35"/>
      <c r="BH207" s="50"/>
      <c r="BI207" s="42"/>
      <c r="BJ207" s="158"/>
      <c r="BK207" s="42"/>
      <c r="BL207" s="42"/>
      <c r="BM207" s="50"/>
      <c r="BN207" s="50"/>
      <c r="BO207" s="50"/>
      <c r="BP207" s="50"/>
      <c r="BQ207" s="50"/>
      <c r="BR207" s="50"/>
      <c r="BS207" s="50"/>
      <c r="BT207" s="50"/>
      <c r="BU207" s="53"/>
      <c r="BV207" s="53"/>
      <c r="BW207" s="50"/>
      <c r="BX207" s="50"/>
      <c r="BY207" s="50"/>
      <c r="BZ207" s="50"/>
      <c r="CA207" s="50"/>
    </row>
    <row r="208">
      <c r="A208" s="50"/>
      <c r="B208" s="27"/>
      <c r="C208" s="253"/>
      <c r="D208" s="254"/>
      <c r="E208" s="17"/>
      <c r="F208" s="253"/>
      <c r="G208" s="253"/>
      <c r="H208" s="255"/>
      <c r="I208" s="256"/>
      <c r="J208" s="254"/>
      <c r="K208" s="253"/>
      <c r="L208" s="257"/>
      <c r="M208" s="50"/>
      <c r="N208" s="18"/>
      <c r="O208" s="50"/>
      <c r="P208" s="236"/>
      <c r="Q208" s="48"/>
      <c r="R208" s="18"/>
      <c r="S208" s="48"/>
      <c r="T208" s="18"/>
      <c r="U208" s="50"/>
      <c r="V208" s="18"/>
      <c r="W208" s="50"/>
      <c r="X208" s="18"/>
      <c r="Y208" s="27"/>
      <c r="Z208" s="50"/>
      <c r="AA208" s="50"/>
      <c r="AB208" s="50"/>
      <c r="AC208" s="50"/>
      <c r="AD208" s="50"/>
      <c r="AE208" s="27"/>
      <c r="AF208" s="50"/>
      <c r="AG208" s="16"/>
      <c r="AH208" s="18"/>
      <c r="AI208" s="16"/>
      <c r="AJ208" s="18"/>
      <c r="AK208" s="27"/>
      <c r="AO208" s="64"/>
      <c r="AP208" s="50"/>
      <c r="AQ208" s="129"/>
      <c r="AR208" s="50"/>
      <c r="AS208" s="50"/>
      <c r="AT208" s="64"/>
      <c r="AU208" s="50"/>
      <c r="AV208" s="50"/>
      <c r="AW208" s="50"/>
      <c r="AX208" s="42"/>
      <c r="AY208" s="50"/>
      <c r="AZ208" s="42"/>
      <c r="BA208" s="50"/>
      <c r="BB208" s="50"/>
      <c r="BC208" s="50"/>
      <c r="BD208" s="50"/>
      <c r="BE208" s="50"/>
      <c r="BF208" s="50"/>
      <c r="BG208" s="35"/>
      <c r="BH208" s="50"/>
      <c r="BI208" s="42"/>
      <c r="BJ208" s="158"/>
      <c r="BK208" s="42"/>
      <c r="BL208" s="42"/>
      <c r="BM208" s="50"/>
      <c r="BN208" s="50"/>
      <c r="BO208" s="50"/>
      <c r="BP208" s="50"/>
      <c r="BQ208" s="50"/>
      <c r="BR208" s="50"/>
      <c r="BS208" s="50"/>
      <c r="BT208" s="50"/>
      <c r="BU208" s="53"/>
      <c r="BV208" s="53"/>
      <c r="BW208" s="50"/>
      <c r="BX208" s="50"/>
      <c r="BY208" s="50"/>
      <c r="BZ208" s="50"/>
      <c r="CA208" s="50"/>
    </row>
    <row r="209">
      <c r="A209" s="50"/>
      <c r="B209" s="27"/>
      <c r="C209" s="253"/>
      <c r="D209" s="254"/>
      <c r="E209" s="17"/>
      <c r="F209" s="253"/>
      <c r="G209" s="253"/>
      <c r="H209" s="255"/>
      <c r="I209" s="256"/>
      <c r="J209" s="254"/>
      <c r="K209" s="253"/>
      <c r="L209" s="257"/>
      <c r="M209" s="50"/>
      <c r="N209" s="18"/>
      <c r="O209" s="50"/>
      <c r="P209" s="236"/>
      <c r="Q209" s="48"/>
      <c r="R209" s="18"/>
      <c r="S209" s="48"/>
      <c r="T209" s="18"/>
      <c r="U209" s="50"/>
      <c r="V209" s="18"/>
      <c r="W209" s="50"/>
      <c r="X209" s="18"/>
      <c r="Y209" s="27"/>
      <c r="Z209" s="50"/>
      <c r="AA209" s="50"/>
      <c r="AB209" s="50"/>
      <c r="AC209" s="50"/>
      <c r="AD209" s="50"/>
      <c r="AE209" s="27"/>
      <c r="AF209" s="50"/>
      <c r="AG209" s="16"/>
      <c r="AH209" s="18"/>
      <c r="AI209" s="16"/>
      <c r="AJ209" s="18"/>
      <c r="AK209" s="27"/>
      <c r="AO209" s="64"/>
      <c r="AP209" s="143"/>
      <c r="AQ209" s="129"/>
      <c r="AR209" s="50"/>
      <c r="AS209" s="50"/>
      <c r="AT209" s="64"/>
      <c r="AU209" s="50"/>
      <c r="AV209" s="50"/>
      <c r="AW209" s="50"/>
      <c r="AX209" s="42"/>
      <c r="AY209" s="50"/>
      <c r="AZ209" s="42"/>
      <c r="BA209" s="50"/>
      <c r="BB209" s="50"/>
      <c r="BC209" s="50"/>
      <c r="BD209" s="50"/>
      <c r="BE209" s="50"/>
      <c r="BF209" s="50"/>
      <c r="BG209" s="35"/>
      <c r="BH209" s="50"/>
      <c r="BI209" s="42"/>
      <c r="BJ209" s="27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3"/>
      <c r="BV209" s="53"/>
      <c r="BW209" s="50"/>
      <c r="BX209" s="50"/>
      <c r="BY209" s="50"/>
      <c r="BZ209" s="50"/>
      <c r="CA209" s="50"/>
    </row>
    <row r="210">
      <c r="A210" s="50"/>
      <c r="B210" s="27"/>
      <c r="C210" s="50"/>
      <c r="D210" s="27"/>
      <c r="E210" s="17"/>
      <c r="F210" s="50"/>
      <c r="G210" s="50"/>
      <c r="H210" s="48"/>
      <c r="I210" s="18"/>
      <c r="J210" s="27"/>
      <c r="K210" s="50"/>
      <c r="L210" s="236"/>
      <c r="M210" s="35"/>
      <c r="N210" s="18"/>
      <c r="O210" s="50"/>
      <c r="P210" s="236"/>
      <c r="Q210" s="48"/>
      <c r="R210" s="18"/>
      <c r="S210" s="48"/>
      <c r="T210" s="18"/>
      <c r="U210" s="50"/>
      <c r="V210" s="18"/>
      <c r="W210" s="50"/>
      <c r="X210" s="18"/>
      <c r="Y210" s="27"/>
      <c r="Z210" s="50"/>
      <c r="AA210" s="50"/>
      <c r="AB210" s="50"/>
      <c r="AC210" s="50"/>
      <c r="AD210" s="50"/>
      <c r="AE210" s="27"/>
      <c r="AF210" s="50"/>
      <c r="AG210" s="16"/>
      <c r="AH210" s="18"/>
      <c r="AI210" s="16"/>
      <c r="AJ210" s="18"/>
      <c r="AK210" s="27"/>
      <c r="AO210" s="50"/>
      <c r="AP210" s="50"/>
      <c r="AQ210" s="50"/>
      <c r="AR210" s="50"/>
      <c r="AS210" s="50"/>
      <c r="AT210" s="64"/>
      <c r="AU210" s="50"/>
      <c r="AV210" s="50"/>
      <c r="AW210" s="50"/>
      <c r="AX210" s="42"/>
      <c r="AY210" s="50"/>
      <c r="AZ210" s="42"/>
      <c r="BA210" s="50"/>
      <c r="BB210" s="50"/>
      <c r="BC210" s="50"/>
      <c r="BD210" s="50"/>
      <c r="BE210" s="50"/>
      <c r="BF210" s="50"/>
      <c r="BG210" s="35"/>
      <c r="BH210" s="50"/>
      <c r="BI210" s="42"/>
      <c r="BJ210" s="27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3"/>
      <c r="BV210" s="53"/>
      <c r="BW210" s="50"/>
      <c r="BX210" s="50"/>
      <c r="BY210" s="50"/>
      <c r="BZ210" s="50"/>
      <c r="CA210" s="50"/>
    </row>
    <row r="211">
      <c r="A211" s="50"/>
      <c r="B211" s="27"/>
      <c r="C211" s="50"/>
      <c r="D211" s="27"/>
      <c r="E211" s="17"/>
      <c r="F211" s="50"/>
      <c r="G211" s="50"/>
      <c r="H211" s="48"/>
      <c r="I211" s="18"/>
      <c r="J211" s="27"/>
      <c r="K211" s="50"/>
      <c r="L211" s="236"/>
      <c r="M211" s="35"/>
      <c r="N211" s="18"/>
      <c r="O211" s="50"/>
      <c r="P211" s="236"/>
      <c r="Q211" s="48"/>
      <c r="R211" s="18"/>
      <c r="S211" s="48"/>
      <c r="T211" s="18"/>
      <c r="U211" s="50"/>
      <c r="V211" s="18"/>
      <c r="W211" s="50"/>
      <c r="X211" s="18"/>
      <c r="Y211" s="27"/>
      <c r="Z211" s="50"/>
      <c r="AA211" s="50"/>
      <c r="AB211" s="50"/>
      <c r="AC211" s="50"/>
      <c r="AD211" s="50"/>
      <c r="AE211" s="27"/>
      <c r="AF211" s="50"/>
      <c r="AG211" s="16"/>
      <c r="AH211" s="18"/>
      <c r="AI211" s="16"/>
      <c r="AJ211" s="18"/>
      <c r="AK211" s="27"/>
      <c r="AO211" s="50"/>
      <c r="AP211" s="50"/>
      <c r="AQ211" s="50"/>
      <c r="AR211" s="50"/>
      <c r="AS211" s="50"/>
      <c r="AT211" s="64"/>
      <c r="AU211" s="50"/>
      <c r="AV211" s="50"/>
      <c r="AW211" s="50"/>
      <c r="AX211" s="42"/>
      <c r="AY211" s="50"/>
      <c r="AZ211" s="42"/>
      <c r="BA211" s="50"/>
      <c r="BB211" s="50"/>
      <c r="BC211" s="50"/>
      <c r="BD211" s="50"/>
      <c r="BE211" s="50"/>
      <c r="BF211" s="50"/>
      <c r="BG211" s="35"/>
      <c r="BH211" s="50"/>
      <c r="BI211" s="42"/>
      <c r="BJ211" s="27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3"/>
      <c r="BV211" s="53"/>
      <c r="BW211" s="50"/>
      <c r="BX211" s="50"/>
      <c r="BY211" s="50"/>
      <c r="BZ211" s="50"/>
      <c r="CA211" s="50"/>
    </row>
    <row r="212">
      <c r="A212" s="50"/>
      <c r="B212" s="27"/>
      <c r="C212" s="50"/>
      <c r="D212" s="27"/>
      <c r="E212" s="17"/>
      <c r="F212" s="50"/>
      <c r="G212" s="50"/>
      <c r="H212" s="48"/>
      <c r="I212" s="18"/>
      <c r="J212" s="27"/>
      <c r="K212" s="50"/>
      <c r="L212" s="236"/>
      <c r="M212" s="35"/>
      <c r="N212" s="18"/>
      <c r="O212" s="50"/>
      <c r="P212" s="236"/>
      <c r="Q212" s="48"/>
      <c r="R212" s="18"/>
      <c r="S212" s="48"/>
      <c r="T212" s="18"/>
      <c r="U212" s="50"/>
      <c r="V212" s="18"/>
      <c r="W212" s="50"/>
      <c r="X212" s="18"/>
      <c r="Y212" s="27"/>
      <c r="Z212" s="50"/>
      <c r="AA212" s="50"/>
      <c r="AB212" s="50"/>
      <c r="AC212" s="50"/>
      <c r="AD212" s="50"/>
      <c r="AE212" s="27"/>
      <c r="AF212" s="50"/>
      <c r="AG212" s="16"/>
      <c r="AH212" s="18"/>
      <c r="AI212" s="16"/>
      <c r="AJ212" s="18"/>
      <c r="AK212" s="27"/>
      <c r="AO212" s="50"/>
      <c r="AP212" s="50"/>
      <c r="AQ212" s="50"/>
      <c r="AR212" s="50"/>
      <c r="AS212" s="50"/>
      <c r="AT212" s="64"/>
      <c r="AU212" s="50"/>
      <c r="AV212" s="50"/>
      <c r="AW212" s="50"/>
      <c r="AX212" s="42"/>
      <c r="AY212" s="50"/>
      <c r="AZ212" s="42"/>
      <c r="BA212" s="50"/>
      <c r="BB212" s="50"/>
      <c r="BC212" s="50"/>
      <c r="BD212" s="50"/>
      <c r="BE212" s="50"/>
      <c r="BF212" s="50"/>
      <c r="BG212" s="35"/>
      <c r="BH212" s="50"/>
      <c r="BI212" s="42"/>
      <c r="BJ212" s="27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3"/>
      <c r="BV212" s="53"/>
      <c r="BW212" s="50"/>
      <c r="BX212" s="50"/>
      <c r="BY212" s="50"/>
      <c r="BZ212" s="50"/>
      <c r="CA212" s="50"/>
    </row>
    <row r="213">
      <c r="A213" s="50"/>
      <c r="B213" s="27"/>
      <c r="C213" s="50"/>
      <c r="D213" s="27"/>
      <c r="E213" s="17"/>
      <c r="F213" s="50"/>
      <c r="G213" s="50"/>
      <c r="H213" s="48"/>
      <c r="I213" s="18"/>
      <c r="J213" s="27"/>
      <c r="K213" s="50"/>
      <c r="L213" s="236"/>
      <c r="M213" s="35"/>
      <c r="N213" s="18"/>
      <c r="O213" s="50"/>
      <c r="P213" s="236"/>
      <c r="Q213" s="48"/>
      <c r="R213" s="18"/>
      <c r="S213" s="48"/>
      <c r="T213" s="18"/>
      <c r="U213" s="50"/>
      <c r="V213" s="18"/>
      <c r="W213" s="50"/>
      <c r="X213" s="18"/>
      <c r="Y213" s="27"/>
      <c r="Z213" s="50"/>
      <c r="AA213" s="50"/>
      <c r="AB213" s="50"/>
      <c r="AC213" s="50"/>
      <c r="AD213" s="50"/>
      <c r="AE213" s="27"/>
      <c r="AF213" s="50"/>
      <c r="AG213" s="16"/>
      <c r="AH213" s="18"/>
      <c r="AI213" s="16"/>
      <c r="AJ213" s="18"/>
      <c r="AK213" s="27"/>
      <c r="AO213" s="50"/>
      <c r="AP213" s="50"/>
      <c r="AQ213" s="50"/>
      <c r="AR213" s="50"/>
      <c r="AS213" s="50"/>
      <c r="AT213" s="50"/>
      <c r="AU213" s="50"/>
      <c r="AV213" s="50"/>
      <c r="AW213" s="50"/>
      <c r="AX213" s="42"/>
      <c r="AY213" s="50"/>
      <c r="AZ213" s="42"/>
      <c r="BA213" s="50"/>
      <c r="BB213" s="50"/>
      <c r="BC213" s="50"/>
      <c r="BD213" s="50"/>
      <c r="BE213" s="50"/>
      <c r="BF213" s="50"/>
      <c r="BG213" s="35"/>
      <c r="BH213" s="50"/>
      <c r="BI213" s="42"/>
      <c r="BJ213" s="27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3"/>
      <c r="BV213" s="53"/>
      <c r="BW213" s="50"/>
      <c r="BX213" s="50"/>
      <c r="BY213" s="50"/>
      <c r="BZ213" s="50"/>
      <c r="CA213" s="50"/>
    </row>
    <row r="214">
      <c r="A214" s="50"/>
      <c r="B214" s="27"/>
      <c r="C214" s="50"/>
      <c r="D214" s="27"/>
      <c r="E214" s="17"/>
      <c r="F214" s="50"/>
      <c r="G214" s="50"/>
      <c r="H214" s="48"/>
      <c r="I214" s="18"/>
      <c r="J214" s="27"/>
      <c r="K214" s="50"/>
      <c r="L214" s="236"/>
      <c r="M214" s="35"/>
      <c r="N214" s="18"/>
      <c r="O214" s="50"/>
      <c r="P214" s="236"/>
      <c r="Q214" s="48"/>
      <c r="R214" s="18"/>
      <c r="S214" s="48"/>
      <c r="T214" s="18"/>
      <c r="U214" s="50"/>
      <c r="V214" s="18"/>
      <c r="W214" s="50"/>
      <c r="X214" s="18"/>
      <c r="Y214" s="27"/>
      <c r="Z214" s="50"/>
      <c r="AA214" s="50"/>
      <c r="AB214" s="50"/>
      <c r="AC214" s="50"/>
      <c r="AD214" s="50"/>
      <c r="AE214" s="27"/>
      <c r="AF214" s="50"/>
      <c r="AG214" s="16"/>
      <c r="AH214" s="18"/>
      <c r="AI214" s="16"/>
      <c r="AJ214" s="18"/>
      <c r="AK214" s="27"/>
      <c r="AO214" s="50"/>
      <c r="AP214" s="50"/>
      <c r="AQ214" s="50"/>
      <c r="AR214" s="50"/>
      <c r="AS214" s="50"/>
      <c r="AT214" s="50"/>
      <c r="AU214" s="50"/>
      <c r="AV214" s="50"/>
      <c r="AW214" s="50"/>
      <c r="AX214" s="42"/>
      <c r="AY214" s="50"/>
      <c r="AZ214" s="42"/>
      <c r="BA214" s="50"/>
      <c r="BB214" s="50"/>
      <c r="BC214" s="50"/>
      <c r="BD214" s="50"/>
      <c r="BE214" s="50"/>
      <c r="BF214" s="50"/>
      <c r="BG214" s="35"/>
      <c r="BH214" s="50"/>
      <c r="BI214" s="42"/>
      <c r="BJ214" s="27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3"/>
      <c r="BV214" s="53"/>
      <c r="BW214" s="50"/>
      <c r="BX214" s="50"/>
      <c r="BY214" s="50"/>
      <c r="BZ214" s="50"/>
      <c r="CA214" s="50"/>
    </row>
    <row r="215">
      <c r="A215" s="50"/>
      <c r="B215" s="27"/>
      <c r="C215" s="50"/>
      <c r="D215" s="27"/>
      <c r="E215" s="17"/>
      <c r="F215" s="50"/>
      <c r="G215" s="50"/>
      <c r="H215" s="48"/>
      <c r="I215" s="18"/>
      <c r="J215" s="27"/>
      <c r="K215" s="50"/>
      <c r="L215" s="236"/>
      <c r="M215" s="35"/>
      <c r="N215" s="18"/>
      <c r="O215" s="50"/>
      <c r="P215" s="236"/>
      <c r="Q215" s="48"/>
      <c r="R215" s="18"/>
      <c r="S215" s="48"/>
      <c r="T215" s="18"/>
      <c r="U215" s="50"/>
      <c r="V215" s="18"/>
      <c r="W215" s="50"/>
      <c r="X215" s="18"/>
      <c r="Y215" s="27"/>
      <c r="Z215" s="50"/>
      <c r="AA215" s="50"/>
      <c r="AB215" s="50"/>
      <c r="AC215" s="50"/>
      <c r="AD215" s="50"/>
      <c r="AE215" s="27"/>
      <c r="AF215" s="50"/>
      <c r="AG215" s="16"/>
      <c r="AH215" s="18"/>
      <c r="AI215" s="16"/>
      <c r="AJ215" s="18"/>
      <c r="AK215" s="27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42"/>
      <c r="AY215" s="50"/>
      <c r="AZ215" s="42"/>
      <c r="BA215" s="50"/>
      <c r="BB215" s="50"/>
      <c r="BC215" s="50"/>
      <c r="BD215" s="50"/>
      <c r="BE215" s="50"/>
      <c r="BF215" s="50"/>
      <c r="BG215" s="35"/>
      <c r="BH215" s="50"/>
      <c r="BI215" s="42"/>
      <c r="BJ215" s="27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3"/>
      <c r="BV215" s="53"/>
      <c r="BW215" s="50"/>
      <c r="BX215" s="50"/>
      <c r="BY215" s="50"/>
      <c r="BZ215" s="50"/>
      <c r="CA215" s="50"/>
    </row>
    <row r="216">
      <c r="A216" s="50"/>
      <c r="B216" s="27"/>
      <c r="C216" s="50"/>
      <c r="D216" s="27"/>
      <c r="E216" s="17"/>
      <c r="F216" s="50"/>
      <c r="G216" s="50"/>
      <c r="H216" s="48"/>
      <c r="I216" s="18"/>
      <c r="J216" s="27"/>
      <c r="K216" s="50"/>
      <c r="L216" s="236"/>
      <c r="M216" s="35"/>
      <c r="N216" s="18"/>
      <c r="O216" s="50"/>
      <c r="P216" s="236"/>
      <c r="Q216" s="48"/>
      <c r="R216" s="18"/>
      <c r="S216" s="48"/>
      <c r="T216" s="18"/>
      <c r="U216" s="50"/>
      <c r="V216" s="18"/>
      <c r="W216" s="50"/>
      <c r="X216" s="18"/>
      <c r="Y216" s="27"/>
      <c r="Z216" s="50"/>
      <c r="AA216" s="50"/>
      <c r="AB216" s="50"/>
      <c r="AC216" s="50"/>
      <c r="AD216" s="50"/>
      <c r="AE216" s="27"/>
      <c r="AF216" s="50"/>
      <c r="AG216" s="16"/>
      <c r="AH216" s="18"/>
      <c r="AI216" s="16"/>
      <c r="AJ216" s="18"/>
      <c r="AK216" s="27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42"/>
      <c r="AY216" s="50"/>
      <c r="AZ216" s="42"/>
      <c r="BA216" s="50"/>
      <c r="BB216" s="50"/>
      <c r="BC216" s="50"/>
      <c r="BD216" s="50"/>
      <c r="BE216" s="50"/>
      <c r="BF216" s="50"/>
      <c r="BG216" s="35"/>
      <c r="BH216" s="50"/>
      <c r="BI216" s="42"/>
      <c r="BJ216" s="27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3"/>
      <c r="BV216" s="53"/>
      <c r="BW216" s="50"/>
      <c r="BX216" s="50"/>
      <c r="BY216" s="50"/>
      <c r="BZ216" s="50"/>
      <c r="CA216" s="50"/>
    </row>
    <row r="217">
      <c r="A217" s="50"/>
      <c r="B217" s="27"/>
      <c r="C217" s="50"/>
      <c r="D217" s="27"/>
      <c r="E217" s="17"/>
      <c r="F217" s="50"/>
      <c r="G217" s="50"/>
      <c r="H217" s="48"/>
      <c r="I217" s="18"/>
      <c r="J217" s="27"/>
      <c r="K217" s="50"/>
      <c r="L217" s="236"/>
      <c r="M217" s="35"/>
      <c r="N217" s="18"/>
      <c r="O217" s="50"/>
      <c r="P217" s="236"/>
      <c r="Q217" s="48"/>
      <c r="R217" s="18"/>
      <c r="S217" s="48"/>
      <c r="T217" s="18"/>
      <c r="U217" s="50"/>
      <c r="V217" s="18"/>
      <c r="W217" s="50"/>
      <c r="X217" s="18"/>
      <c r="Y217" s="27"/>
      <c r="Z217" s="50"/>
      <c r="AA217" s="50"/>
      <c r="AB217" s="50"/>
      <c r="AC217" s="50"/>
      <c r="AD217" s="50"/>
      <c r="AE217" s="27"/>
      <c r="AF217" s="50"/>
      <c r="AG217" s="16"/>
      <c r="AH217" s="18"/>
      <c r="AI217" s="16"/>
      <c r="AJ217" s="18"/>
      <c r="AK217" s="27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42"/>
      <c r="AY217" s="50"/>
      <c r="AZ217" s="42"/>
      <c r="BA217" s="50"/>
      <c r="BB217" s="50"/>
      <c r="BC217" s="50"/>
      <c r="BD217" s="50"/>
      <c r="BE217" s="50"/>
      <c r="BF217" s="50"/>
      <c r="BG217" s="35"/>
      <c r="BH217" s="50"/>
      <c r="BI217" s="42"/>
      <c r="BJ217" s="27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3"/>
      <c r="BV217" s="53"/>
      <c r="BW217" s="50"/>
      <c r="BX217" s="50"/>
      <c r="BY217" s="50"/>
      <c r="BZ217" s="50"/>
      <c r="CA217" s="50"/>
    </row>
    <row r="218">
      <c r="A218" s="50"/>
      <c r="B218" s="27"/>
      <c r="C218" s="50"/>
      <c r="D218" s="27"/>
      <c r="E218" s="17"/>
      <c r="F218" s="50"/>
      <c r="G218" s="50"/>
      <c r="H218" s="48"/>
      <c r="I218" s="18"/>
      <c r="J218" s="27"/>
      <c r="K218" s="50"/>
      <c r="L218" s="236"/>
      <c r="M218" s="35"/>
      <c r="N218" s="18"/>
      <c r="O218" s="50"/>
      <c r="P218" s="236"/>
      <c r="Q218" s="48"/>
      <c r="R218" s="18"/>
      <c r="S218" s="48"/>
      <c r="T218" s="18"/>
      <c r="U218" s="50"/>
      <c r="V218" s="18"/>
      <c r="W218" s="50"/>
      <c r="X218" s="18"/>
      <c r="Y218" s="27"/>
      <c r="Z218" s="50"/>
      <c r="AA218" s="50"/>
      <c r="AB218" s="50"/>
      <c r="AC218" s="50"/>
      <c r="AD218" s="50"/>
      <c r="AE218" s="27"/>
      <c r="AF218" s="50"/>
      <c r="AG218" s="16"/>
      <c r="AH218" s="18"/>
      <c r="AI218" s="16"/>
      <c r="AJ218" s="18"/>
      <c r="AK218" s="27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42"/>
      <c r="AY218" s="50"/>
      <c r="AZ218" s="42"/>
      <c r="BA218" s="50"/>
      <c r="BB218" s="50"/>
      <c r="BC218" s="50"/>
      <c r="BD218" s="50"/>
      <c r="BE218" s="50"/>
      <c r="BF218" s="50"/>
      <c r="BG218" s="35"/>
      <c r="BH218" s="50"/>
      <c r="BI218" s="42"/>
      <c r="BJ218" s="27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3"/>
      <c r="BV218" s="53"/>
      <c r="BW218" s="50"/>
      <c r="BX218" s="50"/>
      <c r="BY218" s="50"/>
      <c r="BZ218" s="50"/>
      <c r="CA218" s="50"/>
    </row>
    <row r="219">
      <c r="A219" s="50"/>
      <c r="B219" s="27"/>
      <c r="C219" s="50"/>
      <c r="D219" s="27"/>
      <c r="E219" s="17"/>
      <c r="F219" s="50"/>
      <c r="G219" s="50"/>
      <c r="H219" s="48"/>
      <c r="I219" s="18"/>
      <c r="J219" s="27"/>
      <c r="K219" s="50"/>
      <c r="L219" s="236"/>
      <c r="M219" s="35"/>
      <c r="N219" s="18"/>
      <c r="O219" s="50"/>
      <c r="P219" s="236"/>
      <c r="Q219" s="48"/>
      <c r="R219" s="18"/>
      <c r="S219" s="48"/>
      <c r="T219" s="18"/>
      <c r="U219" s="50"/>
      <c r="V219" s="18"/>
      <c r="W219" s="50"/>
      <c r="X219" s="18"/>
      <c r="Y219" s="27"/>
      <c r="Z219" s="50"/>
      <c r="AA219" s="50"/>
      <c r="AB219" s="50"/>
      <c r="AC219" s="50"/>
      <c r="AD219" s="50"/>
      <c r="AE219" s="27"/>
      <c r="AF219" s="50"/>
      <c r="AG219" s="16"/>
      <c r="AH219" s="18"/>
      <c r="AI219" s="16"/>
      <c r="AJ219" s="18"/>
      <c r="AK219" s="27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42"/>
      <c r="AY219" s="50"/>
      <c r="AZ219" s="42"/>
      <c r="BA219" s="50"/>
      <c r="BB219" s="50"/>
      <c r="BC219" s="50"/>
      <c r="BD219" s="50"/>
      <c r="BE219" s="50"/>
      <c r="BF219" s="50"/>
      <c r="BG219" s="35"/>
      <c r="BH219" s="50"/>
      <c r="BI219" s="42"/>
      <c r="BJ219" s="27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3"/>
      <c r="BV219" s="53"/>
      <c r="BW219" s="50"/>
      <c r="BX219" s="50"/>
      <c r="BY219" s="50"/>
      <c r="BZ219" s="50"/>
      <c r="CA219" s="50"/>
    </row>
    <row r="220">
      <c r="A220" s="50"/>
      <c r="B220" s="27"/>
      <c r="C220" s="50"/>
      <c r="D220" s="27"/>
      <c r="E220" s="17"/>
      <c r="F220" s="50"/>
      <c r="G220" s="50"/>
      <c r="H220" s="48"/>
      <c r="I220" s="18"/>
      <c r="J220" s="27"/>
      <c r="K220" s="50"/>
      <c r="L220" s="236"/>
      <c r="M220" s="35"/>
      <c r="N220" s="18"/>
      <c r="O220" s="50"/>
      <c r="P220" s="236"/>
      <c r="Q220" s="48"/>
      <c r="R220" s="18"/>
      <c r="S220" s="48"/>
      <c r="T220" s="18"/>
      <c r="U220" s="50"/>
      <c r="V220" s="18"/>
      <c r="W220" s="50"/>
      <c r="X220" s="18"/>
      <c r="Y220" s="27"/>
      <c r="Z220" s="50"/>
      <c r="AA220" s="50"/>
      <c r="AB220" s="50"/>
      <c r="AC220" s="50"/>
      <c r="AD220" s="50"/>
      <c r="AE220" s="27"/>
      <c r="AF220" s="50"/>
      <c r="AG220" s="16"/>
      <c r="AH220" s="18"/>
      <c r="AI220" s="16"/>
      <c r="AJ220" s="18"/>
      <c r="AK220" s="27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42"/>
      <c r="AY220" s="50"/>
      <c r="AZ220" s="42"/>
      <c r="BA220" s="50"/>
      <c r="BB220" s="50"/>
      <c r="BC220" s="50"/>
      <c r="BD220" s="50"/>
      <c r="BE220" s="50"/>
      <c r="BF220" s="50"/>
      <c r="BG220" s="35"/>
      <c r="BH220" s="50"/>
      <c r="BI220" s="42"/>
      <c r="BJ220" s="27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3"/>
      <c r="BV220" s="53"/>
      <c r="BW220" s="50"/>
      <c r="BX220" s="50"/>
      <c r="BY220" s="50"/>
      <c r="BZ220" s="50"/>
      <c r="CA220" s="50"/>
    </row>
    <row r="221">
      <c r="A221" s="50"/>
      <c r="B221" s="27"/>
      <c r="C221" s="50"/>
      <c r="D221" s="27"/>
      <c r="E221" s="17"/>
      <c r="F221" s="50"/>
      <c r="G221" s="50"/>
      <c r="H221" s="48"/>
      <c r="I221" s="18"/>
      <c r="J221" s="27"/>
      <c r="K221" s="50"/>
      <c r="L221" s="236"/>
      <c r="M221" s="35"/>
      <c r="N221" s="18"/>
      <c r="O221" s="50"/>
      <c r="P221" s="236"/>
      <c r="Q221" s="48"/>
      <c r="R221" s="18"/>
      <c r="S221" s="48"/>
      <c r="T221" s="18"/>
      <c r="U221" s="50"/>
      <c r="V221" s="18"/>
      <c r="W221" s="50"/>
      <c r="X221" s="18"/>
      <c r="Y221" s="27"/>
      <c r="Z221" s="50"/>
      <c r="AA221" s="50"/>
      <c r="AB221" s="50"/>
      <c r="AC221" s="50"/>
      <c r="AD221" s="50"/>
      <c r="AE221" s="27"/>
      <c r="AF221" s="50"/>
      <c r="AG221" s="16"/>
      <c r="AH221" s="18"/>
      <c r="AI221" s="16"/>
      <c r="AJ221" s="18"/>
      <c r="AK221" s="27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42"/>
      <c r="AY221" s="50"/>
      <c r="AZ221" s="42"/>
      <c r="BA221" s="50"/>
      <c r="BB221" s="50"/>
      <c r="BC221" s="50"/>
      <c r="BD221" s="50"/>
      <c r="BE221" s="50"/>
      <c r="BF221" s="50"/>
      <c r="BG221" s="35"/>
      <c r="BH221" s="50"/>
      <c r="BI221" s="42"/>
      <c r="BJ221" s="27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3"/>
      <c r="BV221" s="53"/>
      <c r="BW221" s="50"/>
      <c r="BX221" s="50"/>
      <c r="BY221" s="50"/>
      <c r="BZ221" s="50"/>
      <c r="CA221" s="50"/>
    </row>
    <row r="222">
      <c r="A222" s="50"/>
      <c r="B222" s="27"/>
      <c r="C222" s="50"/>
      <c r="D222" s="27"/>
      <c r="E222" s="17"/>
      <c r="F222" s="50"/>
      <c r="G222" s="50"/>
      <c r="H222" s="48"/>
      <c r="I222" s="18"/>
      <c r="J222" s="27"/>
      <c r="K222" s="50"/>
      <c r="L222" s="236"/>
      <c r="M222" s="35"/>
      <c r="N222" s="18"/>
      <c r="O222" s="50"/>
      <c r="P222" s="236"/>
      <c r="Q222" s="48"/>
      <c r="R222" s="18"/>
      <c r="S222" s="48"/>
      <c r="T222" s="18"/>
      <c r="U222" s="50"/>
      <c r="V222" s="18"/>
      <c r="W222" s="50"/>
      <c r="X222" s="18"/>
      <c r="Y222" s="27"/>
      <c r="Z222" s="50"/>
      <c r="AA222" s="50"/>
      <c r="AB222" s="50"/>
      <c r="AC222" s="50"/>
      <c r="AD222" s="50"/>
      <c r="AE222" s="27"/>
      <c r="AF222" s="50"/>
      <c r="AG222" s="16"/>
      <c r="AH222" s="18"/>
      <c r="AI222" s="16"/>
      <c r="AJ222" s="18"/>
      <c r="AK222" s="27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42"/>
      <c r="AY222" s="50"/>
      <c r="AZ222" s="42"/>
      <c r="BA222" s="50"/>
      <c r="BB222" s="50"/>
      <c r="BC222" s="50"/>
      <c r="BD222" s="50"/>
      <c r="BE222" s="50"/>
      <c r="BF222" s="50"/>
      <c r="BG222" s="35"/>
      <c r="BH222" s="50"/>
      <c r="BI222" s="42"/>
      <c r="BJ222" s="27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3"/>
      <c r="BV222" s="53"/>
      <c r="BW222" s="50"/>
      <c r="BX222" s="50"/>
      <c r="BY222" s="50"/>
      <c r="BZ222" s="50"/>
      <c r="CA222" s="50"/>
    </row>
    <row r="223">
      <c r="A223" s="50"/>
      <c r="B223" s="27"/>
      <c r="C223" s="50"/>
      <c r="D223" s="27"/>
      <c r="E223" s="17"/>
      <c r="F223" s="50"/>
      <c r="G223" s="50"/>
      <c r="H223" s="48"/>
      <c r="I223" s="18"/>
      <c r="J223" s="27"/>
      <c r="K223" s="50"/>
      <c r="L223" s="236"/>
      <c r="M223" s="35"/>
      <c r="N223" s="18"/>
      <c r="O223" s="50"/>
      <c r="P223" s="236"/>
      <c r="Q223" s="48"/>
      <c r="R223" s="18"/>
      <c r="S223" s="48"/>
      <c r="T223" s="18"/>
      <c r="U223" s="50"/>
      <c r="V223" s="18"/>
      <c r="W223" s="50"/>
      <c r="X223" s="18"/>
      <c r="Y223" s="27"/>
      <c r="Z223" s="50"/>
      <c r="AA223" s="50"/>
      <c r="AB223" s="50"/>
      <c r="AC223" s="50"/>
      <c r="AD223" s="50"/>
      <c r="AE223" s="27"/>
      <c r="AF223" s="50"/>
      <c r="AG223" s="16"/>
      <c r="AH223" s="18"/>
      <c r="AI223" s="16"/>
      <c r="AJ223" s="18"/>
      <c r="AK223" s="27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42"/>
      <c r="AY223" s="50"/>
      <c r="AZ223" s="42"/>
      <c r="BA223" s="50"/>
      <c r="BB223" s="50"/>
      <c r="BC223" s="50"/>
      <c r="BD223" s="50"/>
      <c r="BE223" s="50"/>
      <c r="BF223" s="50"/>
      <c r="BG223" s="35"/>
      <c r="BH223" s="50"/>
      <c r="BI223" s="42"/>
      <c r="BJ223" s="27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3"/>
      <c r="BV223" s="53"/>
      <c r="BW223" s="50"/>
      <c r="BX223" s="50"/>
      <c r="BY223" s="50"/>
      <c r="BZ223" s="50"/>
      <c r="CA223" s="50"/>
    </row>
    <row r="224">
      <c r="A224" s="50"/>
      <c r="B224" s="27"/>
      <c r="C224" s="50"/>
      <c r="D224" s="27"/>
      <c r="E224" s="17"/>
      <c r="F224" s="50"/>
      <c r="G224" s="50"/>
      <c r="H224" s="48"/>
      <c r="I224" s="18"/>
      <c r="J224" s="27"/>
      <c r="K224" s="50"/>
      <c r="L224" s="236"/>
      <c r="M224" s="35"/>
      <c r="N224" s="18"/>
      <c r="O224" s="50"/>
      <c r="P224" s="236"/>
      <c r="Q224" s="48"/>
      <c r="R224" s="18"/>
      <c r="S224" s="48"/>
      <c r="T224" s="18"/>
      <c r="U224" s="50"/>
      <c r="V224" s="18"/>
      <c r="W224" s="50"/>
      <c r="X224" s="18"/>
      <c r="Y224" s="27"/>
      <c r="Z224" s="50"/>
      <c r="AA224" s="50"/>
      <c r="AB224" s="50"/>
      <c r="AC224" s="50"/>
      <c r="AD224" s="50"/>
      <c r="AE224" s="27"/>
      <c r="AF224" s="50"/>
      <c r="AG224" s="16"/>
      <c r="AH224" s="18"/>
      <c r="AI224" s="16"/>
      <c r="AJ224" s="18"/>
      <c r="AK224" s="27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42"/>
      <c r="AY224" s="50"/>
      <c r="AZ224" s="42"/>
      <c r="BA224" s="50"/>
      <c r="BB224" s="50"/>
      <c r="BC224" s="50"/>
      <c r="BD224" s="50"/>
      <c r="BE224" s="50"/>
      <c r="BF224" s="50"/>
      <c r="BG224" s="35"/>
      <c r="BH224" s="50"/>
      <c r="BI224" s="42"/>
      <c r="BJ224" s="27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3"/>
      <c r="BV224" s="53"/>
      <c r="BW224" s="50"/>
      <c r="BX224" s="50"/>
      <c r="BY224" s="50"/>
      <c r="BZ224" s="50"/>
      <c r="CA224" s="50"/>
    </row>
    <row r="225">
      <c r="A225" s="50"/>
      <c r="B225" s="27"/>
      <c r="C225" s="50"/>
      <c r="D225" s="27"/>
      <c r="E225" s="17"/>
      <c r="F225" s="50"/>
      <c r="G225" s="50"/>
      <c r="H225" s="48"/>
      <c r="I225" s="18"/>
      <c r="J225" s="27"/>
      <c r="K225" s="50"/>
      <c r="L225" s="236"/>
      <c r="M225" s="35"/>
      <c r="N225" s="18"/>
      <c r="O225" s="50"/>
      <c r="P225" s="236"/>
      <c r="Q225" s="48"/>
      <c r="R225" s="18"/>
      <c r="S225" s="48"/>
      <c r="T225" s="18"/>
      <c r="U225" s="50"/>
      <c r="V225" s="18"/>
      <c r="W225" s="50"/>
      <c r="X225" s="18"/>
      <c r="Y225" s="27"/>
      <c r="Z225" s="50"/>
      <c r="AA225" s="50"/>
      <c r="AB225" s="50"/>
      <c r="AC225" s="50"/>
      <c r="AD225" s="50"/>
      <c r="AE225" s="27"/>
      <c r="AF225" s="50"/>
      <c r="AG225" s="16"/>
      <c r="AH225" s="18"/>
      <c r="AI225" s="16"/>
      <c r="AJ225" s="18"/>
      <c r="AK225" s="27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42"/>
      <c r="AY225" s="50"/>
      <c r="AZ225" s="42"/>
      <c r="BA225" s="50"/>
      <c r="BB225" s="50"/>
      <c r="BC225" s="50"/>
      <c r="BD225" s="50"/>
      <c r="BE225" s="50"/>
      <c r="BF225" s="50"/>
      <c r="BG225" s="35"/>
      <c r="BH225" s="50"/>
      <c r="BI225" s="42"/>
      <c r="BJ225" s="27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3"/>
      <c r="BV225" s="53"/>
      <c r="BW225" s="50"/>
      <c r="BX225" s="50"/>
      <c r="BY225" s="50"/>
      <c r="BZ225" s="50"/>
      <c r="CA225" s="50"/>
    </row>
    <row r="226">
      <c r="A226" s="50"/>
      <c r="B226" s="27"/>
      <c r="C226" s="50"/>
      <c r="D226" s="27"/>
      <c r="E226" s="17"/>
      <c r="F226" s="50"/>
      <c r="G226" s="50"/>
      <c r="H226" s="48"/>
      <c r="I226" s="18"/>
      <c r="J226" s="27"/>
      <c r="K226" s="50"/>
      <c r="L226" s="236"/>
      <c r="M226" s="35"/>
      <c r="N226" s="18"/>
      <c r="O226" s="50"/>
      <c r="P226" s="236"/>
      <c r="Q226" s="48"/>
      <c r="R226" s="18"/>
      <c r="S226" s="48"/>
      <c r="T226" s="18"/>
      <c r="U226" s="50"/>
      <c r="V226" s="18"/>
      <c r="W226" s="50"/>
      <c r="X226" s="18"/>
      <c r="Y226" s="27"/>
      <c r="Z226" s="50"/>
      <c r="AA226" s="50"/>
      <c r="AB226" s="50"/>
      <c r="AC226" s="50"/>
      <c r="AD226" s="50"/>
      <c r="AE226" s="27"/>
      <c r="AF226" s="50"/>
      <c r="AG226" s="16"/>
      <c r="AH226" s="18"/>
      <c r="AI226" s="16"/>
      <c r="AJ226" s="18"/>
      <c r="AK226" s="27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42"/>
      <c r="AY226" s="50"/>
      <c r="AZ226" s="42"/>
      <c r="BA226" s="50"/>
      <c r="BB226" s="50"/>
      <c r="BC226" s="50"/>
      <c r="BD226" s="50"/>
      <c r="BE226" s="50"/>
      <c r="BF226" s="50"/>
      <c r="BG226" s="35"/>
      <c r="BH226" s="50"/>
      <c r="BI226" s="42"/>
      <c r="BJ226" s="27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3"/>
      <c r="BV226" s="53"/>
      <c r="BW226" s="50"/>
      <c r="BX226" s="50"/>
      <c r="BY226" s="50"/>
      <c r="BZ226" s="50"/>
      <c r="CA226" s="50"/>
    </row>
    <row r="227">
      <c r="A227" s="50"/>
      <c r="B227" s="27"/>
      <c r="C227" s="50"/>
      <c r="D227" s="27"/>
      <c r="E227" s="17"/>
      <c r="F227" s="50"/>
      <c r="G227" s="50"/>
      <c r="H227" s="48"/>
      <c r="I227" s="18"/>
      <c r="J227" s="27"/>
      <c r="K227" s="50"/>
      <c r="L227" s="236"/>
      <c r="M227" s="35"/>
      <c r="N227" s="18"/>
      <c r="O227" s="50"/>
      <c r="P227" s="236"/>
      <c r="Q227" s="48"/>
      <c r="R227" s="18"/>
      <c r="S227" s="48"/>
      <c r="T227" s="18"/>
      <c r="U227" s="50"/>
      <c r="V227" s="18"/>
      <c r="W227" s="50"/>
      <c r="X227" s="18"/>
      <c r="Y227" s="27"/>
      <c r="Z227" s="50"/>
      <c r="AA227" s="50"/>
      <c r="AB227" s="50"/>
      <c r="AC227" s="50"/>
      <c r="AD227" s="50"/>
      <c r="AE227" s="27"/>
      <c r="AF227" s="50"/>
      <c r="AG227" s="16"/>
      <c r="AH227" s="18"/>
      <c r="AI227" s="16"/>
      <c r="AJ227" s="18"/>
      <c r="AK227" s="27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42"/>
      <c r="AY227" s="50"/>
      <c r="AZ227" s="42"/>
      <c r="BA227" s="50"/>
      <c r="BB227" s="50"/>
      <c r="BC227" s="50"/>
      <c r="BD227" s="50"/>
      <c r="BE227" s="50"/>
      <c r="BF227" s="50"/>
      <c r="BG227" s="35"/>
      <c r="BH227" s="50"/>
      <c r="BI227" s="42"/>
      <c r="BJ227" s="27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3"/>
      <c r="BV227" s="53"/>
      <c r="BW227" s="50"/>
      <c r="BX227" s="50"/>
      <c r="BY227" s="50"/>
      <c r="BZ227" s="50"/>
      <c r="CA227" s="50"/>
    </row>
    <row r="228">
      <c r="A228" s="50"/>
      <c r="B228" s="27"/>
      <c r="C228" s="50"/>
      <c r="D228" s="27"/>
      <c r="E228" s="17"/>
      <c r="F228" s="50"/>
      <c r="G228" s="50"/>
      <c r="H228" s="48"/>
      <c r="I228" s="18"/>
      <c r="J228" s="27"/>
      <c r="K228" s="50"/>
      <c r="L228" s="236"/>
      <c r="M228" s="35"/>
      <c r="N228" s="18"/>
      <c r="O228" s="50"/>
      <c r="P228" s="236"/>
      <c r="Q228" s="48"/>
      <c r="R228" s="18"/>
      <c r="S228" s="48"/>
      <c r="T228" s="18"/>
      <c r="U228" s="50"/>
      <c r="V228" s="18"/>
      <c r="W228" s="50"/>
      <c r="X228" s="18"/>
      <c r="Y228" s="27"/>
      <c r="Z228" s="50"/>
      <c r="AA228" s="50"/>
      <c r="AB228" s="50"/>
      <c r="AC228" s="50"/>
      <c r="AD228" s="50"/>
      <c r="AE228" s="27"/>
      <c r="AF228" s="50"/>
      <c r="AG228" s="16"/>
      <c r="AH228" s="18"/>
      <c r="AI228" s="16"/>
      <c r="AJ228" s="18"/>
      <c r="AK228" s="27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42"/>
      <c r="AY228" s="50"/>
      <c r="AZ228" s="42"/>
      <c r="BA228" s="50"/>
      <c r="BB228" s="50"/>
      <c r="BC228" s="50"/>
      <c r="BD228" s="50"/>
      <c r="BE228" s="50"/>
      <c r="BF228" s="50"/>
      <c r="BG228" s="35"/>
      <c r="BH228" s="50"/>
      <c r="BI228" s="42"/>
      <c r="BJ228" s="27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3"/>
      <c r="BV228" s="53"/>
      <c r="BW228" s="50"/>
      <c r="BX228" s="50"/>
      <c r="BY228" s="50"/>
      <c r="BZ228" s="50"/>
      <c r="CA228" s="50"/>
    </row>
    <row r="229">
      <c r="A229" s="50"/>
      <c r="B229" s="27"/>
      <c r="C229" s="50"/>
      <c r="D229" s="27"/>
      <c r="E229" s="17"/>
      <c r="F229" s="50"/>
      <c r="G229" s="50"/>
      <c r="H229" s="48"/>
      <c r="I229" s="18"/>
      <c r="J229" s="27"/>
      <c r="K229" s="50"/>
      <c r="L229" s="236"/>
      <c r="M229" s="35"/>
      <c r="N229" s="18"/>
      <c r="O229" s="50"/>
      <c r="P229" s="236"/>
      <c r="Q229" s="48"/>
      <c r="R229" s="18"/>
      <c r="S229" s="48"/>
      <c r="T229" s="18"/>
      <c r="U229" s="50"/>
      <c r="V229" s="18"/>
      <c r="W229" s="50"/>
      <c r="X229" s="18"/>
      <c r="Y229" s="27"/>
      <c r="Z229" s="50"/>
      <c r="AA229" s="50"/>
      <c r="AB229" s="50"/>
      <c r="AC229" s="50"/>
      <c r="AD229" s="50"/>
      <c r="AE229" s="27"/>
      <c r="AF229" s="50"/>
      <c r="AG229" s="16"/>
      <c r="AH229" s="18"/>
      <c r="AI229" s="16"/>
      <c r="AJ229" s="18"/>
      <c r="AK229" s="27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42"/>
      <c r="AY229" s="50"/>
      <c r="AZ229" s="42"/>
      <c r="BA229" s="50"/>
      <c r="BB229" s="50"/>
      <c r="BC229" s="50"/>
      <c r="BD229" s="50"/>
      <c r="BE229" s="50"/>
      <c r="BF229" s="50"/>
      <c r="BG229" s="35"/>
      <c r="BH229" s="50"/>
      <c r="BI229" s="42"/>
      <c r="BJ229" s="27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3"/>
      <c r="BV229" s="53"/>
      <c r="BW229" s="50"/>
      <c r="BX229" s="50"/>
      <c r="BY229" s="50"/>
      <c r="BZ229" s="50"/>
      <c r="CA229" s="50"/>
    </row>
    <row r="230">
      <c r="A230" s="50"/>
      <c r="B230" s="27"/>
      <c r="C230" s="50"/>
      <c r="D230" s="27"/>
      <c r="E230" s="17"/>
      <c r="F230" s="50"/>
      <c r="G230" s="50"/>
      <c r="H230" s="48"/>
      <c r="I230" s="18"/>
      <c r="J230" s="27"/>
      <c r="K230" s="50"/>
      <c r="L230" s="236"/>
      <c r="M230" s="35"/>
      <c r="N230" s="18"/>
      <c r="O230" s="50"/>
      <c r="P230" s="236"/>
      <c r="Q230" s="48"/>
      <c r="R230" s="18"/>
      <c r="S230" s="48"/>
      <c r="T230" s="18"/>
      <c r="U230" s="50"/>
      <c r="V230" s="18"/>
      <c r="W230" s="50"/>
      <c r="X230" s="18"/>
      <c r="Y230" s="27"/>
      <c r="Z230" s="50"/>
      <c r="AA230" s="50"/>
      <c r="AB230" s="50"/>
      <c r="AC230" s="50"/>
      <c r="AD230" s="50"/>
      <c r="AE230" s="27"/>
      <c r="AF230" s="50"/>
      <c r="AG230" s="16"/>
      <c r="AH230" s="18"/>
      <c r="AI230" s="16"/>
      <c r="AJ230" s="18"/>
      <c r="AK230" s="27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42"/>
      <c r="AY230" s="50"/>
      <c r="AZ230" s="42"/>
      <c r="BA230" s="50"/>
      <c r="BB230" s="50"/>
      <c r="BC230" s="50"/>
      <c r="BD230" s="50"/>
      <c r="BE230" s="50"/>
      <c r="BF230" s="50"/>
      <c r="BG230" s="35"/>
      <c r="BH230" s="50"/>
      <c r="BI230" s="42"/>
      <c r="BJ230" s="27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3"/>
      <c r="BV230" s="53"/>
      <c r="BW230" s="50"/>
      <c r="BX230" s="50"/>
      <c r="BY230" s="50"/>
      <c r="BZ230" s="50"/>
      <c r="CA230" s="50"/>
    </row>
    <row r="231">
      <c r="A231" s="50"/>
      <c r="B231" s="27"/>
      <c r="C231" s="50"/>
      <c r="D231" s="27"/>
      <c r="E231" s="17"/>
      <c r="F231" s="50"/>
      <c r="G231" s="50"/>
      <c r="H231" s="48"/>
      <c r="I231" s="18"/>
      <c r="J231" s="27"/>
      <c r="K231" s="50"/>
      <c r="L231" s="236"/>
      <c r="M231" s="35"/>
      <c r="N231" s="18"/>
      <c r="O231" s="50"/>
      <c r="P231" s="236"/>
      <c r="Q231" s="48"/>
      <c r="R231" s="18"/>
      <c r="S231" s="48"/>
      <c r="T231" s="18"/>
      <c r="U231" s="50"/>
      <c r="V231" s="18"/>
      <c r="W231" s="50"/>
      <c r="X231" s="18"/>
      <c r="Y231" s="27"/>
      <c r="Z231" s="50"/>
      <c r="AA231" s="50"/>
      <c r="AB231" s="50"/>
      <c r="AC231" s="50"/>
      <c r="AD231" s="50"/>
      <c r="AE231" s="27"/>
      <c r="AF231" s="50"/>
      <c r="AG231" s="16"/>
      <c r="AH231" s="18"/>
      <c r="AI231" s="16"/>
      <c r="AJ231" s="18"/>
      <c r="AK231" s="27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42"/>
      <c r="AY231" s="50"/>
      <c r="AZ231" s="42"/>
      <c r="BA231" s="50"/>
      <c r="BB231" s="50"/>
      <c r="BC231" s="50"/>
      <c r="BD231" s="50"/>
      <c r="BE231" s="50"/>
      <c r="BF231" s="50"/>
      <c r="BG231" s="35"/>
      <c r="BH231" s="50"/>
      <c r="BI231" s="42"/>
      <c r="BJ231" s="27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3"/>
      <c r="BV231" s="53"/>
      <c r="BW231" s="50"/>
      <c r="BX231" s="50"/>
      <c r="BY231" s="50"/>
      <c r="BZ231" s="50"/>
      <c r="CA231" s="50"/>
    </row>
    <row r="232">
      <c r="A232" s="50"/>
      <c r="B232" s="27"/>
      <c r="C232" s="50"/>
      <c r="D232" s="27"/>
      <c r="E232" s="17"/>
      <c r="F232" s="50"/>
      <c r="G232" s="50"/>
      <c r="H232" s="48"/>
      <c r="I232" s="18"/>
      <c r="J232" s="27"/>
      <c r="K232" s="50"/>
      <c r="L232" s="236"/>
      <c r="M232" s="35"/>
      <c r="N232" s="18"/>
      <c r="O232" s="50"/>
      <c r="P232" s="236"/>
      <c r="Q232" s="48"/>
      <c r="R232" s="18"/>
      <c r="S232" s="48"/>
      <c r="T232" s="18"/>
      <c r="U232" s="50"/>
      <c r="V232" s="18"/>
      <c r="W232" s="50"/>
      <c r="X232" s="18"/>
      <c r="Y232" s="27"/>
      <c r="Z232" s="50"/>
      <c r="AA232" s="50"/>
      <c r="AB232" s="50"/>
      <c r="AC232" s="50"/>
      <c r="AD232" s="50"/>
      <c r="AE232" s="27"/>
      <c r="AF232" s="50"/>
      <c r="AG232" s="16"/>
      <c r="AH232" s="18"/>
      <c r="AI232" s="16"/>
      <c r="AJ232" s="18"/>
      <c r="AK232" s="27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42"/>
      <c r="AY232" s="50"/>
      <c r="AZ232" s="42"/>
      <c r="BA232" s="50"/>
      <c r="BB232" s="50"/>
      <c r="BC232" s="50"/>
      <c r="BD232" s="50"/>
      <c r="BE232" s="50"/>
      <c r="BF232" s="50"/>
      <c r="BG232" s="35"/>
      <c r="BH232" s="50"/>
      <c r="BI232" s="42"/>
      <c r="BJ232" s="27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3"/>
      <c r="BV232" s="53"/>
      <c r="BW232" s="50"/>
      <c r="BX232" s="50"/>
      <c r="BY232" s="50"/>
      <c r="BZ232" s="50"/>
      <c r="CA232" s="50"/>
    </row>
    <row r="233">
      <c r="A233" s="50"/>
      <c r="B233" s="27"/>
      <c r="C233" s="50"/>
      <c r="D233" s="27"/>
      <c r="E233" s="17"/>
      <c r="F233" s="50"/>
      <c r="G233" s="50"/>
      <c r="H233" s="48"/>
      <c r="I233" s="18"/>
      <c r="J233" s="27"/>
      <c r="K233" s="50"/>
      <c r="L233" s="236"/>
      <c r="M233" s="35"/>
      <c r="N233" s="18"/>
      <c r="O233" s="50"/>
      <c r="P233" s="236"/>
      <c r="Q233" s="48"/>
      <c r="R233" s="18"/>
      <c r="S233" s="48"/>
      <c r="T233" s="18"/>
      <c r="U233" s="50"/>
      <c r="V233" s="18"/>
      <c r="W233" s="50"/>
      <c r="X233" s="18"/>
      <c r="Y233" s="27"/>
      <c r="Z233" s="50"/>
      <c r="AA233" s="50"/>
      <c r="AB233" s="50"/>
      <c r="AC233" s="50"/>
      <c r="AD233" s="50"/>
      <c r="AE233" s="27"/>
      <c r="AF233" s="50"/>
      <c r="AG233" s="16"/>
      <c r="AH233" s="18"/>
      <c r="AI233" s="16"/>
      <c r="AJ233" s="18"/>
      <c r="AK233" s="27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42"/>
      <c r="AY233" s="50"/>
      <c r="AZ233" s="42"/>
      <c r="BA233" s="50"/>
      <c r="BB233" s="50"/>
      <c r="BC233" s="50"/>
      <c r="BD233" s="50"/>
      <c r="BE233" s="50"/>
      <c r="BF233" s="50"/>
      <c r="BG233" s="35"/>
      <c r="BH233" s="50"/>
      <c r="BI233" s="42"/>
      <c r="BJ233" s="27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3"/>
      <c r="BV233" s="53"/>
      <c r="BW233" s="50"/>
      <c r="BX233" s="50"/>
      <c r="BY233" s="50"/>
      <c r="BZ233" s="50"/>
      <c r="CA233" s="50"/>
    </row>
    <row r="234">
      <c r="A234" s="50"/>
      <c r="B234" s="27"/>
      <c r="C234" s="50"/>
      <c r="D234" s="27"/>
      <c r="E234" s="17"/>
      <c r="F234" s="50"/>
      <c r="G234" s="50"/>
      <c r="H234" s="48"/>
      <c r="I234" s="18"/>
      <c r="J234" s="27"/>
      <c r="K234" s="50"/>
      <c r="L234" s="236"/>
      <c r="M234" s="35"/>
      <c r="N234" s="18"/>
      <c r="O234" s="50"/>
      <c r="P234" s="236"/>
      <c r="Q234" s="48"/>
      <c r="R234" s="18"/>
      <c r="S234" s="48"/>
      <c r="T234" s="18"/>
      <c r="U234" s="50"/>
      <c r="V234" s="18"/>
      <c r="W234" s="50"/>
      <c r="X234" s="18"/>
      <c r="Y234" s="27"/>
      <c r="Z234" s="50"/>
      <c r="AA234" s="50"/>
      <c r="AB234" s="50"/>
      <c r="AC234" s="50"/>
      <c r="AD234" s="50"/>
      <c r="AE234" s="27"/>
      <c r="AF234" s="50"/>
      <c r="AG234" s="16"/>
      <c r="AH234" s="18"/>
      <c r="AI234" s="16"/>
      <c r="AJ234" s="18"/>
      <c r="AK234" s="27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42"/>
      <c r="AY234" s="50"/>
      <c r="AZ234" s="42"/>
      <c r="BA234" s="50"/>
      <c r="BB234" s="50"/>
      <c r="BC234" s="50"/>
      <c r="BD234" s="50"/>
      <c r="BE234" s="50"/>
      <c r="BF234" s="50"/>
      <c r="BG234" s="35"/>
      <c r="BH234" s="50"/>
      <c r="BI234" s="42"/>
      <c r="BJ234" s="27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3"/>
      <c r="BV234" s="53"/>
      <c r="BW234" s="50"/>
      <c r="BX234" s="50"/>
      <c r="BY234" s="50"/>
      <c r="BZ234" s="50"/>
      <c r="CA234" s="50"/>
    </row>
    <row r="235">
      <c r="A235" s="50"/>
      <c r="B235" s="27"/>
      <c r="C235" s="50"/>
      <c r="D235" s="27"/>
      <c r="E235" s="17"/>
      <c r="F235" s="50"/>
      <c r="G235" s="50"/>
      <c r="H235" s="48"/>
      <c r="I235" s="18"/>
      <c r="J235" s="27"/>
      <c r="K235" s="50"/>
      <c r="L235" s="236"/>
      <c r="M235" s="35"/>
      <c r="N235" s="18"/>
      <c r="O235" s="50"/>
      <c r="P235" s="236"/>
      <c r="Q235" s="48"/>
      <c r="R235" s="18"/>
      <c r="S235" s="48"/>
      <c r="T235" s="18"/>
      <c r="U235" s="50"/>
      <c r="V235" s="18"/>
      <c r="W235" s="50"/>
      <c r="X235" s="18"/>
      <c r="Y235" s="27"/>
      <c r="Z235" s="50"/>
      <c r="AA235" s="50"/>
      <c r="AB235" s="50"/>
      <c r="AC235" s="50"/>
      <c r="AD235" s="50"/>
      <c r="AE235" s="27"/>
      <c r="AF235" s="50"/>
      <c r="AG235" s="16"/>
      <c r="AH235" s="18"/>
      <c r="AI235" s="16"/>
      <c r="AJ235" s="18"/>
      <c r="AK235" s="27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42"/>
      <c r="AY235" s="50"/>
      <c r="AZ235" s="42"/>
      <c r="BA235" s="50"/>
      <c r="BB235" s="50"/>
      <c r="BC235" s="50"/>
      <c r="BD235" s="50"/>
      <c r="BE235" s="50"/>
      <c r="BF235" s="50"/>
      <c r="BG235" s="35"/>
      <c r="BH235" s="50"/>
      <c r="BI235" s="42"/>
      <c r="BJ235" s="27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3"/>
      <c r="BV235" s="53"/>
      <c r="BW235" s="50"/>
      <c r="BX235" s="50"/>
      <c r="BY235" s="50"/>
      <c r="BZ235" s="50"/>
      <c r="CA235" s="50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29" t="s">
        <v>16</v>
      </c>
      <c r="B1" s="29" t="s">
        <v>17</v>
      </c>
      <c r="C1" s="31" t="s">
        <v>18</v>
      </c>
      <c r="D1" s="29" t="s">
        <v>19</v>
      </c>
      <c r="E1" s="20"/>
      <c r="F1" s="20"/>
      <c r="G1" s="29" t="s">
        <v>20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8"/>
      <c r="B2" s="8"/>
      <c r="C2" s="34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36" t="s">
        <v>21</v>
      </c>
      <c r="B3" s="37"/>
      <c r="C3" s="39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>
      <c r="A4" s="25">
        <v>1.0</v>
      </c>
      <c r="B4" s="13" t="s">
        <v>22</v>
      </c>
      <c r="C4" s="41">
        <v>4.11063218390805</v>
      </c>
      <c r="D4" s="13" t="s">
        <v>23</v>
      </c>
      <c r="E4" s="8"/>
      <c r="F4" s="8"/>
      <c r="G4" s="25" t="s">
        <v>24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5">
        <v>2.0</v>
      </c>
      <c r="B5" s="13" t="s">
        <v>25</v>
      </c>
      <c r="C5" s="41">
        <v>4.03208812260536</v>
      </c>
      <c r="D5" s="13" t="s">
        <v>23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5">
        <v>3.0</v>
      </c>
      <c r="B6" s="13" t="s">
        <v>26</v>
      </c>
      <c r="C6" s="41">
        <v>3.83860153256705</v>
      </c>
      <c r="D6" s="13" t="s">
        <v>27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5">
        <v>4.0</v>
      </c>
      <c r="B7" s="13" t="s">
        <v>28</v>
      </c>
      <c r="C7" s="41">
        <v>3.82902298850575</v>
      </c>
      <c r="D7" s="13" t="s">
        <v>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5">
        <v>5.0</v>
      </c>
      <c r="B8" s="47" t="s">
        <v>29</v>
      </c>
      <c r="C8" s="41">
        <v>3.79645593869732</v>
      </c>
      <c r="D8" s="47" t="s">
        <v>27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36" t="s">
        <v>30</v>
      </c>
      <c r="B11" s="37"/>
      <c r="C11" s="49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>
      <c r="A12" s="25">
        <v>1.0</v>
      </c>
      <c r="B12" s="25" t="s">
        <v>31</v>
      </c>
      <c r="C12" s="41">
        <v>3.4286398467433</v>
      </c>
      <c r="D12" s="25" t="s">
        <v>32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5">
        <v>2.0</v>
      </c>
      <c r="B13" s="25" t="s">
        <v>33</v>
      </c>
      <c r="C13" s="41">
        <v>3.29932950191571</v>
      </c>
      <c r="D13" s="25" t="s">
        <v>34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5">
        <v>3.0</v>
      </c>
      <c r="B14" s="25" t="s">
        <v>35</v>
      </c>
      <c r="C14" s="41">
        <v>2.75909961685824</v>
      </c>
      <c r="D14" s="25" t="s">
        <v>32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5">
        <v>4.0</v>
      </c>
      <c r="B15" s="25" t="s">
        <v>36</v>
      </c>
      <c r="C15" s="41">
        <v>3.31561302681992</v>
      </c>
      <c r="D15" s="25" t="s">
        <v>27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5">
        <v>5.0</v>
      </c>
      <c r="B16" s="25" t="s">
        <v>37</v>
      </c>
      <c r="C16" s="41">
        <v>3.16906130268199</v>
      </c>
      <c r="D16" s="25" t="s">
        <v>38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36" t="s">
        <v>39</v>
      </c>
      <c r="B18" s="37"/>
      <c r="C18" s="49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</row>
    <row r="19">
      <c r="A19" s="8"/>
      <c r="B19" s="8"/>
      <c r="C19" s="10"/>
      <c r="E19" s="29" t="s">
        <v>40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5">
        <v>1.0</v>
      </c>
      <c r="B20" s="47" t="s">
        <v>42</v>
      </c>
      <c r="C20" s="41">
        <v>2.4477969348659</v>
      </c>
      <c r="D20" s="47" t="s">
        <v>43</v>
      </c>
      <c r="E20" s="56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5">
        <v>2.0</v>
      </c>
      <c r="B21" s="25" t="s">
        <v>45</v>
      </c>
      <c r="C21" s="41">
        <v>3.33477011494253</v>
      </c>
      <c r="D21" s="25" t="s">
        <v>34</v>
      </c>
      <c r="E21" s="41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5">
        <v>3.0</v>
      </c>
      <c r="B22" s="25" t="s">
        <v>22</v>
      </c>
      <c r="C22" s="41">
        <v>3.69109195402299</v>
      </c>
      <c r="D22" s="25" t="s">
        <v>23</v>
      </c>
      <c r="E22" s="41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5">
        <v>4.0</v>
      </c>
      <c r="B23" s="25" t="s">
        <v>46</v>
      </c>
      <c r="C23" s="41">
        <v>3.08572796934866</v>
      </c>
      <c r="D23" s="25" t="s">
        <v>34</v>
      </c>
      <c r="E23" s="41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5">
        <v>5.0</v>
      </c>
      <c r="B24" s="25" t="s">
        <v>25</v>
      </c>
      <c r="C24" s="41">
        <v>3.43438697318008</v>
      </c>
      <c r="D24" s="25" t="s">
        <v>23</v>
      </c>
      <c r="E24" s="41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36" t="s">
        <v>47</v>
      </c>
      <c r="B26" s="57"/>
      <c r="C26" s="58"/>
      <c r="D26" s="57"/>
      <c r="E26" s="57"/>
      <c r="F26" s="57"/>
      <c r="G26" s="36" t="s">
        <v>48</v>
      </c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</row>
    <row r="27">
      <c r="A27" s="8"/>
      <c r="B27" s="8"/>
      <c r="C27" s="10"/>
      <c r="E27" s="29" t="s">
        <v>40</v>
      </c>
      <c r="F27" s="29" t="s">
        <v>49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5">
        <v>1.0</v>
      </c>
      <c r="B28" s="13" t="s">
        <v>50</v>
      </c>
      <c r="C28" s="41">
        <v>1.23611111111111</v>
      </c>
      <c r="D28" s="13" t="s">
        <v>34</v>
      </c>
      <c r="E28" s="41">
        <v>6.29</v>
      </c>
      <c r="F28" s="59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5">
        <v>2.0</v>
      </c>
      <c r="B29" s="47" t="s">
        <v>51</v>
      </c>
      <c r="C29" s="41">
        <v>2.06657088122605</v>
      </c>
      <c r="D29" s="47" t="s">
        <v>38</v>
      </c>
      <c r="E29" s="41">
        <v>6.5</v>
      </c>
      <c r="F29" s="59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5">
        <v>3.0</v>
      </c>
      <c r="B30" s="13" t="s">
        <v>52</v>
      </c>
      <c r="C30" s="41">
        <v>1.91427203065134</v>
      </c>
      <c r="D30" s="13" t="s">
        <v>53</v>
      </c>
      <c r="E30" s="41">
        <v>6.75</v>
      </c>
      <c r="F30" s="59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5">
        <v>4.0</v>
      </c>
      <c r="B31" s="13" t="s">
        <v>55</v>
      </c>
      <c r="C31" s="41">
        <v>2.13553639846743</v>
      </c>
      <c r="D31" s="13" t="s">
        <v>38</v>
      </c>
      <c r="E31" s="41">
        <v>7.57</v>
      </c>
      <c r="F31" s="59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5">
        <v>5.0</v>
      </c>
      <c r="B32" s="13" t="s">
        <v>56</v>
      </c>
      <c r="C32" s="41">
        <v>2.03400383141762</v>
      </c>
      <c r="D32" s="13" t="s">
        <v>38</v>
      </c>
      <c r="E32" s="41">
        <v>6.96</v>
      </c>
      <c r="F32" s="59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6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36" t="s">
        <v>57</v>
      </c>
      <c r="B34" s="37"/>
      <c r="C34" s="49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>
      <c r="A35" s="25" t="s">
        <v>58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94" t="s">
        <v>151</v>
      </c>
      <c r="B1" s="94" t="s">
        <v>152</v>
      </c>
      <c r="C1" s="110" t="s">
        <v>153</v>
      </c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</row>
    <row r="2">
      <c r="A2" s="73" t="s">
        <v>19</v>
      </c>
      <c r="B2" s="13" t="s">
        <v>154</v>
      </c>
      <c r="C2" s="113" t="s">
        <v>155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</row>
    <row r="3">
      <c r="A3" s="73" t="s">
        <v>161</v>
      </c>
      <c r="B3" s="13" t="s">
        <v>162</v>
      </c>
      <c r="C3" s="113" t="s">
        <v>163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</row>
    <row r="4">
      <c r="A4" s="73" t="s">
        <v>167</v>
      </c>
      <c r="B4" s="13" t="s">
        <v>168</v>
      </c>
      <c r="C4" s="113" t="s">
        <v>169</v>
      </c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</row>
    <row r="5">
      <c r="A5" s="73" t="s">
        <v>170</v>
      </c>
      <c r="B5" s="13" t="s">
        <v>171</v>
      </c>
      <c r="C5" s="113" t="s">
        <v>172</v>
      </c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</row>
    <row r="6">
      <c r="A6" s="73" t="s">
        <v>176</v>
      </c>
      <c r="B6" s="13" t="s">
        <v>177</v>
      </c>
      <c r="C6" s="113" t="s">
        <v>178</v>
      </c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</row>
    <row r="7">
      <c r="A7" s="73" t="s">
        <v>179</v>
      </c>
      <c r="B7" s="13" t="s">
        <v>180</v>
      </c>
      <c r="C7" s="113" t="s">
        <v>181</v>
      </c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</row>
    <row r="8">
      <c r="A8" s="73" t="s">
        <v>186</v>
      </c>
      <c r="B8" s="13" t="s">
        <v>188</v>
      </c>
      <c r="C8" s="113" t="s">
        <v>155</v>
      </c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</row>
    <row r="9">
      <c r="A9" s="73" t="s">
        <v>189</v>
      </c>
      <c r="B9" s="13" t="s">
        <v>190</v>
      </c>
      <c r="C9" s="113" t="s">
        <v>191</v>
      </c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</row>
    <row r="10">
      <c r="A10" s="73" t="s">
        <v>204</v>
      </c>
      <c r="B10" s="13" t="s">
        <v>205</v>
      </c>
      <c r="C10" s="113" t="s">
        <v>206</v>
      </c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</row>
    <row r="11">
      <c r="A11" s="73" t="s">
        <v>213</v>
      </c>
      <c r="B11" s="128" t="s">
        <v>214</v>
      </c>
      <c r="C11" s="113" t="s">
        <v>221</v>
      </c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</row>
    <row r="12">
      <c r="A12" s="114"/>
      <c r="B12" s="114"/>
      <c r="C12" s="133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</row>
    <row r="13">
      <c r="A13" s="114"/>
      <c r="B13" s="114"/>
      <c r="C13" s="133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</row>
    <row r="14">
      <c r="A14" s="114"/>
      <c r="B14" s="114"/>
      <c r="C14" s="133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</row>
    <row r="15">
      <c r="A15" s="114"/>
      <c r="B15" s="114"/>
      <c r="C15" s="133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</row>
    <row r="16">
      <c r="A16" s="114"/>
      <c r="B16" s="114"/>
      <c r="C16" s="133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</row>
    <row r="17">
      <c r="A17" s="114"/>
      <c r="B17" s="114"/>
      <c r="C17" s="133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</row>
    <row r="18">
      <c r="A18" s="114"/>
      <c r="B18" s="114"/>
      <c r="C18" s="133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</row>
    <row r="19">
      <c r="A19" s="114"/>
      <c r="B19" s="114"/>
      <c r="C19" s="133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</row>
    <row r="20">
      <c r="A20" s="114"/>
      <c r="B20" s="114"/>
      <c r="C20" s="133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</row>
    <row r="21">
      <c r="A21" s="114"/>
      <c r="B21" s="114"/>
      <c r="C21" s="133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</row>
    <row r="22">
      <c r="A22" s="114"/>
      <c r="B22" s="114"/>
      <c r="C22" s="133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</row>
    <row r="23">
      <c r="A23" s="114"/>
      <c r="B23" s="114"/>
      <c r="C23" s="13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</row>
    <row r="24">
      <c r="A24" s="114"/>
      <c r="B24" s="114"/>
      <c r="C24" s="133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</row>
    <row r="25">
      <c r="A25" s="114"/>
      <c r="B25" s="114"/>
      <c r="C25" s="133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</row>
    <row r="26">
      <c r="A26" s="114"/>
      <c r="B26" s="114"/>
      <c r="C26" s="133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</row>
    <row r="27">
      <c r="A27" s="114"/>
      <c r="B27" s="114"/>
      <c r="C27" s="133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</row>
    <row r="28">
      <c r="A28" s="114"/>
      <c r="B28" s="114"/>
      <c r="C28" s="133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</row>
    <row r="29">
      <c r="A29" s="114"/>
      <c r="B29" s="114"/>
      <c r="C29" s="133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</row>
    <row r="30">
      <c r="A30" s="114"/>
      <c r="B30" s="114"/>
      <c r="C30" s="133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</row>
    <row r="31">
      <c r="A31" s="114"/>
      <c r="B31" s="114"/>
      <c r="C31" s="133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</row>
    <row r="32">
      <c r="A32" s="114"/>
      <c r="B32" s="114"/>
      <c r="C32" s="133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</row>
    <row r="33">
      <c r="A33" s="114"/>
      <c r="B33" s="114"/>
      <c r="C33" s="133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</row>
    <row r="34">
      <c r="A34" s="114"/>
      <c r="B34" s="114"/>
      <c r="C34" s="133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</row>
    <row r="35">
      <c r="A35" s="114"/>
      <c r="B35" s="114"/>
      <c r="C35" s="133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</row>
    <row r="36">
      <c r="A36" s="114"/>
      <c r="B36" s="114"/>
      <c r="C36" s="133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</row>
    <row r="37">
      <c r="A37" s="114"/>
      <c r="B37" s="114"/>
      <c r="C37" s="133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</row>
    <row r="38">
      <c r="A38" s="114"/>
      <c r="B38" s="114"/>
      <c r="C38" s="133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</row>
    <row r="39">
      <c r="A39" s="114"/>
      <c r="B39" s="114"/>
      <c r="C39" s="133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</row>
    <row r="40">
      <c r="A40" s="114"/>
      <c r="B40" s="114"/>
      <c r="C40" s="133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</row>
    <row r="41">
      <c r="A41" s="114"/>
      <c r="B41" s="114"/>
      <c r="C41" s="133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</row>
    <row r="42">
      <c r="A42" s="114"/>
      <c r="B42" s="114"/>
      <c r="C42" s="133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</row>
    <row r="43">
      <c r="A43" s="114"/>
      <c r="B43" s="114"/>
      <c r="C43" s="133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</row>
    <row r="44">
      <c r="A44" s="114"/>
      <c r="B44" s="114"/>
      <c r="C44" s="133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</row>
    <row r="45">
      <c r="A45" s="114"/>
      <c r="B45" s="114"/>
      <c r="C45" s="13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</row>
    <row r="46">
      <c r="A46" s="114"/>
      <c r="B46" s="114"/>
      <c r="C46" s="133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</row>
    <row r="47">
      <c r="A47" s="114"/>
      <c r="B47" s="114"/>
      <c r="C47" s="133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</row>
    <row r="48">
      <c r="A48" s="114"/>
      <c r="B48" s="114"/>
      <c r="C48" s="133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</row>
    <row r="49">
      <c r="A49" s="114"/>
      <c r="B49" s="114"/>
      <c r="C49" s="133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</row>
    <row r="50">
      <c r="A50" s="114"/>
      <c r="B50" s="114"/>
      <c r="C50" s="133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</row>
    <row r="51">
      <c r="A51" s="114"/>
      <c r="B51" s="114"/>
      <c r="C51" s="133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</row>
    <row r="52">
      <c r="A52" s="114"/>
      <c r="B52" s="114"/>
      <c r="C52" s="133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</row>
    <row r="53">
      <c r="A53" s="114"/>
      <c r="B53" s="114"/>
      <c r="C53" s="133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</row>
    <row r="54">
      <c r="A54" s="114"/>
      <c r="B54" s="114"/>
      <c r="C54" s="133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</row>
    <row r="55">
      <c r="A55" s="114"/>
      <c r="B55" s="114"/>
      <c r="C55" s="133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</row>
    <row r="56">
      <c r="A56" s="114"/>
      <c r="B56" s="114"/>
      <c r="C56" s="133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</row>
    <row r="57">
      <c r="A57" s="114"/>
      <c r="B57" s="114"/>
      <c r="C57" s="133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</row>
    <row r="58">
      <c r="A58" s="114"/>
      <c r="B58" s="114"/>
      <c r="C58" s="133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</row>
    <row r="59">
      <c r="A59" s="114"/>
      <c r="B59" s="114"/>
      <c r="C59" s="133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</row>
    <row r="60">
      <c r="A60" s="114"/>
      <c r="B60" s="114"/>
      <c r="C60" s="133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</row>
    <row r="61">
      <c r="A61" s="114"/>
      <c r="B61" s="114"/>
      <c r="C61" s="133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</row>
    <row r="62">
      <c r="A62" s="114"/>
      <c r="B62" s="114"/>
      <c r="C62" s="133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</row>
    <row r="63">
      <c r="A63" s="114"/>
      <c r="B63" s="114"/>
      <c r="C63" s="133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</row>
    <row r="64">
      <c r="A64" s="114"/>
      <c r="B64" s="114"/>
      <c r="C64" s="133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</row>
    <row r="65">
      <c r="A65" s="114"/>
      <c r="B65" s="114"/>
      <c r="C65" s="133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</row>
    <row r="66">
      <c r="A66" s="114"/>
      <c r="B66" s="114"/>
      <c r="C66" s="133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</row>
    <row r="67">
      <c r="A67" s="114"/>
      <c r="B67" s="114"/>
      <c r="C67" s="133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</row>
    <row r="68">
      <c r="A68" s="114"/>
      <c r="B68" s="114"/>
      <c r="C68" s="133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</row>
    <row r="69">
      <c r="A69" s="114"/>
      <c r="B69" s="114"/>
      <c r="C69" s="133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</row>
    <row r="70">
      <c r="A70" s="114"/>
      <c r="B70" s="114"/>
      <c r="C70" s="133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</row>
    <row r="71">
      <c r="A71" s="114"/>
      <c r="B71" s="114"/>
      <c r="C71" s="133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</row>
    <row r="72">
      <c r="A72" s="114"/>
      <c r="B72" s="114"/>
      <c r="C72" s="133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</row>
    <row r="73">
      <c r="A73" s="114"/>
      <c r="B73" s="114"/>
      <c r="C73" s="133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</row>
    <row r="74">
      <c r="A74" s="114"/>
      <c r="B74" s="114"/>
      <c r="C74" s="133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</row>
    <row r="75">
      <c r="A75" s="114"/>
      <c r="B75" s="114"/>
      <c r="C75" s="133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</row>
    <row r="76">
      <c r="A76" s="114"/>
      <c r="B76" s="114"/>
      <c r="C76" s="133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</row>
    <row r="77">
      <c r="A77" s="114"/>
      <c r="B77" s="114"/>
      <c r="C77" s="133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</row>
    <row r="78">
      <c r="A78" s="114"/>
      <c r="B78" s="114"/>
      <c r="C78" s="133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</row>
    <row r="79">
      <c r="A79" s="114"/>
      <c r="B79" s="114"/>
      <c r="C79" s="133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</row>
    <row r="80">
      <c r="A80" s="114"/>
      <c r="B80" s="114"/>
      <c r="C80" s="133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</row>
    <row r="81">
      <c r="A81" s="114"/>
      <c r="B81" s="114"/>
      <c r="C81" s="133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</row>
    <row r="82">
      <c r="A82" s="114"/>
      <c r="B82" s="114"/>
      <c r="C82" s="133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</row>
    <row r="83">
      <c r="A83" s="114"/>
      <c r="B83" s="114"/>
      <c r="C83" s="133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</row>
    <row r="84">
      <c r="A84" s="114"/>
      <c r="B84" s="114"/>
      <c r="C84" s="133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</row>
    <row r="85">
      <c r="A85" s="114"/>
      <c r="B85" s="114"/>
      <c r="C85" s="133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</row>
    <row r="86">
      <c r="A86" s="114"/>
      <c r="B86" s="114"/>
      <c r="C86" s="133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</row>
    <row r="87">
      <c r="A87" s="114"/>
      <c r="B87" s="114"/>
      <c r="C87" s="133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</row>
    <row r="88">
      <c r="A88" s="114"/>
      <c r="B88" s="114"/>
      <c r="C88" s="133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</row>
    <row r="89">
      <c r="A89" s="114"/>
      <c r="B89" s="114"/>
      <c r="C89" s="133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</row>
    <row r="90">
      <c r="A90" s="114"/>
      <c r="B90" s="114"/>
      <c r="C90" s="133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</row>
    <row r="91">
      <c r="A91" s="114"/>
      <c r="B91" s="114"/>
      <c r="C91" s="133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</row>
    <row r="92">
      <c r="A92" s="114"/>
      <c r="B92" s="114"/>
      <c r="C92" s="133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</row>
    <row r="93">
      <c r="A93" s="114"/>
      <c r="B93" s="114"/>
      <c r="C93" s="133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</row>
    <row r="94">
      <c r="A94" s="114"/>
      <c r="B94" s="114"/>
      <c r="C94" s="133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</row>
    <row r="95">
      <c r="A95" s="114"/>
      <c r="B95" s="114"/>
      <c r="C95" s="133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</row>
    <row r="96">
      <c r="A96" s="114"/>
      <c r="B96" s="114"/>
      <c r="C96" s="133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</row>
    <row r="97">
      <c r="A97" s="114"/>
      <c r="B97" s="114"/>
      <c r="C97" s="133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</row>
    <row r="98">
      <c r="A98" s="114"/>
      <c r="B98" s="114"/>
      <c r="C98" s="133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</row>
    <row r="99">
      <c r="A99" s="114"/>
      <c r="B99" s="114"/>
      <c r="C99" s="133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</row>
    <row r="100">
      <c r="A100" s="114"/>
      <c r="B100" s="114"/>
      <c r="C100" s="133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29" t="s">
        <v>273</v>
      </c>
      <c r="B1" s="29" t="s">
        <v>274</v>
      </c>
      <c r="C1" s="29" t="s">
        <v>275</v>
      </c>
      <c r="D1" s="160"/>
      <c r="E1" s="29" t="s">
        <v>279</v>
      </c>
      <c r="F1" s="29" t="s">
        <v>280</v>
      </c>
      <c r="G1" s="160"/>
      <c r="H1" s="29" t="s">
        <v>281</v>
      </c>
      <c r="I1" s="29" t="s">
        <v>282</v>
      </c>
      <c r="J1" s="29">
        <v>2011.0</v>
      </c>
      <c r="K1" s="160"/>
      <c r="L1" s="29" t="s">
        <v>283</v>
      </c>
      <c r="M1" s="96" t="s">
        <v>284</v>
      </c>
      <c r="N1" s="96" t="s">
        <v>285</v>
      </c>
      <c r="O1" s="161"/>
      <c r="P1" s="29" t="s">
        <v>286</v>
      </c>
      <c r="Q1" s="162"/>
      <c r="R1" s="162"/>
      <c r="S1" s="162"/>
      <c r="T1" s="20"/>
      <c r="U1" s="161"/>
      <c r="V1" s="95" t="s">
        <v>287</v>
      </c>
      <c r="W1" s="95" t="s">
        <v>288</v>
      </c>
      <c r="X1" s="95" t="s">
        <v>289</v>
      </c>
    </row>
    <row r="2">
      <c r="A2" s="8"/>
      <c r="B2" s="20"/>
      <c r="C2" s="20"/>
      <c r="D2" s="160"/>
      <c r="E2" s="29" t="s">
        <v>290</v>
      </c>
      <c r="F2" s="29" t="s">
        <v>291</v>
      </c>
      <c r="G2" s="160"/>
      <c r="H2" s="8"/>
      <c r="I2" s="8"/>
      <c r="J2" s="8"/>
      <c r="K2" s="163"/>
      <c r="L2" s="8"/>
      <c r="M2" s="14"/>
      <c r="N2" s="14"/>
      <c r="O2" s="164"/>
      <c r="P2" s="7"/>
      <c r="Q2" s="29" t="s">
        <v>292</v>
      </c>
      <c r="R2" s="29" t="s">
        <v>293</v>
      </c>
      <c r="S2" s="29" t="s">
        <v>294</v>
      </c>
      <c r="T2" s="29" t="s">
        <v>295</v>
      </c>
      <c r="U2" s="164"/>
      <c r="V2" s="12"/>
      <c r="W2" s="12"/>
      <c r="X2" s="12"/>
    </row>
    <row r="3">
      <c r="A3" s="25" t="s">
        <v>296</v>
      </c>
      <c r="B3" s="29">
        <v>5.7</v>
      </c>
      <c r="C3" s="29">
        <v>16.2</v>
      </c>
      <c r="D3" s="160"/>
      <c r="E3" s="25" t="s">
        <v>297</v>
      </c>
      <c r="F3" s="25">
        <v>52.87</v>
      </c>
      <c r="G3" s="160"/>
      <c r="H3" s="25" t="s">
        <v>298</v>
      </c>
      <c r="I3" s="25">
        <v>20.46</v>
      </c>
      <c r="J3" s="25">
        <v>19.85</v>
      </c>
      <c r="K3" s="163"/>
      <c r="L3" s="25" t="s">
        <v>299</v>
      </c>
      <c r="M3" s="165">
        <v>407.0</v>
      </c>
      <c r="N3" s="165">
        <v>425.0</v>
      </c>
      <c r="O3" s="164"/>
      <c r="P3" s="25" t="s">
        <v>300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106" t="s">
        <v>302</v>
      </c>
      <c r="W3" s="106" t="s">
        <v>303</v>
      </c>
      <c r="X3" s="128" t="s">
        <v>304</v>
      </c>
    </row>
    <row r="4">
      <c r="A4" s="25" t="s">
        <v>285</v>
      </c>
      <c r="B4" s="25">
        <v>38.9</v>
      </c>
      <c r="C4" s="25">
        <v>86.4</v>
      </c>
      <c r="D4" s="163"/>
      <c r="E4" s="25" t="s">
        <v>306</v>
      </c>
      <c r="F4" s="25">
        <v>50.96</v>
      </c>
      <c r="G4" s="163"/>
      <c r="H4" s="25" t="s">
        <v>307</v>
      </c>
      <c r="I4" s="25">
        <v>12.56</v>
      </c>
      <c r="J4" s="25">
        <v>11.77</v>
      </c>
      <c r="K4" s="163"/>
      <c r="L4" s="25" t="s">
        <v>308</v>
      </c>
      <c r="M4" s="165">
        <v>248.0</v>
      </c>
      <c r="N4" s="165">
        <v>219.0</v>
      </c>
      <c r="O4" s="164"/>
      <c r="P4" s="25" t="s">
        <v>309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12"/>
      <c r="W4" s="106" t="s">
        <v>311</v>
      </c>
      <c r="X4" s="113" t="s">
        <v>313</v>
      </c>
    </row>
    <row r="5">
      <c r="A5" s="25" t="s">
        <v>284</v>
      </c>
      <c r="B5" s="25">
        <v>46.3</v>
      </c>
      <c r="C5" s="25">
        <v>78.2</v>
      </c>
      <c r="D5" s="163"/>
      <c r="E5" s="25" t="s">
        <v>316</v>
      </c>
      <c r="F5" s="25">
        <v>48.35</v>
      </c>
      <c r="G5" s="163"/>
      <c r="H5" s="25" t="s">
        <v>317</v>
      </c>
      <c r="I5" s="25">
        <v>13.59</v>
      </c>
      <c r="J5" s="25">
        <v>13.41</v>
      </c>
      <c r="K5" s="163"/>
      <c r="L5" s="25" t="s">
        <v>318</v>
      </c>
      <c r="M5" s="165">
        <v>254.0</v>
      </c>
      <c r="N5" s="165">
        <v>220.0</v>
      </c>
      <c r="O5" s="164"/>
      <c r="P5" s="25" t="s">
        <v>319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12"/>
      <c r="W5" s="12"/>
      <c r="X5" s="12"/>
    </row>
    <row r="6">
      <c r="A6" s="25" t="s">
        <v>320</v>
      </c>
      <c r="B6" s="25">
        <v>2.4</v>
      </c>
      <c r="C6" s="25">
        <v>7.9</v>
      </c>
      <c r="D6" s="163"/>
      <c r="E6" s="25">
        <v>2009.0</v>
      </c>
      <c r="F6" s="25">
        <v>45.5</v>
      </c>
      <c r="G6" s="163"/>
      <c r="H6" s="25" t="s">
        <v>321</v>
      </c>
      <c r="I6" s="25">
        <v>2.15</v>
      </c>
      <c r="J6" s="25">
        <v>2.14</v>
      </c>
      <c r="K6" s="163"/>
      <c r="L6" s="25" t="s">
        <v>322</v>
      </c>
      <c r="M6" s="165">
        <v>274.0</v>
      </c>
      <c r="N6" s="165">
        <v>166.0</v>
      </c>
      <c r="O6" s="164"/>
      <c r="P6" s="25" t="s">
        <v>323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12"/>
      <c r="W6" s="12"/>
      <c r="X6" s="12"/>
    </row>
    <row r="7">
      <c r="A7" s="25" t="s">
        <v>324</v>
      </c>
      <c r="B7" s="25">
        <v>11.9</v>
      </c>
      <c r="C7" s="25">
        <v>151.1</v>
      </c>
      <c r="D7" s="163"/>
      <c r="E7" s="25" t="s">
        <v>325</v>
      </c>
      <c r="F7" s="25">
        <v>43.2</v>
      </c>
      <c r="G7" s="163"/>
      <c r="H7" s="25" t="s">
        <v>326</v>
      </c>
      <c r="I7" s="25">
        <v>4.11</v>
      </c>
      <c r="J7" s="25">
        <v>3.79</v>
      </c>
      <c r="K7" s="163"/>
      <c r="L7" s="25" t="s">
        <v>327</v>
      </c>
      <c r="M7" s="165">
        <v>95.0</v>
      </c>
      <c r="N7" s="165">
        <v>43.0</v>
      </c>
      <c r="O7" s="164"/>
      <c r="P7" s="25" t="s">
        <v>328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12"/>
      <c r="W7" s="12"/>
      <c r="X7" s="12"/>
    </row>
    <row r="8">
      <c r="A8" s="25" t="s">
        <v>329</v>
      </c>
      <c r="B8" s="25">
        <v>0.7</v>
      </c>
      <c r="C8" s="25">
        <v>8.61</v>
      </c>
      <c r="D8" s="163"/>
      <c r="E8" s="25" t="s">
        <v>330</v>
      </c>
      <c r="F8" s="25">
        <v>41.2</v>
      </c>
      <c r="G8" s="163"/>
      <c r="H8" s="8"/>
      <c r="I8" s="8"/>
      <c r="J8" s="8"/>
      <c r="K8" s="163"/>
      <c r="L8" s="25" t="s">
        <v>331</v>
      </c>
      <c r="M8" s="165">
        <v>78.0</v>
      </c>
      <c r="N8" s="165">
        <v>48.0</v>
      </c>
      <c r="O8" s="164"/>
      <c r="P8" s="8"/>
      <c r="Q8" s="8"/>
      <c r="R8" s="8"/>
      <c r="S8" s="8"/>
      <c r="T8" s="8"/>
      <c r="U8" s="164"/>
      <c r="V8" s="12"/>
      <c r="W8" s="12"/>
      <c r="X8" s="12"/>
    </row>
    <row r="9">
      <c r="A9" s="25" t="s">
        <v>332</v>
      </c>
      <c r="B9" s="25">
        <v>4.6</v>
      </c>
      <c r="C9" s="25">
        <v>13.0</v>
      </c>
      <c r="D9" s="163"/>
      <c r="E9" s="25" t="s">
        <v>333</v>
      </c>
      <c r="F9" s="25">
        <v>38.5</v>
      </c>
      <c r="G9" s="163"/>
      <c r="H9" s="8"/>
      <c r="I9" s="8"/>
      <c r="J9" s="8"/>
      <c r="K9" s="163"/>
      <c r="L9" s="25" t="s">
        <v>334</v>
      </c>
      <c r="M9" s="165">
        <v>73.0</v>
      </c>
      <c r="N9" s="165">
        <v>34.0</v>
      </c>
      <c r="O9" s="164"/>
      <c r="P9" s="8"/>
      <c r="Q9" s="8"/>
      <c r="R9" s="8"/>
      <c r="S9" s="8"/>
      <c r="T9" s="8"/>
      <c r="U9" s="164"/>
      <c r="V9" s="12"/>
      <c r="W9" s="12"/>
      <c r="X9" s="12"/>
    </row>
    <row r="10">
      <c r="A10" s="25" t="s">
        <v>335</v>
      </c>
      <c r="B10" s="25">
        <v>5.0</v>
      </c>
      <c r="C10" s="25">
        <v>16.0</v>
      </c>
      <c r="D10" s="163"/>
      <c r="E10" s="25" t="s">
        <v>336</v>
      </c>
      <c r="F10" s="25">
        <v>36.3</v>
      </c>
      <c r="G10" s="163"/>
      <c r="H10" s="8"/>
      <c r="I10" s="8"/>
      <c r="J10" s="8"/>
      <c r="K10" s="163"/>
      <c r="L10" s="25" t="s">
        <v>337</v>
      </c>
      <c r="M10" s="165">
        <v>70.0</v>
      </c>
      <c r="N10" s="165">
        <v>41.0</v>
      </c>
      <c r="O10" s="164"/>
      <c r="P10" s="8"/>
      <c r="Q10" s="8"/>
      <c r="R10" s="8"/>
      <c r="S10" s="8"/>
      <c r="T10" s="8"/>
      <c r="U10" s="164"/>
      <c r="V10" s="12"/>
      <c r="W10" s="12"/>
      <c r="X10" s="12"/>
    </row>
    <row r="11">
      <c r="A11" s="8"/>
      <c r="B11" s="8"/>
      <c r="C11" s="8"/>
      <c r="D11" s="163"/>
      <c r="E11" s="25" t="s">
        <v>338</v>
      </c>
      <c r="F11" s="25">
        <v>34.4</v>
      </c>
      <c r="G11" s="163"/>
      <c r="H11" s="8"/>
      <c r="I11" s="8"/>
      <c r="J11" s="8"/>
      <c r="K11" s="163"/>
      <c r="L11" s="25" t="s">
        <v>339</v>
      </c>
      <c r="M11" s="165">
        <v>43.0</v>
      </c>
      <c r="N11" s="165">
        <v>21.0</v>
      </c>
      <c r="O11" s="164"/>
      <c r="P11" s="8"/>
      <c r="Q11" s="8"/>
      <c r="R11" s="8"/>
      <c r="S11" s="8"/>
      <c r="T11" s="8"/>
      <c r="U11" s="164"/>
      <c r="V11" s="12"/>
      <c r="W11" s="12"/>
      <c r="X11" s="12"/>
    </row>
    <row r="12">
      <c r="A12" s="20"/>
      <c r="B12" s="8"/>
      <c r="C12" s="8"/>
      <c r="D12" s="163"/>
      <c r="E12" s="25" t="s">
        <v>342</v>
      </c>
      <c r="F12" s="25">
        <v>32.4</v>
      </c>
      <c r="G12" s="163"/>
      <c r="H12" s="8"/>
      <c r="I12" s="8"/>
      <c r="J12" s="8"/>
      <c r="K12" s="163"/>
      <c r="L12" s="29" t="s">
        <v>343</v>
      </c>
      <c r="M12" s="168">
        <f t="shared" ref="M12:N12" si="1">sum(M3:M11)</f>
        <v>1542</v>
      </c>
      <c r="N12" s="168">
        <f t="shared" si="1"/>
        <v>1217</v>
      </c>
      <c r="O12" s="164"/>
      <c r="P12" s="8"/>
      <c r="Q12" s="8"/>
      <c r="R12" s="8"/>
      <c r="S12" s="8"/>
      <c r="T12" s="8"/>
      <c r="U12" s="164"/>
      <c r="V12" s="12"/>
      <c r="W12" s="12"/>
      <c r="X12" s="12"/>
    </row>
    <row r="13">
      <c r="A13" s="20"/>
      <c r="B13" s="8"/>
      <c r="C13" s="8"/>
      <c r="D13" s="163"/>
      <c r="E13" s="25" t="s">
        <v>344</v>
      </c>
      <c r="F13" s="25">
        <v>29.5</v>
      </c>
      <c r="G13" s="163"/>
      <c r="H13" s="8"/>
      <c r="I13" s="8"/>
      <c r="J13" s="8"/>
      <c r="K13" s="163"/>
      <c r="L13" s="8"/>
      <c r="M13" s="14"/>
      <c r="N13" s="14"/>
      <c r="O13" s="164"/>
      <c r="P13" s="8"/>
      <c r="Q13" s="8"/>
      <c r="R13" s="8"/>
      <c r="S13" s="8"/>
      <c r="T13" s="8"/>
      <c r="U13" s="164"/>
      <c r="V13" s="12"/>
      <c r="W13" s="12"/>
      <c r="X13" s="12"/>
    </row>
    <row r="14">
      <c r="A14" s="20"/>
      <c r="B14" s="8"/>
      <c r="C14" s="8"/>
      <c r="D14" s="163"/>
      <c r="E14" s="25" t="s">
        <v>345</v>
      </c>
      <c r="F14" s="25">
        <v>28.5</v>
      </c>
      <c r="G14" s="163"/>
      <c r="H14" s="8"/>
      <c r="I14" s="8"/>
      <c r="J14" s="8"/>
      <c r="K14" s="163"/>
      <c r="L14" s="8"/>
      <c r="M14" s="14"/>
      <c r="N14" s="14"/>
      <c r="O14" s="164"/>
      <c r="P14" s="8"/>
      <c r="Q14" s="8"/>
      <c r="R14" s="8"/>
      <c r="S14" s="8"/>
      <c r="T14" s="8"/>
      <c r="U14" s="164"/>
      <c r="V14" s="12"/>
      <c r="W14" s="12"/>
      <c r="X14" s="12"/>
    </row>
    <row r="15">
      <c r="A15" s="20"/>
      <c r="B15" s="8"/>
      <c r="C15" s="8"/>
      <c r="D15" s="163"/>
      <c r="E15" s="25" t="s">
        <v>346</v>
      </c>
      <c r="F15" s="25">
        <v>23.0</v>
      </c>
      <c r="G15" s="163"/>
      <c r="H15" s="8"/>
      <c r="I15" s="8"/>
      <c r="J15" s="8"/>
      <c r="K15" s="163"/>
      <c r="L15" s="8"/>
      <c r="M15" s="14"/>
      <c r="N15" s="14"/>
      <c r="O15" s="164"/>
      <c r="P15" s="8"/>
      <c r="Q15" s="8"/>
      <c r="R15" s="8"/>
      <c r="S15" s="8"/>
      <c r="T15" s="8"/>
      <c r="U15" s="164"/>
      <c r="V15" s="12"/>
      <c r="W15" s="12"/>
      <c r="X15" s="12"/>
    </row>
    <row r="16">
      <c r="A16" s="20"/>
      <c r="B16" s="8"/>
      <c r="C16" s="8"/>
      <c r="D16" s="163"/>
      <c r="E16" s="25" t="s">
        <v>347</v>
      </c>
      <c r="F16" s="25">
        <v>21.0</v>
      </c>
      <c r="G16" s="163"/>
      <c r="H16" s="8"/>
      <c r="I16" s="8"/>
      <c r="J16" s="8"/>
      <c r="K16" s="163"/>
      <c r="L16" s="8"/>
      <c r="M16" s="14"/>
      <c r="N16" s="14"/>
      <c r="O16" s="164"/>
      <c r="P16" s="8"/>
      <c r="Q16" s="8"/>
      <c r="R16" s="8"/>
      <c r="S16" s="8"/>
      <c r="T16" s="8"/>
      <c r="U16" s="164"/>
      <c r="V16" s="12"/>
      <c r="W16" s="12"/>
      <c r="X16" s="12"/>
    </row>
    <row r="17">
      <c r="A17" s="20"/>
      <c r="B17" s="8"/>
      <c r="C17" s="8"/>
      <c r="D17" s="163"/>
      <c r="E17" s="25" t="s">
        <v>348</v>
      </c>
      <c r="F17" s="25">
        <v>17.0</v>
      </c>
      <c r="G17" s="163"/>
      <c r="H17" s="8"/>
      <c r="I17" s="8"/>
      <c r="J17" s="8"/>
      <c r="K17" s="163"/>
      <c r="L17" s="8"/>
      <c r="M17" s="14"/>
      <c r="N17" s="14"/>
      <c r="O17" s="164"/>
      <c r="P17" s="8"/>
      <c r="Q17" s="8"/>
      <c r="R17" s="8"/>
      <c r="S17" s="8"/>
      <c r="T17" s="8"/>
      <c r="U17" s="164"/>
      <c r="V17" s="12"/>
      <c r="W17" s="12"/>
      <c r="X17" s="12"/>
    </row>
    <row r="18">
      <c r="A18" s="20"/>
      <c r="B18" s="8"/>
      <c r="C18" s="8"/>
      <c r="D18" s="163"/>
      <c r="E18" s="8"/>
      <c r="F18" s="8"/>
      <c r="G18" s="163"/>
      <c r="H18" s="8"/>
      <c r="I18" s="8"/>
      <c r="J18" s="8"/>
      <c r="K18" s="163"/>
      <c r="L18" s="8"/>
      <c r="M18" s="14"/>
      <c r="N18" s="14"/>
      <c r="O18" s="164"/>
      <c r="P18" s="8"/>
      <c r="Q18" s="8"/>
      <c r="R18" s="8"/>
      <c r="S18" s="8"/>
      <c r="T18" s="8"/>
      <c r="U18" s="164"/>
      <c r="V18" s="12"/>
      <c r="W18" s="12"/>
      <c r="X18" s="12"/>
    </row>
    <row r="19">
      <c r="A19" s="20"/>
      <c r="B19" s="8"/>
      <c r="C19" s="8"/>
      <c r="D19" s="163"/>
      <c r="E19" s="8"/>
      <c r="F19" s="8"/>
      <c r="G19" s="163"/>
      <c r="H19" s="8"/>
      <c r="I19" s="8"/>
      <c r="J19" s="8"/>
      <c r="K19" s="163"/>
      <c r="L19" s="8"/>
      <c r="M19" s="14"/>
      <c r="N19" s="14"/>
      <c r="O19" s="164"/>
      <c r="P19" s="8"/>
      <c r="Q19" s="8"/>
      <c r="R19" s="8"/>
      <c r="S19" s="8"/>
      <c r="T19" s="8"/>
      <c r="U19" s="164"/>
      <c r="V19" s="12"/>
      <c r="W19" s="12"/>
      <c r="X19" s="12"/>
    </row>
    <row r="20">
      <c r="A20" s="20"/>
      <c r="B20" s="8"/>
      <c r="C20" s="8"/>
      <c r="D20" s="163"/>
      <c r="E20" s="8"/>
      <c r="F20" s="8"/>
      <c r="G20" s="163"/>
      <c r="H20" s="8"/>
      <c r="I20" s="8"/>
      <c r="J20" s="8"/>
      <c r="K20" s="163"/>
      <c r="L20" s="8"/>
      <c r="M20" s="14"/>
      <c r="N20" s="14"/>
      <c r="O20" s="164"/>
      <c r="P20" s="8"/>
      <c r="Q20" s="8"/>
      <c r="R20" s="8"/>
      <c r="S20" s="8"/>
      <c r="T20" s="8"/>
      <c r="U20" s="164"/>
      <c r="V20" s="12"/>
      <c r="W20" s="12"/>
      <c r="X20" s="12"/>
    </row>
    <row r="21">
      <c r="A21" s="20"/>
      <c r="B21" s="8"/>
      <c r="C21" s="8"/>
      <c r="D21" s="163"/>
      <c r="E21" s="8"/>
      <c r="F21" s="8"/>
      <c r="G21" s="163"/>
      <c r="H21" s="8"/>
      <c r="I21" s="8"/>
      <c r="J21" s="8"/>
      <c r="K21" s="163"/>
      <c r="L21" s="8"/>
      <c r="M21" s="14"/>
      <c r="N21" s="14"/>
      <c r="O21" s="164"/>
      <c r="P21" s="8"/>
      <c r="Q21" s="8"/>
      <c r="R21" s="8"/>
      <c r="S21" s="8"/>
      <c r="T21" s="8"/>
      <c r="U21" s="164"/>
      <c r="V21" s="12"/>
      <c r="W21" s="12"/>
      <c r="X21" s="12"/>
    </row>
    <row r="22">
      <c r="A22" s="20"/>
      <c r="B22" s="8"/>
      <c r="C22" s="8"/>
      <c r="D22" s="163"/>
      <c r="E22" s="8"/>
      <c r="F22" s="8"/>
      <c r="G22" s="163"/>
      <c r="H22" s="8"/>
      <c r="I22" s="8"/>
      <c r="J22" s="8"/>
      <c r="K22" s="163"/>
      <c r="L22" s="8"/>
      <c r="M22" s="14"/>
      <c r="N22" s="14"/>
      <c r="O22" s="164"/>
      <c r="P22" s="8"/>
      <c r="Q22" s="8"/>
      <c r="R22" s="8"/>
      <c r="S22" s="8"/>
      <c r="T22" s="8"/>
      <c r="U22" s="164"/>
      <c r="V22" s="12"/>
      <c r="W22" s="12"/>
      <c r="X22" s="12"/>
    </row>
    <row r="23">
      <c r="A23" s="20"/>
      <c r="B23" s="8"/>
      <c r="C23" s="8"/>
      <c r="D23" s="163"/>
      <c r="E23" s="8"/>
      <c r="F23" s="8"/>
      <c r="G23" s="163"/>
      <c r="H23" s="8"/>
      <c r="I23" s="8"/>
      <c r="J23" s="8"/>
      <c r="K23" s="163"/>
      <c r="L23" s="8"/>
      <c r="M23" s="14"/>
      <c r="N23" s="14"/>
      <c r="O23" s="164"/>
      <c r="P23" s="8"/>
      <c r="Q23" s="8"/>
      <c r="R23" s="8"/>
      <c r="S23" s="8"/>
      <c r="T23" s="8"/>
      <c r="U23" s="164"/>
      <c r="V23" s="12"/>
      <c r="W23" s="12"/>
      <c r="X23" s="12"/>
    </row>
    <row r="24">
      <c r="A24" s="20"/>
      <c r="B24" s="8"/>
      <c r="C24" s="8"/>
      <c r="D24" s="163"/>
      <c r="E24" s="8"/>
      <c r="F24" s="8"/>
      <c r="G24" s="163"/>
      <c r="H24" s="8"/>
      <c r="I24" s="8"/>
      <c r="J24" s="8"/>
      <c r="K24" s="163"/>
      <c r="L24" s="8"/>
      <c r="M24" s="14"/>
      <c r="N24" s="14"/>
      <c r="O24" s="164"/>
      <c r="P24" s="8"/>
      <c r="Q24" s="8"/>
      <c r="R24" s="8"/>
      <c r="S24" s="8"/>
      <c r="T24" s="8"/>
      <c r="U24" s="164"/>
      <c r="V24" s="12"/>
      <c r="W24" s="12"/>
      <c r="X24" s="12"/>
    </row>
    <row r="25">
      <c r="A25" s="20"/>
      <c r="B25" s="8"/>
      <c r="C25" s="8"/>
      <c r="D25" s="163"/>
      <c r="E25" s="8"/>
      <c r="F25" s="8"/>
      <c r="G25" s="163"/>
      <c r="H25" s="8"/>
      <c r="I25" s="8"/>
      <c r="J25" s="8"/>
      <c r="K25" s="163"/>
      <c r="L25" s="8"/>
      <c r="M25" s="14"/>
      <c r="N25" s="14"/>
      <c r="O25" s="164"/>
      <c r="P25" s="8"/>
      <c r="Q25" s="8"/>
      <c r="R25" s="8"/>
      <c r="S25" s="8"/>
      <c r="T25" s="8"/>
      <c r="U25" s="164"/>
      <c r="V25" s="12"/>
      <c r="W25" s="12"/>
      <c r="X25" s="12"/>
    </row>
    <row r="26">
      <c r="A26" s="20"/>
      <c r="B26" s="8"/>
      <c r="C26" s="8"/>
      <c r="D26" s="163"/>
      <c r="E26" s="8"/>
      <c r="F26" s="8"/>
      <c r="G26" s="163"/>
      <c r="H26" s="8"/>
      <c r="I26" s="8"/>
      <c r="J26" s="8"/>
      <c r="K26" s="163"/>
      <c r="L26" s="8"/>
      <c r="M26" s="14"/>
      <c r="N26" s="14"/>
      <c r="O26" s="164"/>
      <c r="P26" s="8"/>
      <c r="Q26" s="8"/>
      <c r="R26" s="8"/>
      <c r="S26" s="8"/>
      <c r="T26" s="8"/>
      <c r="U26" s="164"/>
      <c r="V26" s="12"/>
      <c r="W26" s="12"/>
      <c r="X26" s="12"/>
    </row>
    <row r="27">
      <c r="A27" s="20"/>
      <c r="B27" s="8"/>
      <c r="C27" s="8"/>
      <c r="D27" s="163"/>
      <c r="E27" s="8"/>
      <c r="F27" s="8"/>
      <c r="G27" s="163"/>
      <c r="H27" s="8"/>
      <c r="I27" s="8"/>
      <c r="J27" s="8"/>
      <c r="K27" s="163"/>
      <c r="L27" s="8"/>
      <c r="M27" s="14"/>
      <c r="N27" s="14"/>
      <c r="O27" s="164"/>
      <c r="P27" s="8"/>
      <c r="Q27" s="8"/>
      <c r="R27" s="8"/>
      <c r="S27" s="8"/>
      <c r="T27" s="8"/>
      <c r="U27" s="164"/>
      <c r="V27" s="12"/>
      <c r="W27" s="12"/>
      <c r="X27" s="12"/>
    </row>
    <row r="28">
      <c r="A28" s="20"/>
      <c r="B28" s="8"/>
      <c r="C28" s="8"/>
      <c r="D28" s="163"/>
      <c r="E28" s="8"/>
      <c r="F28" s="8"/>
      <c r="G28" s="163"/>
      <c r="H28" s="8"/>
      <c r="I28" s="8"/>
      <c r="J28" s="8"/>
      <c r="K28" s="163"/>
      <c r="L28" s="8"/>
      <c r="M28" s="14"/>
      <c r="N28" s="14"/>
      <c r="O28" s="164"/>
      <c r="P28" s="8"/>
      <c r="Q28" s="8"/>
      <c r="R28" s="8"/>
      <c r="S28" s="8"/>
      <c r="T28" s="8"/>
      <c r="U28" s="164"/>
      <c r="V28" s="12"/>
      <c r="W28" s="12"/>
      <c r="X28" s="12"/>
    </row>
    <row r="29">
      <c r="A29" s="20"/>
      <c r="B29" s="8"/>
      <c r="C29" s="8"/>
      <c r="D29" s="163"/>
      <c r="E29" s="8"/>
      <c r="F29" s="8"/>
      <c r="G29" s="163"/>
      <c r="H29" s="8"/>
      <c r="I29" s="8"/>
      <c r="J29" s="8"/>
      <c r="K29" s="163"/>
      <c r="L29" s="8"/>
      <c r="M29" s="14"/>
      <c r="N29" s="14"/>
      <c r="O29" s="164"/>
      <c r="P29" s="8"/>
      <c r="Q29" s="8"/>
      <c r="R29" s="8"/>
      <c r="S29" s="8"/>
      <c r="T29" s="8"/>
      <c r="U29" s="164"/>
      <c r="V29" s="12"/>
      <c r="W29" s="12"/>
      <c r="X29" s="12"/>
    </row>
    <row r="30">
      <c r="A30" s="20"/>
      <c r="B30" s="8"/>
      <c r="C30" s="8"/>
      <c r="D30" s="163"/>
      <c r="E30" s="8"/>
      <c r="F30" s="8"/>
      <c r="G30" s="163"/>
      <c r="H30" s="8"/>
      <c r="I30" s="8"/>
      <c r="J30" s="8"/>
      <c r="K30" s="163"/>
      <c r="L30" s="8"/>
      <c r="M30" s="14"/>
      <c r="N30" s="14"/>
      <c r="O30" s="164"/>
      <c r="P30" s="8"/>
      <c r="Q30" s="8"/>
      <c r="R30" s="8"/>
      <c r="S30" s="8"/>
      <c r="T30" s="8"/>
      <c r="U30" s="164"/>
      <c r="V30" s="12"/>
      <c r="W30" s="12"/>
      <c r="X30" s="12"/>
    </row>
    <row r="31">
      <c r="A31" s="20"/>
      <c r="B31" s="8"/>
      <c r="C31" s="8"/>
      <c r="D31" s="163"/>
      <c r="E31" s="8"/>
      <c r="F31" s="8"/>
      <c r="G31" s="163"/>
      <c r="H31" s="8"/>
      <c r="I31" s="8"/>
      <c r="J31" s="8"/>
      <c r="K31" s="163"/>
      <c r="L31" s="8"/>
      <c r="M31" s="14"/>
      <c r="N31" s="14"/>
      <c r="O31" s="164"/>
      <c r="P31" s="8"/>
      <c r="Q31" s="8"/>
      <c r="R31" s="8"/>
      <c r="S31" s="8"/>
      <c r="T31" s="8"/>
      <c r="U31" s="164"/>
      <c r="V31" s="12"/>
      <c r="W31" s="12"/>
      <c r="X31" s="12"/>
    </row>
    <row r="32">
      <c r="A32" s="20"/>
      <c r="B32" s="8"/>
      <c r="C32" s="8"/>
      <c r="D32" s="163"/>
      <c r="E32" s="8"/>
      <c r="F32" s="8"/>
      <c r="G32" s="163"/>
      <c r="H32" s="8"/>
      <c r="I32" s="8"/>
      <c r="J32" s="8"/>
      <c r="K32" s="163"/>
      <c r="L32" s="8"/>
      <c r="M32" s="14"/>
      <c r="N32" s="14"/>
      <c r="O32" s="164"/>
      <c r="P32" s="8"/>
      <c r="Q32" s="8"/>
      <c r="R32" s="8"/>
      <c r="S32" s="8"/>
      <c r="T32" s="8"/>
      <c r="U32" s="164"/>
      <c r="V32" s="12"/>
      <c r="W32" s="12"/>
      <c r="X32" s="12"/>
    </row>
    <row r="33">
      <c r="A33" s="8"/>
      <c r="B33" s="8"/>
      <c r="C33" s="8"/>
      <c r="D33" s="163"/>
      <c r="E33" s="8"/>
      <c r="F33" s="8"/>
      <c r="G33" s="163"/>
      <c r="H33" s="8"/>
      <c r="I33" s="8"/>
      <c r="J33" s="8"/>
      <c r="K33" s="163"/>
      <c r="L33" s="8"/>
      <c r="M33" s="14"/>
      <c r="N33" s="14"/>
      <c r="O33" s="164"/>
      <c r="P33" s="8"/>
      <c r="Q33" s="8"/>
      <c r="R33" s="8"/>
      <c r="S33" s="8"/>
      <c r="T33" s="8"/>
      <c r="U33" s="164"/>
      <c r="V33" s="12"/>
      <c r="W33" s="12"/>
      <c r="X33" s="12"/>
    </row>
    <row r="34">
      <c r="A34" s="8"/>
      <c r="B34" s="8"/>
      <c r="C34" s="8"/>
      <c r="D34" s="163"/>
      <c r="E34" s="8"/>
      <c r="F34" s="8"/>
      <c r="G34" s="163"/>
      <c r="H34" s="8"/>
      <c r="I34" s="8"/>
      <c r="J34" s="8"/>
      <c r="K34" s="163"/>
      <c r="L34" s="8"/>
      <c r="M34" s="14"/>
      <c r="N34" s="14"/>
      <c r="O34" s="164"/>
      <c r="P34" s="8"/>
      <c r="Q34" s="8"/>
      <c r="R34" s="8"/>
      <c r="S34" s="8"/>
      <c r="T34" s="8"/>
      <c r="U34" s="164"/>
      <c r="V34" s="12"/>
      <c r="W34" s="12"/>
      <c r="X34" s="12"/>
    </row>
    <row r="35">
      <c r="A35" s="8"/>
      <c r="B35" s="8"/>
      <c r="C35" s="8"/>
      <c r="D35" s="163"/>
      <c r="E35" s="8"/>
      <c r="F35" s="8"/>
      <c r="G35" s="163"/>
      <c r="H35" s="8"/>
      <c r="I35" s="8"/>
      <c r="J35" s="8"/>
      <c r="K35" s="163"/>
      <c r="L35" s="8"/>
      <c r="M35" s="14"/>
      <c r="N35" s="14"/>
      <c r="O35" s="164"/>
      <c r="P35" s="8"/>
      <c r="Q35" s="8"/>
      <c r="R35" s="8"/>
      <c r="S35" s="8"/>
      <c r="T35" s="8"/>
      <c r="U35" s="164"/>
      <c r="V35" s="12"/>
      <c r="W35" s="12"/>
      <c r="X35" s="12"/>
    </row>
    <row r="36">
      <c r="A36" s="8"/>
      <c r="B36" s="8"/>
      <c r="C36" s="8"/>
      <c r="D36" s="163"/>
      <c r="E36" s="8"/>
      <c r="F36" s="8"/>
      <c r="G36" s="163"/>
      <c r="H36" s="8"/>
      <c r="I36" s="8"/>
      <c r="J36" s="8"/>
      <c r="K36" s="163"/>
      <c r="L36" s="8"/>
      <c r="M36" s="14"/>
      <c r="N36" s="14"/>
      <c r="O36" s="164"/>
      <c r="P36" s="8"/>
      <c r="Q36" s="8"/>
      <c r="R36" s="8"/>
      <c r="S36" s="8"/>
      <c r="T36" s="8"/>
      <c r="U36" s="164"/>
      <c r="V36" s="12"/>
      <c r="W36" s="12"/>
      <c r="X36" s="12"/>
    </row>
    <row r="37">
      <c r="A37" s="8"/>
      <c r="B37" s="8"/>
      <c r="C37" s="8"/>
      <c r="D37" s="163"/>
      <c r="E37" s="8"/>
      <c r="F37" s="8"/>
      <c r="G37" s="163"/>
      <c r="H37" s="8"/>
      <c r="I37" s="8"/>
      <c r="J37" s="8"/>
      <c r="K37" s="163"/>
      <c r="L37" s="8"/>
      <c r="M37" s="14"/>
      <c r="N37" s="14"/>
      <c r="O37" s="164"/>
      <c r="P37" s="8"/>
      <c r="Q37" s="8"/>
      <c r="R37" s="8"/>
      <c r="S37" s="8"/>
      <c r="T37" s="8"/>
      <c r="U37" s="164"/>
      <c r="V37" s="12"/>
      <c r="W37" s="12"/>
      <c r="X37" s="12"/>
    </row>
    <row r="38">
      <c r="A38" s="8"/>
      <c r="B38" s="8"/>
      <c r="C38" s="8"/>
      <c r="D38" s="163"/>
      <c r="E38" s="8"/>
      <c r="F38" s="8"/>
      <c r="G38" s="163"/>
      <c r="H38" s="8"/>
      <c r="I38" s="8"/>
      <c r="J38" s="8"/>
      <c r="K38" s="163"/>
      <c r="L38" s="8"/>
      <c r="M38" s="14"/>
      <c r="N38" s="14"/>
      <c r="O38" s="164"/>
      <c r="P38" s="8"/>
      <c r="Q38" s="8"/>
      <c r="R38" s="8"/>
      <c r="S38" s="8"/>
      <c r="T38" s="8"/>
      <c r="U38" s="164"/>
      <c r="V38" s="12"/>
      <c r="W38" s="12"/>
      <c r="X38" s="12"/>
    </row>
    <row r="39">
      <c r="A39" s="8"/>
      <c r="B39" s="8"/>
      <c r="C39" s="8"/>
      <c r="D39" s="163"/>
      <c r="E39" s="8"/>
      <c r="F39" s="8"/>
      <c r="G39" s="163"/>
      <c r="H39" s="8"/>
      <c r="I39" s="8"/>
      <c r="J39" s="8"/>
      <c r="K39" s="163"/>
      <c r="L39" s="8"/>
      <c r="M39" s="14"/>
      <c r="N39" s="14"/>
      <c r="O39" s="164"/>
      <c r="P39" s="8"/>
      <c r="Q39" s="8"/>
      <c r="R39" s="8"/>
      <c r="S39" s="8"/>
      <c r="T39" s="8"/>
      <c r="U39" s="164"/>
      <c r="V39" s="12"/>
      <c r="W39" s="12"/>
      <c r="X39" s="12"/>
    </row>
    <row r="40">
      <c r="A40" s="8"/>
      <c r="B40" s="8"/>
      <c r="C40" s="8"/>
      <c r="D40" s="163"/>
      <c r="E40" s="8"/>
      <c r="F40" s="8"/>
      <c r="G40" s="163"/>
      <c r="H40" s="8"/>
      <c r="I40" s="8"/>
      <c r="J40" s="8"/>
      <c r="K40" s="163"/>
      <c r="L40" s="8"/>
      <c r="M40" s="14"/>
      <c r="N40" s="14"/>
      <c r="O40" s="164"/>
      <c r="P40" s="8"/>
      <c r="Q40" s="8"/>
      <c r="R40" s="8"/>
      <c r="S40" s="8"/>
      <c r="T40" s="8"/>
      <c r="U40" s="164"/>
      <c r="V40" s="12"/>
      <c r="W40" s="12"/>
      <c r="X40" s="12"/>
    </row>
    <row r="41">
      <c r="A41" s="8"/>
      <c r="B41" s="8"/>
      <c r="C41" s="8"/>
      <c r="D41" s="163"/>
      <c r="E41" s="8"/>
      <c r="F41" s="8"/>
      <c r="G41" s="163"/>
      <c r="H41" s="8"/>
      <c r="I41" s="8"/>
      <c r="J41" s="8"/>
      <c r="K41" s="163"/>
      <c r="L41" s="8"/>
      <c r="M41" s="14"/>
      <c r="N41" s="14"/>
      <c r="O41" s="164"/>
      <c r="P41" s="8"/>
      <c r="Q41" s="8"/>
      <c r="R41" s="8"/>
      <c r="S41" s="8"/>
      <c r="T41" s="8"/>
      <c r="U41" s="164"/>
      <c r="V41" s="12"/>
      <c r="W41" s="12"/>
      <c r="X41" s="12"/>
    </row>
    <row r="42">
      <c r="A42" s="8"/>
      <c r="B42" s="8"/>
      <c r="C42" s="8"/>
      <c r="D42" s="163"/>
      <c r="E42" s="8"/>
      <c r="F42" s="8"/>
      <c r="G42" s="163"/>
      <c r="H42" s="8"/>
      <c r="I42" s="8"/>
      <c r="J42" s="8"/>
      <c r="K42" s="163"/>
      <c r="L42" s="8"/>
      <c r="M42" s="14"/>
      <c r="N42" s="14"/>
      <c r="O42" s="164"/>
      <c r="P42" s="8"/>
      <c r="Q42" s="8"/>
      <c r="R42" s="8"/>
      <c r="S42" s="8"/>
      <c r="T42" s="8"/>
      <c r="U42" s="164"/>
      <c r="V42" s="12"/>
      <c r="W42" s="12"/>
      <c r="X42" s="12"/>
    </row>
    <row r="43">
      <c r="A43" s="8"/>
      <c r="B43" s="8"/>
      <c r="C43" s="8"/>
      <c r="D43" s="163"/>
      <c r="E43" s="8"/>
      <c r="F43" s="8"/>
      <c r="G43" s="163"/>
      <c r="H43" s="8"/>
      <c r="I43" s="8"/>
      <c r="J43" s="8"/>
      <c r="K43" s="163"/>
      <c r="L43" s="8"/>
      <c r="M43" s="14"/>
      <c r="N43" s="14"/>
      <c r="O43" s="164"/>
      <c r="P43" s="8"/>
      <c r="Q43" s="8"/>
      <c r="R43" s="8"/>
      <c r="S43" s="8"/>
      <c r="T43" s="8"/>
      <c r="U43" s="164"/>
      <c r="V43" s="12"/>
      <c r="W43" s="12"/>
      <c r="X43" s="12"/>
    </row>
    <row r="44">
      <c r="A44" s="8"/>
      <c r="B44" s="8"/>
      <c r="C44" s="8"/>
      <c r="D44" s="163"/>
      <c r="E44" s="8"/>
      <c r="F44" s="8"/>
      <c r="G44" s="163"/>
      <c r="H44" s="8"/>
      <c r="I44" s="8"/>
      <c r="J44" s="8"/>
      <c r="K44" s="163"/>
      <c r="L44" s="8"/>
      <c r="M44" s="14"/>
      <c r="N44" s="14"/>
      <c r="O44" s="164"/>
      <c r="P44" s="8"/>
      <c r="Q44" s="8"/>
      <c r="R44" s="8"/>
      <c r="S44" s="8"/>
      <c r="T44" s="8"/>
      <c r="U44" s="164"/>
      <c r="V44" s="12"/>
      <c r="W44" s="12"/>
      <c r="X44" s="12"/>
    </row>
    <row r="45">
      <c r="A45" s="8"/>
      <c r="B45" s="8"/>
      <c r="C45" s="8"/>
      <c r="D45" s="163"/>
      <c r="E45" s="8"/>
      <c r="F45" s="8"/>
      <c r="G45" s="163"/>
      <c r="H45" s="8"/>
      <c r="I45" s="8"/>
      <c r="J45" s="8"/>
      <c r="K45" s="163"/>
      <c r="L45" s="8"/>
      <c r="M45" s="14"/>
      <c r="N45" s="14"/>
      <c r="O45" s="164"/>
      <c r="P45" s="8"/>
      <c r="Q45" s="8"/>
      <c r="R45" s="8"/>
      <c r="S45" s="8"/>
      <c r="T45" s="8"/>
      <c r="U45" s="164"/>
      <c r="V45" s="12"/>
      <c r="W45" s="12"/>
      <c r="X45" s="12"/>
    </row>
    <row r="46">
      <c r="A46" s="8"/>
      <c r="B46" s="8"/>
      <c r="C46" s="8"/>
      <c r="D46" s="163"/>
      <c r="E46" s="8"/>
      <c r="F46" s="8"/>
      <c r="G46" s="163"/>
      <c r="H46" s="8"/>
      <c r="I46" s="8"/>
      <c r="J46" s="8"/>
      <c r="K46" s="163"/>
      <c r="L46" s="8"/>
      <c r="M46" s="14"/>
      <c r="N46" s="14"/>
      <c r="O46" s="164"/>
      <c r="P46" s="8"/>
      <c r="Q46" s="8"/>
      <c r="R46" s="8"/>
      <c r="S46" s="8"/>
      <c r="T46" s="8"/>
      <c r="U46" s="164"/>
      <c r="V46" s="12"/>
      <c r="W46" s="12"/>
      <c r="X46" s="12"/>
    </row>
    <row r="47">
      <c r="A47" s="8"/>
      <c r="B47" s="8"/>
      <c r="C47" s="8"/>
      <c r="D47" s="163"/>
      <c r="E47" s="8"/>
      <c r="F47" s="8"/>
      <c r="G47" s="163"/>
      <c r="H47" s="8"/>
      <c r="I47" s="8"/>
      <c r="J47" s="8"/>
      <c r="K47" s="163"/>
      <c r="L47" s="8"/>
      <c r="M47" s="14"/>
      <c r="N47" s="14"/>
      <c r="O47" s="164"/>
      <c r="P47" s="8"/>
      <c r="Q47" s="8"/>
      <c r="R47" s="8"/>
      <c r="S47" s="8"/>
      <c r="T47" s="8"/>
      <c r="U47" s="164"/>
      <c r="V47" s="12"/>
      <c r="W47" s="12"/>
      <c r="X47" s="12"/>
    </row>
    <row r="48">
      <c r="A48" s="8"/>
      <c r="B48" s="8"/>
      <c r="C48" s="8"/>
      <c r="D48" s="163"/>
      <c r="E48" s="8"/>
      <c r="F48" s="8"/>
      <c r="G48" s="163"/>
      <c r="H48" s="8"/>
      <c r="I48" s="8"/>
      <c r="J48" s="8"/>
      <c r="K48" s="163"/>
      <c r="L48" s="8"/>
      <c r="M48" s="14"/>
      <c r="N48" s="14"/>
      <c r="O48" s="164"/>
      <c r="P48" s="8"/>
      <c r="Q48" s="8"/>
      <c r="R48" s="8"/>
      <c r="S48" s="8"/>
      <c r="T48" s="8"/>
      <c r="U48" s="164"/>
      <c r="V48" s="12"/>
      <c r="W48" s="12"/>
      <c r="X48" s="12"/>
    </row>
    <row r="49">
      <c r="A49" s="8"/>
      <c r="B49" s="8"/>
      <c r="C49" s="8"/>
      <c r="D49" s="163"/>
      <c r="E49" s="8"/>
      <c r="F49" s="8"/>
      <c r="G49" s="163"/>
      <c r="H49" s="8"/>
      <c r="I49" s="8"/>
      <c r="J49" s="8"/>
      <c r="K49" s="163"/>
      <c r="L49" s="8"/>
      <c r="M49" s="14"/>
      <c r="N49" s="14"/>
      <c r="O49" s="164"/>
      <c r="P49" s="8"/>
      <c r="Q49" s="8"/>
      <c r="R49" s="8"/>
      <c r="S49" s="8"/>
      <c r="T49" s="8"/>
      <c r="U49" s="164"/>
      <c r="V49" s="12"/>
      <c r="W49" s="12"/>
      <c r="X49" s="12"/>
    </row>
    <row r="50">
      <c r="A50" s="8"/>
      <c r="B50" s="8"/>
      <c r="C50" s="8"/>
      <c r="D50" s="163"/>
      <c r="E50" s="8"/>
      <c r="F50" s="8"/>
      <c r="G50" s="163"/>
      <c r="H50" s="8"/>
      <c r="I50" s="8"/>
      <c r="J50" s="8"/>
      <c r="K50" s="163"/>
      <c r="L50" s="8"/>
      <c r="M50" s="14"/>
      <c r="N50" s="14"/>
      <c r="O50" s="164"/>
      <c r="P50" s="8"/>
      <c r="Q50" s="8"/>
      <c r="R50" s="8"/>
      <c r="S50" s="8"/>
      <c r="T50" s="8"/>
      <c r="U50" s="164"/>
      <c r="V50" s="12"/>
      <c r="W50" s="12"/>
      <c r="X50" s="12"/>
    </row>
    <row r="51">
      <c r="A51" s="8"/>
      <c r="B51" s="8"/>
      <c r="C51" s="8"/>
      <c r="D51" s="163"/>
      <c r="E51" s="8"/>
      <c r="F51" s="8"/>
      <c r="G51" s="163"/>
      <c r="H51" s="8"/>
      <c r="I51" s="8"/>
      <c r="J51" s="8"/>
      <c r="K51" s="163"/>
      <c r="L51" s="8"/>
      <c r="M51" s="14"/>
      <c r="N51" s="14"/>
      <c r="O51" s="164"/>
      <c r="P51" s="8"/>
      <c r="Q51" s="8"/>
      <c r="R51" s="8"/>
      <c r="S51" s="8"/>
      <c r="T51" s="8"/>
      <c r="U51" s="164"/>
      <c r="V51" s="12"/>
      <c r="W51" s="12"/>
      <c r="X51" s="12"/>
    </row>
    <row r="52">
      <c r="A52" s="8"/>
      <c r="B52" s="8"/>
      <c r="C52" s="8"/>
      <c r="D52" s="163"/>
      <c r="E52" s="8"/>
      <c r="F52" s="8"/>
      <c r="G52" s="163"/>
      <c r="H52" s="8"/>
      <c r="I52" s="8"/>
      <c r="J52" s="8"/>
      <c r="K52" s="163"/>
      <c r="L52" s="8"/>
      <c r="M52" s="14"/>
      <c r="N52" s="14"/>
      <c r="O52" s="164"/>
      <c r="P52" s="8"/>
      <c r="Q52" s="8"/>
      <c r="R52" s="8"/>
      <c r="S52" s="8"/>
      <c r="T52" s="8"/>
      <c r="U52" s="164"/>
      <c r="V52" s="12"/>
      <c r="W52" s="12"/>
      <c r="X52" s="12"/>
    </row>
    <row r="53">
      <c r="A53" s="8"/>
      <c r="B53" s="8"/>
      <c r="C53" s="8"/>
      <c r="D53" s="163"/>
      <c r="E53" s="8"/>
      <c r="F53" s="8"/>
      <c r="G53" s="163"/>
      <c r="H53" s="8"/>
      <c r="I53" s="8"/>
      <c r="J53" s="8"/>
      <c r="K53" s="163"/>
      <c r="L53" s="8"/>
      <c r="M53" s="14"/>
      <c r="N53" s="14"/>
      <c r="O53" s="164"/>
      <c r="P53" s="8"/>
      <c r="Q53" s="8"/>
      <c r="R53" s="8"/>
      <c r="S53" s="8"/>
      <c r="T53" s="8"/>
      <c r="U53" s="164"/>
      <c r="V53" s="12"/>
      <c r="W53" s="12"/>
      <c r="X53" s="12"/>
    </row>
    <row r="54">
      <c r="A54" s="8"/>
      <c r="B54" s="8"/>
      <c r="C54" s="8"/>
      <c r="D54" s="163"/>
      <c r="E54" s="8"/>
      <c r="F54" s="8"/>
      <c r="G54" s="163"/>
      <c r="H54" s="8"/>
      <c r="I54" s="8"/>
      <c r="J54" s="8"/>
      <c r="K54" s="163"/>
      <c r="L54" s="8"/>
      <c r="M54" s="14"/>
      <c r="N54" s="14"/>
      <c r="O54" s="164"/>
      <c r="P54" s="8"/>
      <c r="Q54" s="8"/>
      <c r="R54" s="8"/>
      <c r="S54" s="8"/>
      <c r="T54" s="8"/>
      <c r="U54" s="164"/>
      <c r="V54" s="12"/>
      <c r="W54" s="12"/>
      <c r="X54" s="12"/>
    </row>
    <row r="55">
      <c r="A55" s="8"/>
      <c r="B55" s="8"/>
      <c r="C55" s="8"/>
      <c r="D55" s="163"/>
      <c r="E55" s="8"/>
      <c r="F55" s="8"/>
      <c r="G55" s="163"/>
      <c r="H55" s="8"/>
      <c r="I55" s="8"/>
      <c r="J55" s="8"/>
      <c r="K55" s="163"/>
      <c r="L55" s="8"/>
      <c r="M55" s="14"/>
      <c r="N55" s="14"/>
      <c r="O55" s="164"/>
      <c r="P55" s="8"/>
      <c r="Q55" s="8"/>
      <c r="R55" s="8"/>
      <c r="S55" s="8"/>
      <c r="T55" s="8"/>
      <c r="U55" s="164"/>
      <c r="V55" s="12"/>
      <c r="W55" s="12"/>
      <c r="X55" s="12"/>
    </row>
    <row r="56">
      <c r="A56" s="8"/>
      <c r="B56" s="8"/>
      <c r="C56" s="8"/>
      <c r="D56" s="163"/>
      <c r="E56" s="8"/>
      <c r="F56" s="8"/>
      <c r="G56" s="163"/>
      <c r="H56" s="8"/>
      <c r="I56" s="8"/>
      <c r="J56" s="8"/>
      <c r="K56" s="163"/>
      <c r="L56" s="8"/>
      <c r="M56" s="14"/>
      <c r="N56" s="14"/>
      <c r="O56" s="164"/>
      <c r="P56" s="8"/>
      <c r="Q56" s="8"/>
      <c r="R56" s="8"/>
      <c r="S56" s="8"/>
      <c r="T56" s="8"/>
      <c r="U56" s="164"/>
      <c r="V56" s="12"/>
      <c r="W56" s="12"/>
      <c r="X56" s="12"/>
    </row>
    <row r="57">
      <c r="A57" s="8"/>
      <c r="B57" s="8"/>
      <c r="C57" s="8"/>
      <c r="D57" s="163"/>
      <c r="E57" s="8"/>
      <c r="F57" s="8"/>
      <c r="G57" s="163"/>
      <c r="H57" s="8"/>
      <c r="I57" s="8"/>
      <c r="J57" s="8"/>
      <c r="K57" s="163"/>
      <c r="L57" s="8"/>
      <c r="M57" s="14"/>
      <c r="N57" s="14"/>
      <c r="O57" s="164"/>
      <c r="P57" s="8"/>
      <c r="Q57" s="8"/>
      <c r="R57" s="8"/>
      <c r="S57" s="8"/>
      <c r="T57" s="8"/>
      <c r="U57" s="164"/>
      <c r="V57" s="12"/>
      <c r="W57" s="12"/>
      <c r="X57" s="12"/>
    </row>
    <row r="58">
      <c r="A58" s="8"/>
      <c r="B58" s="8"/>
      <c r="C58" s="8"/>
      <c r="D58" s="163"/>
      <c r="E58" s="8"/>
      <c r="F58" s="8"/>
      <c r="G58" s="163"/>
      <c r="H58" s="8"/>
      <c r="I58" s="8"/>
      <c r="J58" s="8"/>
      <c r="K58" s="163"/>
      <c r="L58" s="8"/>
      <c r="M58" s="14"/>
      <c r="N58" s="14"/>
      <c r="O58" s="164"/>
      <c r="P58" s="8"/>
      <c r="Q58" s="8"/>
      <c r="R58" s="8"/>
      <c r="S58" s="8"/>
      <c r="T58" s="8"/>
      <c r="U58" s="164"/>
      <c r="V58" s="12"/>
      <c r="W58" s="12"/>
      <c r="X58" s="12"/>
    </row>
    <row r="59">
      <c r="A59" s="8"/>
      <c r="B59" s="8"/>
      <c r="C59" s="8"/>
      <c r="D59" s="163"/>
      <c r="E59" s="8"/>
      <c r="F59" s="8"/>
      <c r="G59" s="163"/>
      <c r="H59" s="8"/>
      <c r="I59" s="8"/>
      <c r="J59" s="8"/>
      <c r="K59" s="163"/>
      <c r="L59" s="8"/>
      <c r="M59" s="14"/>
      <c r="N59" s="14"/>
      <c r="O59" s="164"/>
      <c r="P59" s="8"/>
      <c r="Q59" s="8"/>
      <c r="R59" s="8"/>
      <c r="S59" s="8"/>
      <c r="T59" s="8"/>
      <c r="U59" s="164"/>
      <c r="V59" s="12"/>
      <c r="W59" s="12"/>
      <c r="X59" s="12"/>
    </row>
    <row r="60">
      <c r="A60" s="8"/>
      <c r="B60" s="8"/>
      <c r="C60" s="8"/>
      <c r="D60" s="163"/>
      <c r="E60" s="8"/>
      <c r="F60" s="8"/>
      <c r="G60" s="163"/>
      <c r="H60" s="8"/>
      <c r="I60" s="8"/>
      <c r="J60" s="8"/>
      <c r="K60" s="163"/>
      <c r="L60" s="8"/>
      <c r="M60" s="14"/>
      <c r="N60" s="14"/>
      <c r="O60" s="164"/>
      <c r="P60" s="8"/>
      <c r="Q60" s="8"/>
      <c r="R60" s="8"/>
      <c r="S60" s="8"/>
      <c r="T60" s="8"/>
      <c r="U60" s="164"/>
      <c r="V60" s="12"/>
      <c r="W60" s="12"/>
      <c r="X60" s="12"/>
    </row>
    <row r="61">
      <c r="A61" s="8"/>
      <c r="B61" s="8"/>
      <c r="C61" s="8"/>
      <c r="D61" s="163"/>
      <c r="E61" s="8"/>
      <c r="F61" s="8"/>
      <c r="G61" s="163"/>
      <c r="H61" s="8"/>
      <c r="I61" s="8"/>
      <c r="J61" s="8"/>
      <c r="K61" s="163"/>
      <c r="L61" s="8"/>
      <c r="M61" s="14"/>
      <c r="N61" s="14"/>
      <c r="O61" s="164"/>
      <c r="P61" s="8"/>
      <c r="Q61" s="8"/>
      <c r="R61" s="8"/>
      <c r="S61" s="8"/>
      <c r="T61" s="8"/>
      <c r="U61" s="164"/>
      <c r="V61" s="12"/>
      <c r="W61" s="12"/>
      <c r="X61" s="12"/>
    </row>
    <row r="62">
      <c r="A62" s="8"/>
      <c r="B62" s="8"/>
      <c r="C62" s="8"/>
      <c r="D62" s="163"/>
      <c r="E62" s="8"/>
      <c r="F62" s="8"/>
      <c r="G62" s="163"/>
      <c r="H62" s="8"/>
      <c r="I62" s="8"/>
      <c r="J62" s="8"/>
      <c r="K62" s="163"/>
      <c r="L62" s="8"/>
      <c r="M62" s="14"/>
      <c r="N62" s="14"/>
      <c r="O62" s="164"/>
      <c r="P62" s="8"/>
      <c r="Q62" s="8"/>
      <c r="R62" s="8"/>
      <c r="S62" s="8"/>
      <c r="T62" s="8"/>
      <c r="U62" s="164"/>
      <c r="V62" s="12"/>
      <c r="W62" s="12"/>
      <c r="X62" s="12"/>
    </row>
    <row r="63">
      <c r="A63" s="8"/>
      <c r="B63" s="8"/>
      <c r="C63" s="8"/>
      <c r="D63" s="163"/>
      <c r="E63" s="8"/>
      <c r="F63" s="8"/>
      <c r="G63" s="163"/>
      <c r="H63" s="8"/>
      <c r="I63" s="8"/>
      <c r="J63" s="8"/>
      <c r="K63" s="163"/>
      <c r="L63" s="8"/>
      <c r="M63" s="14"/>
      <c r="N63" s="14"/>
      <c r="O63" s="164"/>
      <c r="P63" s="8"/>
      <c r="Q63" s="8"/>
      <c r="R63" s="8"/>
      <c r="S63" s="8"/>
      <c r="T63" s="8"/>
      <c r="U63" s="164"/>
      <c r="V63" s="12"/>
      <c r="W63" s="12"/>
      <c r="X63" s="12"/>
    </row>
    <row r="64">
      <c r="A64" s="8"/>
      <c r="B64" s="8"/>
      <c r="C64" s="8"/>
      <c r="D64" s="163"/>
      <c r="E64" s="8"/>
      <c r="F64" s="8"/>
      <c r="G64" s="163"/>
      <c r="H64" s="8"/>
      <c r="I64" s="8"/>
      <c r="J64" s="8"/>
      <c r="K64" s="163"/>
      <c r="L64" s="8"/>
      <c r="M64" s="14"/>
      <c r="N64" s="14"/>
      <c r="O64" s="164"/>
      <c r="P64" s="8"/>
      <c r="Q64" s="8"/>
      <c r="R64" s="8"/>
      <c r="S64" s="8"/>
      <c r="T64" s="8"/>
      <c r="U64" s="164"/>
      <c r="V64" s="12"/>
      <c r="W64" s="12"/>
      <c r="X64" s="12"/>
    </row>
    <row r="65">
      <c r="A65" s="8"/>
      <c r="B65" s="8"/>
      <c r="C65" s="8"/>
      <c r="D65" s="163"/>
      <c r="E65" s="8"/>
      <c r="F65" s="8"/>
      <c r="G65" s="163"/>
      <c r="H65" s="8"/>
      <c r="I65" s="8"/>
      <c r="J65" s="8"/>
      <c r="K65" s="163"/>
      <c r="L65" s="8"/>
      <c r="M65" s="14"/>
      <c r="N65" s="14"/>
      <c r="O65" s="164"/>
      <c r="P65" s="8"/>
      <c r="Q65" s="8"/>
      <c r="R65" s="8"/>
      <c r="S65" s="8"/>
      <c r="T65" s="8"/>
      <c r="U65" s="164"/>
      <c r="V65" s="12"/>
      <c r="W65" s="12"/>
      <c r="X65" s="12"/>
    </row>
    <row r="66">
      <c r="A66" s="8"/>
      <c r="B66" s="8"/>
      <c r="C66" s="8"/>
      <c r="D66" s="163"/>
      <c r="E66" s="8"/>
      <c r="F66" s="8"/>
      <c r="G66" s="163"/>
      <c r="H66" s="8"/>
      <c r="I66" s="8"/>
      <c r="J66" s="8"/>
      <c r="K66" s="163"/>
      <c r="L66" s="8"/>
      <c r="M66" s="14"/>
      <c r="N66" s="14"/>
      <c r="O66" s="164"/>
      <c r="P66" s="8"/>
      <c r="Q66" s="8"/>
      <c r="R66" s="8"/>
      <c r="S66" s="8"/>
      <c r="T66" s="8"/>
      <c r="U66" s="164"/>
      <c r="V66" s="12"/>
      <c r="W66" s="12"/>
      <c r="X66" s="12"/>
    </row>
    <row r="67">
      <c r="A67" s="8"/>
      <c r="B67" s="8"/>
      <c r="C67" s="8"/>
      <c r="D67" s="163"/>
      <c r="E67" s="8"/>
      <c r="F67" s="8"/>
      <c r="G67" s="163"/>
      <c r="H67" s="8"/>
      <c r="I67" s="8"/>
      <c r="J67" s="8"/>
      <c r="K67" s="163"/>
      <c r="L67" s="8"/>
      <c r="M67" s="14"/>
      <c r="N67" s="14"/>
      <c r="O67" s="164"/>
      <c r="P67" s="8"/>
      <c r="Q67" s="8"/>
      <c r="R67" s="8"/>
      <c r="S67" s="8"/>
      <c r="T67" s="8"/>
      <c r="U67" s="164"/>
      <c r="V67" s="12"/>
      <c r="W67" s="12"/>
      <c r="X67" s="12"/>
    </row>
    <row r="68">
      <c r="A68" s="8"/>
      <c r="B68" s="8"/>
      <c r="C68" s="8"/>
      <c r="D68" s="163"/>
      <c r="E68" s="8"/>
      <c r="F68" s="8"/>
      <c r="G68" s="163"/>
      <c r="H68" s="8"/>
      <c r="I68" s="8"/>
      <c r="J68" s="8"/>
      <c r="K68" s="163"/>
      <c r="L68" s="8"/>
      <c r="M68" s="14"/>
      <c r="N68" s="14"/>
      <c r="O68" s="164"/>
      <c r="P68" s="8"/>
      <c r="Q68" s="8"/>
      <c r="R68" s="8"/>
      <c r="S68" s="8"/>
      <c r="T68" s="8"/>
      <c r="U68" s="164"/>
      <c r="V68" s="12"/>
      <c r="W68" s="12"/>
      <c r="X68" s="12"/>
    </row>
    <row r="69">
      <c r="A69" s="8"/>
      <c r="B69" s="8"/>
      <c r="C69" s="8"/>
      <c r="D69" s="163"/>
      <c r="E69" s="8"/>
      <c r="F69" s="8"/>
      <c r="G69" s="163"/>
      <c r="H69" s="8"/>
      <c r="I69" s="8"/>
      <c r="J69" s="8"/>
      <c r="K69" s="163"/>
      <c r="L69" s="8"/>
      <c r="M69" s="14"/>
      <c r="N69" s="14"/>
      <c r="O69" s="164"/>
      <c r="P69" s="8"/>
      <c r="Q69" s="8"/>
      <c r="R69" s="8"/>
      <c r="S69" s="8"/>
      <c r="T69" s="8"/>
      <c r="U69" s="164"/>
      <c r="V69" s="12"/>
      <c r="W69" s="12"/>
      <c r="X69" s="12"/>
    </row>
    <row r="70">
      <c r="A70" s="8"/>
      <c r="B70" s="8"/>
      <c r="C70" s="8"/>
      <c r="D70" s="163"/>
      <c r="E70" s="8"/>
      <c r="F70" s="8"/>
      <c r="G70" s="163"/>
      <c r="H70" s="8"/>
      <c r="I70" s="8"/>
      <c r="J70" s="8"/>
      <c r="K70" s="163"/>
      <c r="L70" s="8"/>
      <c r="M70" s="14"/>
      <c r="N70" s="14"/>
      <c r="O70" s="164"/>
      <c r="P70" s="8"/>
      <c r="Q70" s="8"/>
      <c r="R70" s="8"/>
      <c r="S70" s="8"/>
      <c r="T70" s="8"/>
      <c r="U70" s="164"/>
      <c r="V70" s="12"/>
      <c r="W70" s="12"/>
      <c r="X70" s="12"/>
    </row>
    <row r="71">
      <c r="A71" s="8"/>
      <c r="B71" s="8"/>
      <c r="C71" s="8"/>
      <c r="D71" s="163"/>
      <c r="E71" s="8"/>
      <c r="F71" s="8"/>
      <c r="G71" s="163"/>
      <c r="H71" s="8"/>
      <c r="I71" s="8"/>
      <c r="J71" s="8"/>
      <c r="K71" s="163"/>
      <c r="L71" s="8"/>
      <c r="M71" s="14"/>
      <c r="N71" s="14"/>
      <c r="O71" s="164"/>
      <c r="P71" s="8"/>
      <c r="Q71" s="8"/>
      <c r="R71" s="8"/>
      <c r="S71" s="8"/>
      <c r="T71" s="8"/>
      <c r="U71" s="164"/>
      <c r="V71" s="12"/>
      <c r="W71" s="12"/>
      <c r="X71" s="12"/>
    </row>
    <row r="72">
      <c r="A72" s="8"/>
      <c r="B72" s="8"/>
      <c r="C72" s="8"/>
      <c r="D72" s="163"/>
      <c r="E72" s="8"/>
      <c r="F72" s="8"/>
      <c r="G72" s="163"/>
      <c r="H72" s="8"/>
      <c r="I72" s="8"/>
      <c r="J72" s="8"/>
      <c r="K72" s="163"/>
      <c r="L72" s="8"/>
      <c r="M72" s="14"/>
      <c r="N72" s="14"/>
      <c r="O72" s="164"/>
      <c r="P72" s="8"/>
      <c r="Q72" s="8"/>
      <c r="R72" s="8"/>
      <c r="S72" s="8"/>
      <c r="T72" s="8"/>
      <c r="U72" s="164"/>
      <c r="V72" s="12"/>
      <c r="W72" s="12"/>
      <c r="X72" s="12"/>
    </row>
    <row r="73">
      <c r="A73" s="8"/>
      <c r="B73" s="8"/>
      <c r="C73" s="8"/>
      <c r="D73" s="163"/>
      <c r="E73" s="8"/>
      <c r="F73" s="8"/>
      <c r="G73" s="163"/>
      <c r="H73" s="8"/>
      <c r="I73" s="8"/>
      <c r="J73" s="8"/>
      <c r="K73" s="163"/>
      <c r="L73" s="8"/>
      <c r="M73" s="14"/>
      <c r="N73" s="14"/>
      <c r="O73" s="164"/>
      <c r="P73" s="8"/>
      <c r="Q73" s="8"/>
      <c r="R73" s="8"/>
      <c r="S73" s="8"/>
      <c r="T73" s="8"/>
      <c r="U73" s="164"/>
      <c r="V73" s="12"/>
      <c r="W73" s="12"/>
      <c r="X73" s="12"/>
    </row>
    <row r="74">
      <c r="A74" s="8"/>
      <c r="B74" s="8"/>
      <c r="C74" s="8"/>
      <c r="D74" s="163"/>
      <c r="E74" s="8"/>
      <c r="F74" s="8"/>
      <c r="G74" s="163"/>
      <c r="H74" s="8"/>
      <c r="I74" s="8"/>
      <c r="J74" s="8"/>
      <c r="K74" s="163"/>
      <c r="L74" s="8"/>
      <c r="M74" s="14"/>
      <c r="N74" s="14"/>
      <c r="O74" s="164"/>
      <c r="P74" s="8"/>
      <c r="Q74" s="8"/>
      <c r="R74" s="8"/>
      <c r="S74" s="8"/>
      <c r="T74" s="8"/>
      <c r="U74" s="164"/>
      <c r="V74" s="12"/>
      <c r="W74" s="12"/>
      <c r="X74" s="12"/>
    </row>
    <row r="75">
      <c r="A75" s="8"/>
      <c r="B75" s="8"/>
      <c r="C75" s="8"/>
      <c r="D75" s="163"/>
      <c r="E75" s="8"/>
      <c r="F75" s="8"/>
      <c r="G75" s="163"/>
      <c r="H75" s="8"/>
      <c r="I75" s="8"/>
      <c r="J75" s="8"/>
      <c r="K75" s="163"/>
      <c r="L75" s="8"/>
      <c r="M75" s="14"/>
      <c r="N75" s="14"/>
      <c r="O75" s="164"/>
      <c r="P75" s="8"/>
      <c r="Q75" s="8"/>
      <c r="R75" s="8"/>
      <c r="S75" s="8"/>
      <c r="T75" s="8"/>
      <c r="U75" s="164"/>
      <c r="V75" s="12"/>
      <c r="W75" s="12"/>
      <c r="X75" s="12"/>
    </row>
    <row r="76">
      <c r="A76" s="8"/>
      <c r="B76" s="8"/>
      <c r="C76" s="8"/>
      <c r="D76" s="163"/>
      <c r="E76" s="8"/>
      <c r="F76" s="8"/>
      <c r="G76" s="163"/>
      <c r="H76" s="8"/>
      <c r="I76" s="8"/>
      <c r="J76" s="8"/>
      <c r="K76" s="163"/>
      <c r="L76" s="8"/>
      <c r="M76" s="14"/>
      <c r="N76" s="14"/>
      <c r="O76" s="164"/>
      <c r="P76" s="8"/>
      <c r="Q76" s="8"/>
      <c r="R76" s="8"/>
      <c r="S76" s="8"/>
      <c r="T76" s="8"/>
      <c r="U76" s="164"/>
      <c r="V76" s="12"/>
      <c r="W76" s="12"/>
      <c r="X76" s="12"/>
    </row>
    <row r="77">
      <c r="A77" s="8"/>
      <c r="B77" s="8"/>
      <c r="C77" s="8"/>
      <c r="D77" s="163"/>
      <c r="E77" s="8"/>
      <c r="F77" s="8"/>
      <c r="G77" s="163"/>
      <c r="H77" s="8"/>
      <c r="I77" s="8"/>
      <c r="J77" s="8"/>
      <c r="K77" s="163"/>
      <c r="L77" s="8"/>
      <c r="M77" s="14"/>
      <c r="N77" s="14"/>
      <c r="O77" s="164"/>
      <c r="P77" s="8"/>
      <c r="Q77" s="8"/>
      <c r="R77" s="8"/>
      <c r="S77" s="8"/>
      <c r="T77" s="8"/>
      <c r="U77" s="164"/>
      <c r="V77" s="12"/>
      <c r="W77" s="12"/>
      <c r="X77" s="12"/>
    </row>
    <row r="78">
      <c r="A78" s="8"/>
      <c r="B78" s="8"/>
      <c r="C78" s="8"/>
      <c r="D78" s="163"/>
      <c r="E78" s="8"/>
      <c r="F78" s="8"/>
      <c r="G78" s="163"/>
      <c r="H78" s="8"/>
      <c r="I78" s="8"/>
      <c r="J78" s="8"/>
      <c r="K78" s="163"/>
      <c r="L78" s="8"/>
      <c r="M78" s="14"/>
      <c r="N78" s="14"/>
      <c r="O78" s="164"/>
      <c r="P78" s="8"/>
      <c r="Q78" s="8"/>
      <c r="R78" s="8"/>
      <c r="S78" s="8"/>
      <c r="T78" s="8"/>
      <c r="U78" s="164"/>
      <c r="V78" s="12"/>
      <c r="W78" s="12"/>
      <c r="X78" s="12"/>
    </row>
    <row r="79">
      <c r="A79" s="8"/>
      <c r="B79" s="8"/>
      <c r="C79" s="8"/>
      <c r="D79" s="163"/>
      <c r="E79" s="8"/>
      <c r="F79" s="8"/>
      <c r="G79" s="163"/>
      <c r="H79" s="8"/>
      <c r="I79" s="8"/>
      <c r="J79" s="8"/>
      <c r="K79" s="163"/>
      <c r="L79" s="8"/>
      <c r="M79" s="14"/>
      <c r="N79" s="14"/>
      <c r="O79" s="164"/>
      <c r="P79" s="8"/>
      <c r="Q79" s="8"/>
      <c r="R79" s="8"/>
      <c r="S79" s="8"/>
      <c r="T79" s="8"/>
      <c r="U79" s="164"/>
      <c r="V79" s="12"/>
      <c r="W79" s="12"/>
      <c r="X79" s="12"/>
    </row>
    <row r="80">
      <c r="A80" s="8"/>
      <c r="B80" s="8"/>
      <c r="C80" s="8"/>
      <c r="D80" s="163"/>
      <c r="E80" s="8"/>
      <c r="F80" s="8"/>
      <c r="G80" s="163"/>
      <c r="H80" s="8"/>
      <c r="I80" s="8"/>
      <c r="J80" s="8"/>
      <c r="K80" s="163"/>
      <c r="L80" s="8"/>
      <c r="M80" s="14"/>
      <c r="N80" s="14"/>
      <c r="O80" s="164"/>
      <c r="P80" s="8"/>
      <c r="Q80" s="8"/>
      <c r="R80" s="8"/>
      <c r="S80" s="8"/>
      <c r="T80" s="8"/>
      <c r="U80" s="164"/>
      <c r="V80" s="12"/>
      <c r="W80" s="12"/>
      <c r="X80" s="12"/>
    </row>
    <row r="81">
      <c r="A81" s="8"/>
      <c r="B81" s="8"/>
      <c r="C81" s="8"/>
      <c r="D81" s="163"/>
      <c r="E81" s="8"/>
      <c r="F81" s="8"/>
      <c r="G81" s="163"/>
      <c r="H81" s="8"/>
      <c r="I81" s="8"/>
      <c r="J81" s="8"/>
      <c r="K81" s="163"/>
      <c r="L81" s="8"/>
      <c r="M81" s="14"/>
      <c r="N81" s="14"/>
      <c r="O81" s="164"/>
      <c r="P81" s="8"/>
      <c r="Q81" s="8"/>
      <c r="R81" s="8"/>
      <c r="S81" s="8"/>
      <c r="T81" s="8"/>
      <c r="U81" s="164"/>
      <c r="V81" s="12"/>
      <c r="W81" s="12"/>
      <c r="X81" s="12"/>
    </row>
    <row r="82">
      <c r="A82" s="8"/>
      <c r="B82" s="8"/>
      <c r="C82" s="8"/>
      <c r="D82" s="163"/>
      <c r="E82" s="8"/>
      <c r="F82" s="8"/>
      <c r="G82" s="163"/>
      <c r="H82" s="8"/>
      <c r="I82" s="8"/>
      <c r="J82" s="8"/>
      <c r="K82" s="163"/>
      <c r="L82" s="8"/>
      <c r="M82" s="14"/>
      <c r="N82" s="14"/>
      <c r="O82" s="164"/>
      <c r="P82" s="8"/>
      <c r="Q82" s="8"/>
      <c r="R82" s="8"/>
      <c r="S82" s="8"/>
      <c r="T82" s="8"/>
      <c r="U82" s="164"/>
      <c r="V82" s="12"/>
      <c r="W82" s="12"/>
      <c r="X82" s="12"/>
    </row>
    <row r="83">
      <c r="A83" s="8"/>
      <c r="B83" s="8"/>
      <c r="C83" s="8"/>
      <c r="D83" s="163"/>
      <c r="E83" s="8"/>
      <c r="F83" s="8"/>
      <c r="G83" s="163"/>
      <c r="H83" s="8"/>
      <c r="I83" s="8"/>
      <c r="J83" s="8"/>
      <c r="K83" s="163"/>
      <c r="L83" s="8"/>
      <c r="M83" s="14"/>
      <c r="N83" s="14"/>
      <c r="O83" s="164"/>
      <c r="P83" s="8"/>
      <c r="Q83" s="8"/>
      <c r="R83" s="8"/>
      <c r="S83" s="8"/>
      <c r="T83" s="8"/>
      <c r="U83" s="164"/>
      <c r="V83" s="12"/>
      <c r="W83" s="12"/>
      <c r="X83" s="12"/>
    </row>
    <row r="84">
      <c r="A84" s="8"/>
      <c r="B84" s="8"/>
      <c r="C84" s="8"/>
      <c r="D84" s="163"/>
      <c r="E84" s="8"/>
      <c r="F84" s="8"/>
      <c r="G84" s="163"/>
      <c r="H84" s="8"/>
      <c r="I84" s="8"/>
      <c r="J84" s="8"/>
      <c r="K84" s="163"/>
      <c r="L84" s="8"/>
      <c r="M84" s="14"/>
      <c r="N84" s="14"/>
      <c r="O84" s="164"/>
      <c r="P84" s="8"/>
      <c r="Q84" s="8"/>
      <c r="R84" s="8"/>
      <c r="S84" s="8"/>
      <c r="T84" s="8"/>
      <c r="U84" s="164"/>
      <c r="V84" s="12"/>
      <c r="W84" s="12"/>
      <c r="X84" s="12"/>
    </row>
    <row r="85">
      <c r="A85" s="8"/>
      <c r="B85" s="8"/>
      <c r="C85" s="8"/>
      <c r="D85" s="163"/>
      <c r="E85" s="8"/>
      <c r="F85" s="8"/>
      <c r="G85" s="163"/>
      <c r="H85" s="8"/>
      <c r="I85" s="8"/>
      <c r="J85" s="8"/>
      <c r="K85" s="163"/>
      <c r="L85" s="8"/>
      <c r="M85" s="14"/>
      <c r="N85" s="14"/>
      <c r="O85" s="164"/>
      <c r="P85" s="8"/>
      <c r="Q85" s="8"/>
      <c r="R85" s="8"/>
      <c r="S85" s="8"/>
      <c r="T85" s="8"/>
      <c r="U85" s="164"/>
      <c r="V85" s="12"/>
      <c r="W85" s="12"/>
      <c r="X85" s="12"/>
    </row>
    <row r="86">
      <c r="A86" s="8"/>
      <c r="B86" s="8"/>
      <c r="C86" s="8"/>
      <c r="D86" s="163"/>
      <c r="E86" s="8"/>
      <c r="F86" s="8"/>
      <c r="G86" s="163"/>
      <c r="H86" s="8"/>
      <c r="I86" s="8"/>
      <c r="J86" s="8"/>
      <c r="K86" s="163"/>
      <c r="L86" s="8"/>
      <c r="M86" s="14"/>
      <c r="N86" s="14"/>
      <c r="O86" s="164"/>
      <c r="P86" s="8"/>
      <c r="Q86" s="8"/>
      <c r="R86" s="8"/>
      <c r="S86" s="8"/>
      <c r="T86" s="8"/>
      <c r="U86" s="164"/>
      <c r="V86" s="12"/>
      <c r="W86" s="12"/>
      <c r="X86" s="12"/>
    </row>
    <row r="87">
      <c r="A87" s="8"/>
      <c r="B87" s="8"/>
      <c r="C87" s="8"/>
      <c r="D87" s="163"/>
      <c r="E87" s="8"/>
      <c r="F87" s="8"/>
      <c r="G87" s="163"/>
      <c r="H87" s="8"/>
      <c r="I87" s="8"/>
      <c r="J87" s="8"/>
      <c r="K87" s="163"/>
      <c r="L87" s="8"/>
      <c r="M87" s="14"/>
      <c r="N87" s="14"/>
      <c r="O87" s="164"/>
      <c r="P87" s="8"/>
      <c r="Q87" s="8"/>
      <c r="R87" s="8"/>
      <c r="S87" s="8"/>
      <c r="T87" s="8"/>
      <c r="U87" s="164"/>
      <c r="V87" s="12"/>
      <c r="W87" s="12"/>
      <c r="X87" s="12"/>
    </row>
    <row r="88">
      <c r="A88" s="8"/>
      <c r="B88" s="8"/>
      <c r="C88" s="8"/>
      <c r="D88" s="163"/>
      <c r="E88" s="8"/>
      <c r="F88" s="8"/>
      <c r="G88" s="163"/>
      <c r="H88" s="8"/>
      <c r="I88" s="8"/>
      <c r="J88" s="8"/>
      <c r="K88" s="163"/>
      <c r="L88" s="8"/>
      <c r="M88" s="14"/>
      <c r="N88" s="14"/>
      <c r="O88" s="164"/>
      <c r="P88" s="8"/>
      <c r="Q88" s="8"/>
      <c r="R88" s="8"/>
      <c r="S88" s="8"/>
      <c r="T88" s="8"/>
      <c r="U88" s="164"/>
      <c r="V88" s="12"/>
      <c r="W88" s="12"/>
      <c r="X88" s="12"/>
    </row>
    <row r="89">
      <c r="A89" s="8"/>
      <c r="B89" s="8"/>
      <c r="C89" s="8"/>
      <c r="D89" s="163"/>
      <c r="E89" s="8"/>
      <c r="F89" s="8"/>
      <c r="G89" s="163"/>
      <c r="H89" s="8"/>
      <c r="I89" s="8"/>
      <c r="J89" s="8"/>
      <c r="K89" s="163"/>
      <c r="L89" s="8"/>
      <c r="M89" s="14"/>
      <c r="N89" s="14"/>
      <c r="O89" s="164"/>
      <c r="P89" s="8"/>
      <c r="Q89" s="8"/>
      <c r="R89" s="8"/>
      <c r="S89" s="8"/>
      <c r="T89" s="8"/>
      <c r="U89" s="164"/>
      <c r="V89" s="12"/>
      <c r="W89" s="12"/>
      <c r="X89" s="12"/>
    </row>
    <row r="90">
      <c r="A90" s="8"/>
      <c r="B90" s="8"/>
      <c r="C90" s="8"/>
      <c r="D90" s="163"/>
      <c r="E90" s="8"/>
      <c r="F90" s="8"/>
      <c r="G90" s="163"/>
      <c r="H90" s="8"/>
      <c r="I90" s="8"/>
      <c r="J90" s="8"/>
      <c r="K90" s="163"/>
      <c r="L90" s="8"/>
      <c r="M90" s="14"/>
      <c r="N90" s="14"/>
      <c r="O90" s="164"/>
      <c r="P90" s="8"/>
      <c r="Q90" s="8"/>
      <c r="R90" s="8"/>
      <c r="S90" s="8"/>
      <c r="T90" s="8"/>
      <c r="U90" s="164"/>
      <c r="V90" s="12"/>
      <c r="W90" s="12"/>
      <c r="X90" s="12"/>
    </row>
    <row r="91">
      <c r="A91" s="8"/>
      <c r="B91" s="8"/>
      <c r="C91" s="8"/>
      <c r="D91" s="163"/>
      <c r="E91" s="8"/>
      <c r="F91" s="8"/>
      <c r="G91" s="163"/>
      <c r="H91" s="8"/>
      <c r="I91" s="8"/>
      <c r="J91" s="8"/>
      <c r="K91" s="163"/>
      <c r="L91" s="8"/>
      <c r="M91" s="14"/>
      <c r="N91" s="14"/>
      <c r="O91" s="164"/>
      <c r="P91" s="8"/>
      <c r="Q91" s="8"/>
      <c r="R91" s="8"/>
      <c r="S91" s="8"/>
      <c r="T91" s="8"/>
      <c r="U91" s="164"/>
      <c r="V91" s="12"/>
      <c r="W91" s="12"/>
      <c r="X91" s="12"/>
    </row>
    <row r="92">
      <c r="A92" s="8"/>
      <c r="B92" s="8"/>
      <c r="C92" s="8"/>
      <c r="D92" s="163"/>
      <c r="E92" s="8"/>
      <c r="F92" s="8"/>
      <c r="G92" s="163"/>
      <c r="H92" s="8"/>
      <c r="I92" s="8"/>
      <c r="J92" s="8"/>
      <c r="K92" s="163"/>
      <c r="L92" s="8"/>
      <c r="M92" s="14"/>
      <c r="N92" s="14"/>
      <c r="O92" s="164"/>
      <c r="P92" s="8"/>
      <c r="Q92" s="8"/>
      <c r="R92" s="8"/>
      <c r="S92" s="8"/>
      <c r="T92" s="8"/>
      <c r="U92" s="164"/>
      <c r="V92" s="12"/>
      <c r="W92" s="12"/>
      <c r="X92" s="12"/>
    </row>
    <row r="93">
      <c r="A93" s="8"/>
      <c r="B93" s="8"/>
      <c r="C93" s="8"/>
      <c r="D93" s="163"/>
      <c r="E93" s="8"/>
      <c r="F93" s="8"/>
      <c r="G93" s="163"/>
      <c r="H93" s="8"/>
      <c r="I93" s="8"/>
      <c r="J93" s="8"/>
      <c r="K93" s="163"/>
      <c r="L93" s="8"/>
      <c r="M93" s="14"/>
      <c r="N93" s="14"/>
      <c r="O93" s="164"/>
      <c r="P93" s="8"/>
      <c r="Q93" s="8"/>
      <c r="R93" s="8"/>
      <c r="S93" s="8"/>
      <c r="T93" s="8"/>
      <c r="U93" s="164"/>
      <c r="V93" s="12"/>
      <c r="W93" s="12"/>
      <c r="X93" s="12"/>
    </row>
    <row r="94">
      <c r="A94" s="8"/>
      <c r="B94" s="8"/>
      <c r="C94" s="8"/>
      <c r="D94" s="163"/>
      <c r="E94" s="8"/>
      <c r="F94" s="8"/>
      <c r="G94" s="163"/>
      <c r="H94" s="8"/>
      <c r="I94" s="8"/>
      <c r="J94" s="8"/>
      <c r="K94" s="163"/>
      <c r="L94" s="8"/>
      <c r="M94" s="14"/>
      <c r="N94" s="14"/>
      <c r="O94" s="164"/>
      <c r="P94" s="8"/>
      <c r="Q94" s="8"/>
      <c r="R94" s="8"/>
      <c r="S94" s="8"/>
      <c r="T94" s="8"/>
      <c r="U94" s="164"/>
      <c r="V94" s="12"/>
      <c r="W94" s="12"/>
      <c r="X94" s="12"/>
    </row>
    <row r="95">
      <c r="A95" s="8"/>
      <c r="B95" s="8"/>
      <c r="C95" s="8"/>
      <c r="D95" s="163"/>
      <c r="E95" s="8"/>
      <c r="F95" s="8"/>
      <c r="G95" s="163"/>
      <c r="H95" s="8"/>
      <c r="I95" s="8"/>
      <c r="J95" s="8"/>
      <c r="K95" s="163"/>
      <c r="L95" s="8"/>
      <c r="M95" s="14"/>
      <c r="N95" s="14"/>
      <c r="O95" s="164"/>
      <c r="P95" s="8"/>
      <c r="Q95" s="8"/>
      <c r="R95" s="8"/>
      <c r="S95" s="8"/>
      <c r="T95" s="8"/>
      <c r="U95" s="164"/>
      <c r="V95" s="12"/>
      <c r="W95" s="12"/>
      <c r="X95" s="12"/>
    </row>
    <row r="96">
      <c r="A96" s="8"/>
      <c r="B96" s="8"/>
      <c r="C96" s="8"/>
      <c r="D96" s="163"/>
      <c r="E96" s="8"/>
      <c r="F96" s="8"/>
      <c r="G96" s="163"/>
      <c r="H96" s="8"/>
      <c r="I96" s="8"/>
      <c r="J96" s="8"/>
      <c r="K96" s="163"/>
      <c r="L96" s="8"/>
      <c r="M96" s="14"/>
      <c r="N96" s="14"/>
      <c r="O96" s="164"/>
      <c r="P96" s="8"/>
      <c r="Q96" s="8"/>
      <c r="R96" s="8"/>
      <c r="S96" s="8"/>
      <c r="T96" s="8"/>
      <c r="U96" s="164"/>
      <c r="V96" s="12"/>
      <c r="W96" s="12"/>
      <c r="X96" s="12"/>
    </row>
    <row r="97">
      <c r="A97" s="8"/>
      <c r="B97" s="8"/>
      <c r="C97" s="8"/>
      <c r="D97" s="163"/>
      <c r="E97" s="8"/>
      <c r="F97" s="8"/>
      <c r="G97" s="163"/>
      <c r="H97" s="8"/>
      <c r="I97" s="8"/>
      <c r="J97" s="8"/>
      <c r="K97" s="163"/>
      <c r="L97" s="8"/>
      <c r="M97" s="14"/>
      <c r="N97" s="14"/>
      <c r="O97" s="164"/>
      <c r="P97" s="8"/>
      <c r="Q97" s="8"/>
      <c r="R97" s="8"/>
      <c r="S97" s="8"/>
      <c r="T97" s="8"/>
      <c r="U97" s="164"/>
      <c r="V97" s="12"/>
      <c r="W97" s="12"/>
      <c r="X97" s="12"/>
    </row>
    <row r="98">
      <c r="A98" s="8"/>
      <c r="B98" s="8"/>
      <c r="C98" s="8"/>
      <c r="D98" s="163"/>
      <c r="E98" s="8"/>
      <c r="F98" s="8"/>
      <c r="G98" s="163"/>
      <c r="H98" s="8"/>
      <c r="I98" s="8"/>
      <c r="J98" s="8"/>
      <c r="K98" s="163"/>
      <c r="L98" s="8"/>
      <c r="M98" s="14"/>
      <c r="N98" s="14"/>
      <c r="O98" s="164"/>
      <c r="P98" s="8"/>
      <c r="Q98" s="8"/>
      <c r="R98" s="8"/>
      <c r="S98" s="8"/>
      <c r="T98" s="8"/>
      <c r="U98" s="164"/>
      <c r="V98" s="12"/>
      <c r="W98" s="12"/>
      <c r="X98" s="12"/>
    </row>
    <row r="99">
      <c r="A99" s="8"/>
      <c r="B99" s="8"/>
      <c r="C99" s="8"/>
      <c r="D99" s="163"/>
      <c r="E99" s="8"/>
      <c r="F99" s="8"/>
      <c r="G99" s="163"/>
      <c r="H99" s="8"/>
      <c r="I99" s="8"/>
      <c r="J99" s="8"/>
      <c r="K99" s="163"/>
      <c r="L99" s="8"/>
      <c r="M99" s="14"/>
      <c r="N99" s="14"/>
      <c r="O99" s="164"/>
      <c r="P99" s="8"/>
      <c r="Q99" s="8"/>
      <c r="R99" s="8"/>
      <c r="S99" s="8"/>
      <c r="T99" s="8"/>
      <c r="U99" s="164"/>
      <c r="V99" s="12"/>
      <c r="W99" s="12"/>
      <c r="X99" s="12"/>
    </row>
    <row r="100">
      <c r="A100" s="8"/>
      <c r="B100" s="8"/>
      <c r="C100" s="8"/>
      <c r="D100" s="163"/>
      <c r="E100" s="8"/>
      <c r="F100" s="8"/>
      <c r="G100" s="163"/>
      <c r="H100" s="8"/>
      <c r="I100" s="8"/>
      <c r="J100" s="8"/>
      <c r="K100" s="163"/>
      <c r="L100" s="8"/>
      <c r="M100" s="14"/>
      <c r="N100" s="14"/>
      <c r="O100" s="164"/>
      <c r="P100" s="8"/>
      <c r="Q100" s="8"/>
      <c r="R100" s="8"/>
      <c r="S100" s="8"/>
      <c r="T100" s="8"/>
      <c r="U100" s="164"/>
      <c r="V100" s="12"/>
      <c r="W100" s="12"/>
      <c r="X100" s="12"/>
    </row>
    <row r="101">
      <c r="A101" s="8"/>
      <c r="B101" s="8"/>
      <c r="C101" s="8"/>
      <c r="D101" s="163"/>
      <c r="E101" s="8"/>
      <c r="F101" s="8"/>
      <c r="G101" s="163"/>
      <c r="H101" s="8"/>
      <c r="I101" s="8"/>
      <c r="J101" s="8"/>
      <c r="K101" s="163"/>
      <c r="L101" s="8"/>
      <c r="M101" s="14"/>
      <c r="N101" s="14"/>
      <c r="O101" s="164"/>
      <c r="P101" s="8"/>
      <c r="Q101" s="8"/>
      <c r="R101" s="8"/>
      <c r="S101" s="8"/>
      <c r="T101" s="8"/>
      <c r="U101" s="164"/>
      <c r="V101" s="12"/>
      <c r="W101" s="12"/>
      <c r="X101" s="12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36" t="s">
        <v>382</v>
      </c>
      <c r="B1" s="37"/>
      <c r="C1" s="37"/>
      <c r="D1" s="37"/>
      <c r="E1" s="37"/>
      <c r="F1" s="182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>
      <c r="A2" s="8"/>
      <c r="B2" s="8"/>
      <c r="C2" s="8"/>
      <c r="D2" s="8"/>
      <c r="E2" s="8"/>
      <c r="F2" s="14"/>
      <c r="G2" s="8"/>
      <c r="H2" s="8"/>
      <c r="I2" s="18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29" t="s">
        <v>384</v>
      </c>
      <c r="B3" s="29" t="s">
        <v>385</v>
      </c>
      <c r="C3" s="29" t="s">
        <v>386</v>
      </c>
      <c r="D3" s="29" t="s">
        <v>387</v>
      </c>
      <c r="E3" s="29" t="s">
        <v>388</v>
      </c>
      <c r="F3" s="96" t="s">
        <v>389</v>
      </c>
      <c r="G3" s="29" t="s">
        <v>386</v>
      </c>
      <c r="H3" s="29" t="s">
        <v>390</v>
      </c>
      <c r="I3" s="184"/>
      <c r="J3" s="95" t="s">
        <v>120</v>
      </c>
      <c r="K3" s="106" t="s">
        <v>391</v>
      </c>
      <c r="L3" s="113" t="s">
        <v>392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8"/>
      <c r="B4" s="8"/>
      <c r="C4" s="8"/>
      <c r="D4" s="8"/>
      <c r="E4" s="8"/>
      <c r="F4" s="14"/>
      <c r="G4" s="8"/>
      <c r="H4" s="8"/>
      <c r="I4" s="183"/>
      <c r="J4" s="106" t="s">
        <v>395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5" t="s">
        <v>398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5" t="s">
        <v>399</v>
      </c>
      <c r="F5" s="165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2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5" t="s">
        <v>407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5" t="s">
        <v>408</v>
      </c>
      <c r="F6" s="165">
        <v>8610000.0</v>
      </c>
      <c r="G6" s="186">
        <f t="shared" si="3"/>
        <v>0.02281338597</v>
      </c>
      <c r="H6" s="186">
        <f t="shared" si="4"/>
        <v>0.02742615092</v>
      </c>
      <c r="I6" s="183"/>
      <c r="J6" s="12"/>
      <c r="K6" s="12"/>
      <c r="L6" s="12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5" t="s">
        <v>292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5" t="s">
        <v>409</v>
      </c>
      <c r="F7" s="165">
        <v>7.82E7</v>
      </c>
      <c r="G7" s="186">
        <f t="shared" si="3"/>
        <v>0.207201717</v>
      </c>
      <c r="H7" s="186">
        <f t="shared" si="4"/>
        <v>0.2490969804</v>
      </c>
      <c r="I7" s="183"/>
      <c r="J7" s="1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5" t="s">
        <v>293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5" t="s">
        <v>410</v>
      </c>
      <c r="F8" s="165">
        <v>8.64E7</v>
      </c>
      <c r="G8" s="186">
        <f t="shared" si="3"/>
        <v>0.2289287512</v>
      </c>
      <c r="H8" s="186">
        <f t="shared" si="4"/>
        <v>0.2752171242</v>
      </c>
      <c r="I8" s="183"/>
      <c r="J8" s="1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5" t="s">
        <v>414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5" t="s">
        <v>415</v>
      </c>
      <c r="F9" s="165">
        <v>1.6E7</v>
      </c>
      <c r="G9" s="186">
        <f t="shared" si="3"/>
        <v>0.04239421319</v>
      </c>
      <c r="H9" s="186">
        <f t="shared" si="4"/>
        <v>0.05096613411</v>
      </c>
      <c r="I9" s="183"/>
      <c r="J9" s="12"/>
      <c r="K9" s="12"/>
      <c r="L9" s="1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5" t="s">
        <v>416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5" t="s">
        <v>417</v>
      </c>
      <c r="F10" s="165">
        <v>1.62E7</v>
      </c>
      <c r="G10" s="186">
        <f t="shared" si="3"/>
        <v>0.04292414085</v>
      </c>
      <c r="H10" s="186">
        <f t="shared" si="4"/>
        <v>0.05160321078</v>
      </c>
      <c r="I10" s="183"/>
      <c r="J10" s="12"/>
      <c r="K10" s="12"/>
      <c r="L10" s="1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5" t="s">
        <v>418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5" t="s">
        <v>182</v>
      </c>
      <c r="F11" s="165" t="s">
        <v>182</v>
      </c>
      <c r="G11" s="25" t="s">
        <v>182</v>
      </c>
      <c r="H11" s="25" t="s">
        <v>182</v>
      </c>
      <c r="I11" s="183"/>
      <c r="J11" s="12"/>
      <c r="K11" s="12"/>
      <c r="L11" s="1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5" t="s">
        <v>419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5" t="s">
        <v>182</v>
      </c>
      <c r="F12" s="165" t="s">
        <v>182</v>
      </c>
      <c r="G12" s="25" t="s">
        <v>182</v>
      </c>
      <c r="H12" s="25" t="s">
        <v>182</v>
      </c>
      <c r="I12" s="183"/>
      <c r="J12" s="12"/>
      <c r="K12" s="12"/>
      <c r="L12" s="1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5" t="s">
        <v>422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5" t="s">
        <v>182</v>
      </c>
      <c r="F13" s="165" t="s">
        <v>182</v>
      </c>
      <c r="G13" s="25" t="s">
        <v>182</v>
      </c>
      <c r="H13" s="25" t="s">
        <v>182</v>
      </c>
      <c r="I13" s="183"/>
      <c r="J13" s="12"/>
      <c r="K13" s="12"/>
      <c r="L13" s="1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5" t="s">
        <v>423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5" t="s">
        <v>424</v>
      </c>
      <c r="F14" s="165">
        <v>1.3E7</v>
      </c>
      <c r="G14" s="186">
        <f>F14/377410000</f>
        <v>0.03444529822</v>
      </c>
      <c r="H14" s="186">
        <f>F14/313933954</f>
        <v>0.04140998396</v>
      </c>
      <c r="I14" s="183"/>
      <c r="J14" s="12"/>
      <c r="K14" s="12"/>
      <c r="L14" s="1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5" t="s">
        <v>425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5" t="s">
        <v>182</v>
      </c>
      <c r="F15" s="165" t="s">
        <v>182</v>
      </c>
      <c r="G15" s="25" t="s">
        <v>182</v>
      </c>
      <c r="H15" s="25" t="s">
        <v>182</v>
      </c>
      <c r="I15" s="183"/>
      <c r="J15" s="106" t="s">
        <v>426</v>
      </c>
      <c r="K15" s="12"/>
      <c r="L15" s="1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5" t="s">
        <v>427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5" t="s">
        <v>182</v>
      </c>
      <c r="F16" s="165" t="s">
        <v>182</v>
      </c>
      <c r="G16" s="25" t="s">
        <v>182</v>
      </c>
      <c r="H16" s="25" t="s">
        <v>182</v>
      </c>
      <c r="I16" s="183"/>
      <c r="J16" s="12"/>
      <c r="K16" s="12"/>
      <c r="L16" s="1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5" t="s">
        <v>431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5" t="s">
        <v>182</v>
      </c>
      <c r="F17" s="165" t="s">
        <v>182</v>
      </c>
      <c r="G17" s="25" t="s">
        <v>182</v>
      </c>
      <c r="H17" s="25" t="s">
        <v>182</v>
      </c>
      <c r="I17" s="183"/>
      <c r="J17" s="12"/>
      <c r="K17" s="12"/>
      <c r="L17" s="1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5" t="s">
        <v>432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5" t="s">
        <v>182</v>
      </c>
      <c r="F18" s="165" t="s">
        <v>182</v>
      </c>
      <c r="G18" s="25" t="s">
        <v>182</v>
      </c>
      <c r="H18" s="25" t="s">
        <v>182</v>
      </c>
      <c r="I18" s="183"/>
      <c r="J18" s="12"/>
      <c r="K18" s="12"/>
      <c r="L18" s="12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5" t="s">
        <v>433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5" t="s">
        <v>182</v>
      </c>
      <c r="F19" s="165" t="s">
        <v>182</v>
      </c>
      <c r="G19" s="25" t="s">
        <v>182</v>
      </c>
      <c r="H19" s="25" t="s">
        <v>182</v>
      </c>
      <c r="I19" s="183"/>
      <c r="J19" s="12"/>
      <c r="K19" s="12"/>
      <c r="L19" s="12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5" t="s">
        <v>434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5" t="s">
        <v>182</v>
      </c>
      <c r="F20" s="165" t="s">
        <v>182</v>
      </c>
      <c r="G20" s="25" t="s">
        <v>182</v>
      </c>
      <c r="H20" s="25" t="s">
        <v>182</v>
      </c>
      <c r="I20" s="183"/>
      <c r="J20" s="12"/>
      <c r="K20" s="12"/>
      <c r="L20" s="1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5" t="s">
        <v>436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5" t="s">
        <v>437</v>
      </c>
      <c r="F21" s="165">
        <v>7900000.0</v>
      </c>
      <c r="G21" s="186">
        <f>F21/377410000</f>
        <v>0.02093214276</v>
      </c>
      <c r="H21" s="186">
        <f>F21/313933954</f>
        <v>0.02516452871</v>
      </c>
      <c r="I21" s="183"/>
      <c r="J21" s="106" t="s">
        <v>438</v>
      </c>
      <c r="K21" s="12"/>
      <c r="L21" s="1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5" t="s">
        <v>440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5" t="s">
        <v>182</v>
      </c>
      <c r="F22" s="165" t="s">
        <v>182</v>
      </c>
      <c r="G22" s="25" t="s">
        <v>182</v>
      </c>
      <c r="H22" s="25" t="s">
        <v>182</v>
      </c>
      <c r="I22" s="183"/>
      <c r="J22" s="106" t="s">
        <v>441</v>
      </c>
      <c r="K22" s="12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187"/>
      <c r="I23" s="188"/>
    </row>
    <row r="24">
      <c r="A24" s="29" t="s">
        <v>442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0"/>
      <c r="F24" s="96">
        <v>3.7741E8</v>
      </c>
      <c r="G24" s="186">
        <f>F24/377410000</f>
        <v>1</v>
      </c>
      <c r="H24" s="186">
        <f>F24/313933954</f>
        <v>1.202195542</v>
      </c>
      <c r="I24" s="184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8"/>
      <c r="B25" s="8"/>
      <c r="C25" s="8"/>
      <c r="D25" s="7"/>
      <c r="E25" s="7"/>
      <c r="F25" s="192"/>
      <c r="G25" s="7"/>
      <c r="H25" s="7"/>
      <c r="I25" s="183"/>
      <c r="J25" s="12"/>
      <c r="K25" s="12"/>
      <c r="L25" s="1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29" t="s">
        <v>448</v>
      </c>
      <c r="B26" s="8"/>
      <c r="C26" s="8"/>
      <c r="D26" s="7"/>
      <c r="E26" s="7"/>
      <c r="F26" s="192"/>
      <c r="G26" s="7"/>
      <c r="H26" s="7"/>
      <c r="I26" s="183"/>
      <c r="J26" s="12"/>
      <c r="K26" s="12"/>
      <c r="L26" s="1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5" t="s">
        <v>449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5" t="s">
        <v>182</v>
      </c>
      <c r="F27" s="165" t="s">
        <v>182</v>
      </c>
      <c r="G27" s="25" t="s">
        <v>182</v>
      </c>
      <c r="H27" s="25" t="s">
        <v>182</v>
      </c>
      <c r="I27" s="183"/>
      <c r="J27" s="106" t="s">
        <v>450</v>
      </c>
      <c r="K27" s="12"/>
      <c r="L27" s="12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5" t="s">
        <v>452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5" t="s">
        <v>182</v>
      </c>
      <c r="F28" s="165" t="s">
        <v>182</v>
      </c>
      <c r="G28" s="25" t="s">
        <v>182</v>
      </c>
      <c r="H28" s="25" t="s">
        <v>182</v>
      </c>
      <c r="I28" s="183"/>
      <c r="J28" s="106" t="s">
        <v>450</v>
      </c>
      <c r="K28" s="12"/>
      <c r="L28" s="1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192"/>
      <c r="G29" s="7"/>
      <c r="H29" s="7"/>
      <c r="I29" s="183"/>
      <c r="J29" s="12"/>
      <c r="K29" s="12"/>
      <c r="L29" s="1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36" t="s">
        <v>455</v>
      </c>
      <c r="B30" s="37"/>
      <c r="C30" s="37"/>
      <c r="D30" s="193"/>
      <c r="E30" s="193"/>
      <c r="F30" s="194"/>
      <c r="G30" s="193"/>
      <c r="H30" s="193"/>
      <c r="I30" s="37"/>
      <c r="J30" s="195"/>
      <c r="K30" s="195"/>
      <c r="L30" s="195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>
      <c r="A31" s="8"/>
      <c r="B31" s="8"/>
      <c r="C31" s="8"/>
      <c r="D31" s="7"/>
      <c r="E31" s="7"/>
      <c r="F31" s="192"/>
      <c r="G31" s="7"/>
      <c r="H31" s="7"/>
      <c r="I31" s="183"/>
      <c r="J31" s="12"/>
      <c r="K31" s="12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5" t="s">
        <v>459</v>
      </c>
      <c r="B32" s="14">
        <f>sum(B38:B40)</f>
        <v>26439319</v>
      </c>
      <c r="C32" s="8"/>
      <c r="D32" s="7"/>
      <c r="E32" s="7"/>
      <c r="F32" s="192"/>
      <c r="G32" s="7"/>
      <c r="H32" s="7"/>
      <c r="I32" s="183"/>
      <c r="J32" s="106">
        <v>2011.0</v>
      </c>
      <c r="K32" s="106" t="s">
        <v>460</v>
      </c>
      <c r="L32" s="12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5" t="s">
        <v>461</v>
      </c>
      <c r="B33" s="166">
        <v>0.48</v>
      </c>
      <c r="C33" s="8"/>
      <c r="D33" s="7"/>
      <c r="E33" s="7"/>
      <c r="F33" s="166">
        <v>0.68</v>
      </c>
      <c r="G33" s="7"/>
      <c r="H33" s="7"/>
      <c r="I33" s="183"/>
      <c r="J33" s="106">
        <v>2012.0</v>
      </c>
      <c r="K33" s="106" t="s">
        <v>462</v>
      </c>
      <c r="L33" s="113" t="s">
        <v>392</v>
      </c>
      <c r="M33" s="128" t="s">
        <v>304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5" t="s">
        <v>466</v>
      </c>
      <c r="B34" s="14">
        <f>B32*B33</f>
        <v>12690873.12</v>
      </c>
      <c r="C34" s="25" t="s">
        <v>467</v>
      </c>
      <c r="D34" s="7"/>
      <c r="E34" s="7"/>
      <c r="F34" s="165">
        <v>8.25E7</v>
      </c>
      <c r="G34" s="7"/>
      <c r="H34" s="7"/>
      <c r="I34" s="183"/>
      <c r="J34" s="12"/>
      <c r="K34" s="12"/>
      <c r="L34" s="12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196"/>
      <c r="C35" s="197"/>
      <c r="D35" s="7"/>
      <c r="E35" s="7"/>
      <c r="F35" s="192"/>
      <c r="G35" s="7"/>
      <c r="H35" s="7"/>
      <c r="I35" s="183"/>
      <c r="J35" s="12"/>
      <c r="K35" s="12"/>
      <c r="L35" s="12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83"/>
      <c r="B36" s="198"/>
      <c r="C36" s="199"/>
      <c r="D36" s="200"/>
      <c r="E36" s="200"/>
      <c r="F36" s="201"/>
      <c r="G36" s="200"/>
      <c r="H36" s="200"/>
      <c r="I36" s="183"/>
      <c r="J36" s="202"/>
      <c r="K36" s="202"/>
      <c r="L36" s="202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3"/>
      <c r="D37" s="7"/>
      <c r="E37" s="7"/>
      <c r="F37" s="192"/>
      <c r="G37" s="7"/>
      <c r="H37" s="7"/>
      <c r="I37" s="183"/>
      <c r="J37" s="204"/>
      <c r="K37" s="12"/>
      <c r="L37" s="2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07" t="s">
        <v>472</v>
      </c>
      <c r="B38" s="205">
        <v>2.3366044E7</v>
      </c>
      <c r="C38" s="197"/>
      <c r="D38" s="8"/>
      <c r="E38" s="8"/>
      <c r="F38" s="14"/>
      <c r="G38" s="8"/>
      <c r="H38" s="8"/>
      <c r="I38" s="183"/>
      <c r="J38" s="12"/>
      <c r="K38" s="106" t="s">
        <v>473</v>
      </c>
      <c r="L38" s="113" t="s">
        <v>474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07" t="s">
        <v>476</v>
      </c>
      <c r="B39" s="205">
        <v>703275.0</v>
      </c>
      <c r="C39" s="197"/>
      <c r="D39" s="8"/>
      <c r="E39" s="8"/>
      <c r="F39" s="14"/>
      <c r="G39" s="8"/>
      <c r="H39" s="8"/>
      <c r="I39" s="183"/>
      <c r="J39" s="12"/>
      <c r="K39" s="106" t="s">
        <v>477</v>
      </c>
      <c r="L39" s="113" t="s">
        <v>478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07" t="s">
        <v>480</v>
      </c>
      <c r="B40" s="205">
        <v>2370000.0</v>
      </c>
      <c r="C40" s="197"/>
      <c r="D40" s="8"/>
      <c r="E40" s="8"/>
      <c r="F40" s="14"/>
      <c r="G40" s="8"/>
      <c r="H40" s="8"/>
      <c r="I40" s="183"/>
      <c r="J40" s="12"/>
      <c r="K40" s="106" t="s">
        <v>481</v>
      </c>
      <c r="L40" s="113" t="s">
        <v>482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4"/>
      <c r="G41" s="8"/>
      <c r="H41" s="8"/>
      <c r="I41" s="183"/>
      <c r="J41" s="12"/>
      <c r="K41" s="12"/>
      <c r="L41" s="12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4"/>
      <c r="G42" s="8"/>
      <c r="H42" s="8"/>
      <c r="I42" s="183"/>
      <c r="J42" s="12"/>
      <c r="K42" s="12"/>
      <c r="L42" s="12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4"/>
      <c r="G43" s="8"/>
      <c r="H43" s="8"/>
      <c r="I43" s="183"/>
      <c r="J43" s="12"/>
      <c r="K43" s="12"/>
      <c r="L43" s="12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4"/>
      <c r="G44" s="8"/>
      <c r="H44" s="8"/>
      <c r="I44" s="183"/>
      <c r="J44" s="12"/>
      <c r="K44" s="12"/>
      <c r="L44" s="12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4"/>
      <c r="G45" s="8"/>
      <c r="H45" s="8"/>
      <c r="I45" s="183"/>
      <c r="J45" s="12"/>
      <c r="K45" s="12"/>
      <c r="L45" s="12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4"/>
      <c r="G46" s="8"/>
      <c r="H46" s="8"/>
      <c r="I46" s="183"/>
      <c r="J46" s="12"/>
      <c r="K46" s="12"/>
      <c r="L46" s="12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4"/>
      <c r="G47" s="8"/>
      <c r="H47" s="8"/>
      <c r="I47" s="183"/>
      <c r="J47" s="12"/>
      <c r="K47" s="12"/>
      <c r="L47" s="12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4"/>
      <c r="G48" s="8"/>
      <c r="H48" s="8"/>
      <c r="I48" s="183"/>
      <c r="J48" s="12"/>
      <c r="K48" s="12"/>
      <c r="L48" s="12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4"/>
      <c r="G49" s="8"/>
      <c r="H49" s="8"/>
      <c r="I49" s="183"/>
      <c r="J49" s="12"/>
      <c r="K49" s="12"/>
      <c r="L49" s="12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4"/>
      <c r="G50" s="8"/>
      <c r="H50" s="8"/>
      <c r="I50" s="183"/>
      <c r="J50" s="12"/>
      <c r="K50" s="12"/>
      <c r="L50" s="12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4"/>
      <c r="G51" s="8"/>
      <c r="H51" s="8"/>
      <c r="I51" s="183"/>
      <c r="J51" s="12"/>
      <c r="K51" s="12"/>
      <c r="L51" s="12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4"/>
      <c r="G52" s="8"/>
      <c r="H52" s="8"/>
      <c r="I52" s="183"/>
      <c r="J52" s="12"/>
      <c r="K52" s="12"/>
      <c r="L52" s="12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4"/>
      <c r="G53" s="8"/>
      <c r="H53" s="8"/>
      <c r="I53" s="183"/>
      <c r="J53" s="12"/>
      <c r="K53" s="12"/>
      <c r="L53" s="12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4"/>
      <c r="G54" s="8"/>
      <c r="H54" s="8"/>
      <c r="I54" s="183"/>
      <c r="J54" s="12"/>
      <c r="K54" s="12"/>
      <c r="L54" s="12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4"/>
      <c r="G55" s="8"/>
      <c r="H55" s="8"/>
      <c r="I55" s="183"/>
      <c r="J55" s="12"/>
      <c r="K55" s="12"/>
      <c r="L55" s="12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4"/>
      <c r="G56" s="8"/>
      <c r="H56" s="8"/>
      <c r="I56" s="183"/>
      <c r="J56" s="12"/>
      <c r="K56" s="12"/>
      <c r="L56" s="12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4"/>
      <c r="G57" s="8"/>
      <c r="H57" s="8"/>
      <c r="I57" s="183"/>
      <c r="J57" s="12"/>
      <c r="K57" s="12"/>
      <c r="L57" s="12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4"/>
      <c r="G58" s="8"/>
      <c r="H58" s="8"/>
      <c r="I58" s="183"/>
      <c r="J58" s="12"/>
      <c r="K58" s="12"/>
      <c r="L58" s="12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4"/>
      <c r="G59" s="8"/>
      <c r="H59" s="8"/>
      <c r="I59" s="183"/>
      <c r="J59" s="12"/>
      <c r="K59" s="12"/>
      <c r="L59" s="12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4"/>
      <c r="G60" s="8"/>
      <c r="H60" s="8"/>
      <c r="I60" s="183"/>
      <c r="J60" s="12"/>
      <c r="K60" s="12"/>
      <c r="L60" s="12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4"/>
      <c r="G61" s="8"/>
      <c r="H61" s="8"/>
      <c r="I61" s="183"/>
      <c r="J61" s="12"/>
      <c r="K61" s="12"/>
      <c r="L61" s="12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4"/>
      <c r="G62" s="8"/>
      <c r="H62" s="8"/>
      <c r="I62" s="183"/>
      <c r="J62" s="12"/>
      <c r="K62" s="12"/>
      <c r="L62" s="12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4"/>
      <c r="G63" s="8"/>
      <c r="H63" s="8"/>
      <c r="I63" s="183"/>
      <c r="J63" s="12"/>
      <c r="K63" s="12"/>
      <c r="L63" s="12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4"/>
      <c r="G64" s="8"/>
      <c r="H64" s="8"/>
      <c r="I64" s="183"/>
      <c r="J64" s="12"/>
      <c r="K64" s="12"/>
      <c r="L64" s="12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4"/>
      <c r="G65" s="8"/>
      <c r="H65" s="8"/>
      <c r="I65" s="183"/>
      <c r="J65" s="12"/>
      <c r="K65" s="12"/>
      <c r="L65" s="12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4"/>
      <c r="G66" s="8"/>
      <c r="H66" s="8"/>
      <c r="I66" s="183"/>
      <c r="J66" s="12"/>
      <c r="K66" s="12"/>
      <c r="L66" s="12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4"/>
      <c r="G67" s="8"/>
      <c r="H67" s="8"/>
      <c r="I67" s="183"/>
      <c r="J67" s="12"/>
      <c r="K67" s="12"/>
      <c r="L67" s="12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4"/>
      <c r="G68" s="8"/>
      <c r="H68" s="8"/>
      <c r="I68" s="183"/>
      <c r="J68" s="12"/>
      <c r="K68" s="12"/>
      <c r="L68" s="12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36" t="s">
        <v>495</v>
      </c>
      <c r="B1" s="37"/>
      <c r="C1" s="37"/>
      <c r="D1" s="37"/>
      <c r="E1" s="37"/>
      <c r="F1" s="209" t="s">
        <v>120</v>
      </c>
      <c r="G1" s="209" t="s">
        <v>121</v>
      </c>
      <c r="H1" s="209" t="s">
        <v>122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>
      <c r="A2" s="25" t="s">
        <v>497</v>
      </c>
      <c r="B2" s="8"/>
      <c r="C2" s="8"/>
      <c r="D2" s="8"/>
      <c r="E2" s="164"/>
      <c r="F2" s="12"/>
      <c r="G2" s="12"/>
      <c r="H2" s="1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62"/>
      <c r="B3" s="8"/>
      <c r="C3" s="29" t="s">
        <v>293</v>
      </c>
      <c r="D3" s="29" t="s">
        <v>292</v>
      </c>
      <c r="E3" s="161"/>
      <c r="F3" s="106" t="s">
        <v>498</v>
      </c>
      <c r="G3" s="106" t="s">
        <v>499</v>
      </c>
      <c r="H3" s="128" t="s">
        <v>500</v>
      </c>
      <c r="I3" s="113" t="s">
        <v>501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>
      <c r="A4" s="29" t="s">
        <v>505</v>
      </c>
      <c r="B4" s="25" t="s">
        <v>506</v>
      </c>
      <c r="C4" s="25" t="s">
        <v>507</v>
      </c>
      <c r="D4" s="25" t="s">
        <v>507</v>
      </c>
      <c r="E4" s="164"/>
      <c r="F4" s="12"/>
      <c r="G4" s="12"/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20"/>
      <c r="B5" s="8"/>
      <c r="C5" s="25" t="s">
        <v>508</v>
      </c>
      <c r="D5" s="25" t="s">
        <v>509</v>
      </c>
      <c r="E5" s="164"/>
      <c r="F5" s="12"/>
      <c r="G5" s="12"/>
      <c r="H5" s="1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20"/>
      <c r="B6" s="8"/>
      <c r="C6" s="25" t="s">
        <v>510</v>
      </c>
      <c r="D6" s="25" t="s">
        <v>511</v>
      </c>
      <c r="E6" s="164"/>
      <c r="F6" s="12"/>
      <c r="G6" s="12"/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20"/>
      <c r="B7" s="8"/>
      <c r="C7" s="8"/>
      <c r="D7" s="8"/>
      <c r="E7" s="164"/>
      <c r="F7" s="12"/>
      <c r="G7" s="12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20"/>
      <c r="B8" s="25" t="s">
        <v>512</v>
      </c>
      <c r="C8" s="25" t="s">
        <v>513</v>
      </c>
      <c r="D8" s="25" t="s">
        <v>182</v>
      </c>
      <c r="E8" s="164"/>
      <c r="F8" s="12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20"/>
      <c r="B9" s="8"/>
      <c r="C9" s="25" t="s">
        <v>514</v>
      </c>
      <c r="D9" s="25" t="s">
        <v>182</v>
      </c>
      <c r="E9" s="164"/>
      <c r="F9" s="12"/>
      <c r="G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20"/>
      <c r="B10" s="8"/>
      <c r="C10" s="8"/>
      <c r="D10" s="8"/>
      <c r="E10" s="164"/>
      <c r="F10" s="12"/>
      <c r="G10" s="12"/>
      <c r="H10" s="1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29" t="s">
        <v>515</v>
      </c>
      <c r="B11" s="25" t="s">
        <v>506</v>
      </c>
      <c r="C11" s="25" t="s">
        <v>516</v>
      </c>
      <c r="D11" s="25" t="s">
        <v>518</v>
      </c>
      <c r="E11" s="164"/>
      <c r="F11" s="12"/>
      <c r="G11" s="12"/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20"/>
      <c r="B12" s="8"/>
      <c r="C12" s="25" t="s">
        <v>182</v>
      </c>
      <c r="D12" s="25" t="s">
        <v>519</v>
      </c>
      <c r="E12" s="164"/>
      <c r="F12" s="12"/>
      <c r="G12" s="12"/>
      <c r="H12" s="1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20"/>
      <c r="B13" s="8"/>
      <c r="C13" s="25" t="s">
        <v>182</v>
      </c>
      <c r="D13" s="25" t="s">
        <v>520</v>
      </c>
      <c r="E13" s="164"/>
      <c r="F13" s="12"/>
      <c r="G13" s="12"/>
      <c r="H13" s="1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20"/>
      <c r="B14" s="8"/>
      <c r="C14" s="8"/>
      <c r="D14" s="8"/>
      <c r="E14" s="164"/>
      <c r="F14" s="12"/>
      <c r="G14" s="12"/>
      <c r="H14" s="1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20"/>
      <c r="B15" s="25" t="s">
        <v>512</v>
      </c>
      <c r="C15" s="25" t="s">
        <v>521</v>
      </c>
      <c r="D15" s="25" t="s">
        <v>182</v>
      </c>
      <c r="E15" s="164"/>
      <c r="F15" s="12"/>
      <c r="G15" s="12"/>
      <c r="H15" s="1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164"/>
      <c r="F16" s="12"/>
      <c r="G16" s="12"/>
      <c r="H16" s="1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36" t="s">
        <v>525</v>
      </c>
      <c r="B17" s="37"/>
      <c r="C17" s="37"/>
      <c r="D17" s="37"/>
      <c r="E17" s="37"/>
      <c r="F17" s="195"/>
      <c r="G17" s="195"/>
      <c r="H17" s="195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>
      <c r="A18" s="8"/>
      <c r="B18" s="29" t="s">
        <v>526</v>
      </c>
      <c r="C18" s="29" t="s">
        <v>527</v>
      </c>
      <c r="D18" s="29" t="s">
        <v>528</v>
      </c>
      <c r="E18" s="164"/>
      <c r="F18" s="22"/>
      <c r="G18" s="106" t="s">
        <v>529</v>
      </c>
      <c r="H18" s="113" t="s">
        <v>530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13">
        <v>2000.0</v>
      </c>
      <c r="C19" s="25">
        <v>6.5</v>
      </c>
      <c r="D19" s="25">
        <v>8.0</v>
      </c>
      <c r="E19" s="164"/>
      <c r="F19" s="210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13">
        <v>2001.0</v>
      </c>
      <c r="C20" s="25">
        <v>6.1</v>
      </c>
      <c r="D20" s="25">
        <v>7.5</v>
      </c>
      <c r="E20" s="164"/>
      <c r="F20" s="12"/>
      <c r="G20" s="12"/>
      <c r="H20" s="1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13">
        <v>2002.0</v>
      </c>
      <c r="C21" s="25">
        <v>6.1</v>
      </c>
      <c r="D21" s="25">
        <v>7.5</v>
      </c>
      <c r="E21" s="164"/>
      <c r="F21" s="12"/>
      <c r="G21" s="12"/>
      <c r="H21" s="1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13">
        <v>2003.0</v>
      </c>
      <c r="C22" s="25">
        <v>6.5</v>
      </c>
      <c r="D22" s="25">
        <v>9.2</v>
      </c>
      <c r="E22" s="164"/>
      <c r="F22" s="12"/>
      <c r="G22" s="12"/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13">
        <v>2004.0</v>
      </c>
      <c r="C23" s="25">
        <v>6.8</v>
      </c>
      <c r="D23" s="25">
        <v>9.6</v>
      </c>
      <c r="E23" s="164"/>
      <c r="F23" s="12"/>
      <c r="G23" s="12"/>
      <c r="H23" s="1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13">
        <v>2005.0</v>
      </c>
      <c r="C24" s="106" t="s">
        <v>150</v>
      </c>
      <c r="D24" s="106" t="s">
        <v>150</v>
      </c>
      <c r="E24" s="164"/>
      <c r="F24" s="210"/>
      <c r="G24" s="12"/>
      <c r="H24" s="1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13">
        <v>2006.0</v>
      </c>
      <c r="C25" s="106" t="s">
        <v>150</v>
      </c>
      <c r="D25" s="106" t="s">
        <v>150</v>
      </c>
      <c r="E25" s="164"/>
      <c r="F25" s="12"/>
      <c r="G25" s="12"/>
      <c r="H25" s="1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13">
        <v>2007.0</v>
      </c>
      <c r="C26" s="106" t="s">
        <v>150</v>
      </c>
      <c r="D26" s="106" t="s">
        <v>150</v>
      </c>
      <c r="E26" s="164"/>
      <c r="F26" s="12"/>
      <c r="G26" s="12"/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13">
        <v>2008.0</v>
      </c>
      <c r="C27" s="25">
        <v>7.3</v>
      </c>
      <c r="D27" s="25">
        <v>7.2</v>
      </c>
      <c r="E27" s="164"/>
      <c r="F27" s="12"/>
      <c r="G27" s="12"/>
      <c r="H27" s="1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13">
        <v>2009.0</v>
      </c>
      <c r="C28" s="25">
        <v>8.0</v>
      </c>
      <c r="D28" s="25">
        <v>8.0</v>
      </c>
      <c r="E28" s="164"/>
      <c r="F28" s="12"/>
      <c r="G28" s="12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13">
        <v>2010.0</v>
      </c>
      <c r="C29" s="25">
        <v>8.0</v>
      </c>
      <c r="D29" s="25">
        <v>8.0</v>
      </c>
      <c r="E29" s="164"/>
      <c r="F29" s="12"/>
      <c r="G29" s="12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13">
        <v>2011.0</v>
      </c>
      <c r="C30" s="25">
        <v>8.0</v>
      </c>
      <c r="D30" s="25">
        <v>8.0</v>
      </c>
      <c r="E30" s="164"/>
      <c r="F30" s="12"/>
      <c r="G30" s="12"/>
      <c r="H30" s="1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13">
        <v>2012.0</v>
      </c>
      <c r="C31" s="25">
        <v>8.0</v>
      </c>
      <c r="D31" s="25">
        <v>8.0</v>
      </c>
      <c r="E31" s="164"/>
      <c r="F31" s="12"/>
      <c r="G31" s="12"/>
      <c r="H31" s="1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164"/>
      <c r="F32" s="12"/>
      <c r="G32" s="12"/>
      <c r="H32" s="1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164"/>
      <c r="F33" s="12"/>
      <c r="G33" s="12"/>
      <c r="H33" s="1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164"/>
      <c r="F34" s="12"/>
      <c r="G34" s="12"/>
      <c r="H34" s="1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164"/>
      <c r="F35" s="12"/>
      <c r="G35" s="12"/>
      <c r="H35" s="1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164"/>
      <c r="F36" s="12"/>
      <c r="G36" s="12"/>
      <c r="H36" s="1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164"/>
      <c r="F37" s="12"/>
      <c r="G37" s="12"/>
      <c r="H37" s="1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164"/>
      <c r="F38" s="12"/>
      <c r="G38" s="12"/>
      <c r="H38" s="1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164"/>
      <c r="F39" s="12"/>
      <c r="G39" s="12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164"/>
      <c r="F40" s="12"/>
      <c r="G40" s="12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164"/>
      <c r="F41" s="12"/>
      <c r="G41" s="12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164"/>
      <c r="F42" s="12"/>
      <c r="G42" s="12"/>
      <c r="H42" s="1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164"/>
      <c r="F43" s="12"/>
      <c r="G43" s="12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164"/>
      <c r="F44" s="12"/>
      <c r="G44" s="12"/>
      <c r="H44" s="1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164"/>
      <c r="F45" s="12"/>
      <c r="G45" s="12"/>
      <c r="H45" s="1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164"/>
      <c r="F46" s="12"/>
      <c r="G46" s="12"/>
      <c r="H46" s="1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164"/>
      <c r="F47" s="12"/>
      <c r="G47" s="12"/>
      <c r="H47" s="1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164"/>
      <c r="F48" s="12"/>
      <c r="G48" s="12"/>
      <c r="H48" s="1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164"/>
      <c r="F49" s="12"/>
      <c r="G49" s="12"/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164"/>
      <c r="F50" s="12"/>
      <c r="G50" s="12"/>
      <c r="H50" s="1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164"/>
      <c r="F51" s="12"/>
      <c r="G51" s="12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164"/>
      <c r="F52" s="12"/>
      <c r="G52" s="12"/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164"/>
      <c r="F53" s="12"/>
      <c r="G53" s="12"/>
      <c r="H53" s="1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164"/>
      <c r="F54" s="12"/>
      <c r="G54" s="12"/>
      <c r="H54" s="1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164"/>
      <c r="F55" s="12"/>
      <c r="G55" s="12"/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164"/>
      <c r="F56" s="12"/>
      <c r="G56" s="12"/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164"/>
      <c r="F57" s="12"/>
      <c r="G57" s="12"/>
      <c r="H57" s="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164"/>
      <c r="F58" s="12"/>
      <c r="G58" s="12"/>
      <c r="H58" s="1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164"/>
      <c r="F59" s="12"/>
      <c r="G59" s="12"/>
      <c r="H59" s="1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164"/>
      <c r="F60" s="12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164"/>
      <c r="F61" s="12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164"/>
      <c r="F62" s="12"/>
      <c r="G62" s="12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164"/>
      <c r="F63" s="12"/>
      <c r="G63" s="12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164"/>
      <c r="F64" s="12"/>
      <c r="G64" s="12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164"/>
      <c r="F65" s="12"/>
      <c r="G65" s="12"/>
      <c r="H65" s="1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164"/>
      <c r="F66" s="12"/>
      <c r="G66" s="12"/>
      <c r="H66" s="1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164"/>
      <c r="F67" s="12"/>
      <c r="G67" s="12"/>
      <c r="H67" s="1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164"/>
      <c r="F68" s="12"/>
      <c r="G68" s="12"/>
      <c r="H68" s="1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164"/>
      <c r="F69" s="12"/>
      <c r="G69" s="12"/>
      <c r="H69" s="1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164"/>
      <c r="F70" s="12"/>
      <c r="G70" s="12"/>
      <c r="H70" s="1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164"/>
      <c r="F71" s="12"/>
      <c r="G71" s="12"/>
      <c r="H71" s="1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164"/>
      <c r="F72" s="12"/>
      <c r="G72" s="12"/>
      <c r="H72" s="1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164"/>
      <c r="F73" s="12"/>
      <c r="G73" s="12"/>
      <c r="H73" s="1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164"/>
      <c r="F74" s="12"/>
      <c r="G74" s="12"/>
      <c r="H74" s="1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164"/>
      <c r="F75" s="12"/>
      <c r="G75" s="12"/>
      <c r="H75" s="1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164"/>
      <c r="F76" s="12"/>
      <c r="G76" s="12"/>
      <c r="H76" s="1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164"/>
      <c r="F77" s="12"/>
      <c r="G77" s="12"/>
      <c r="H77" s="1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164"/>
      <c r="F78" s="12"/>
      <c r="G78" s="12"/>
      <c r="H78" s="1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164"/>
      <c r="F79" s="12"/>
      <c r="G79" s="12"/>
      <c r="H79" s="1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164"/>
      <c r="F80" s="12"/>
      <c r="G80" s="12"/>
      <c r="H80" s="1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164"/>
      <c r="F81" s="12"/>
      <c r="G81" s="12"/>
      <c r="H81" s="1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164"/>
      <c r="F82" s="12"/>
      <c r="G82" s="12"/>
      <c r="H82" s="1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73">
        <v>2.0</v>
      </c>
      <c r="B1" s="73" t="s">
        <v>557</v>
      </c>
      <c r="C1" s="73" t="s">
        <v>558</v>
      </c>
      <c r="D1" s="73" t="s">
        <v>559</v>
      </c>
      <c r="E1" s="211"/>
      <c r="F1" s="73" t="s">
        <v>560</v>
      </c>
      <c r="G1" s="73" t="s">
        <v>561</v>
      </c>
      <c r="H1" s="73" t="s">
        <v>562</v>
      </c>
      <c r="I1" s="73" t="s">
        <v>213</v>
      </c>
      <c r="J1" s="73" t="s">
        <v>563</v>
      </c>
      <c r="K1" s="73" t="s">
        <v>564</v>
      </c>
      <c r="L1" s="73" t="s">
        <v>565</v>
      </c>
      <c r="M1" s="51"/>
      <c r="N1" s="212"/>
      <c r="O1" s="73" t="s">
        <v>566</v>
      </c>
      <c r="P1" s="73" t="s">
        <v>567</v>
      </c>
      <c r="Q1" s="73" t="s">
        <v>568</v>
      </c>
      <c r="R1" s="73" t="s">
        <v>569</v>
      </c>
      <c r="S1" s="73" t="s">
        <v>570</v>
      </c>
      <c r="T1" s="73" t="s">
        <v>571</v>
      </c>
      <c r="U1" s="73" t="s">
        <v>572</v>
      </c>
      <c r="V1" s="212"/>
      <c r="W1" s="73" t="s">
        <v>573</v>
      </c>
      <c r="X1" s="212"/>
      <c r="Y1" s="73" t="s">
        <v>574</v>
      </c>
      <c r="Z1" s="73" t="s">
        <v>121</v>
      </c>
      <c r="AA1" s="52"/>
      <c r="AB1" s="52"/>
      <c r="AC1" s="52"/>
      <c r="AD1" s="52"/>
      <c r="AE1" s="52"/>
      <c r="AF1" s="52"/>
      <c r="AG1" s="52"/>
      <c r="AH1" s="52"/>
      <c r="AI1" s="52"/>
      <c r="AJ1" s="52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76" t="s">
        <v>575</v>
      </c>
      <c r="L2" s="76" t="s">
        <v>575</v>
      </c>
      <c r="M2" s="51"/>
      <c r="N2" s="212"/>
      <c r="O2" s="213"/>
      <c r="P2" s="76" t="s">
        <v>576</v>
      </c>
      <c r="Q2" s="129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577</v>
      </c>
      <c r="B3" s="24">
        <f>SUM(H3+J3+K3+L3)</f>
        <v>838</v>
      </c>
      <c r="C3" s="42">
        <f>SUM((B3*F3)+(G3+I3))</f>
        <v>11814</v>
      </c>
      <c r="D3" s="42">
        <f>AVERAGE(D8)</f>
        <v>649.4666667</v>
      </c>
      <c r="E3" s="215"/>
      <c r="F3" s="42">
        <f>AVERAGE(F8)</f>
        <v>13</v>
      </c>
      <c r="G3" s="62">
        <v>600.0</v>
      </c>
      <c r="H3" s="62">
        <v>300.0</v>
      </c>
      <c r="I3" s="62">
        <v>320.0</v>
      </c>
      <c r="J3" s="62">
        <v>216.0</v>
      </c>
      <c r="K3" s="62">
        <v>180.0</v>
      </c>
      <c r="L3" s="62">
        <v>142.0</v>
      </c>
      <c r="M3" s="158"/>
      <c r="N3" s="216"/>
      <c r="O3" s="42">
        <f t="shared" ref="O3:T3" si="1">AVERAGE(O8)</f>
        <v>13</v>
      </c>
      <c r="P3" s="42">
        <f t="shared" si="1"/>
        <v>60</v>
      </c>
      <c r="Q3" s="42">
        <f t="shared" si="1"/>
        <v>200</v>
      </c>
      <c r="R3" s="42">
        <f t="shared" si="1"/>
        <v>60</v>
      </c>
      <c r="S3" s="42">
        <f t="shared" si="1"/>
        <v>15</v>
      </c>
      <c r="T3" s="42">
        <f t="shared" si="1"/>
        <v>3</v>
      </c>
      <c r="U3" s="42"/>
      <c r="V3" s="216"/>
      <c r="W3" s="42">
        <f>AVERAGE(W8)</f>
        <v>130</v>
      </c>
      <c r="X3" s="216"/>
      <c r="Y3" s="42">
        <f>AVERAGE(Y8)</f>
        <v>15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</row>
    <row r="4">
      <c r="A4" s="13" t="s">
        <v>583</v>
      </c>
      <c r="B4" s="50"/>
      <c r="C4" s="50"/>
      <c r="D4" s="50"/>
      <c r="E4" s="43"/>
      <c r="F4" s="50"/>
      <c r="G4" s="42">
        <f>G3</f>
        <v>600</v>
      </c>
      <c r="H4" s="42">
        <f>SUM(H3*F3)</f>
        <v>3900</v>
      </c>
      <c r="I4" s="62">
        <v>320.0</v>
      </c>
      <c r="J4" s="42">
        <f>SUM(J3*F3)</f>
        <v>2808</v>
      </c>
      <c r="K4" s="42">
        <f>SUM(K3*F3)</f>
        <v>2340</v>
      </c>
      <c r="L4" s="42">
        <f>SUM(L3*F3)</f>
        <v>1846</v>
      </c>
      <c r="M4" s="27"/>
      <c r="N4" s="217"/>
      <c r="O4" s="50"/>
      <c r="P4" s="50"/>
      <c r="Q4" s="50"/>
      <c r="R4" s="50"/>
      <c r="S4" s="50"/>
      <c r="T4" s="50"/>
      <c r="U4" s="50"/>
      <c r="V4" s="217"/>
      <c r="W4" s="50"/>
      <c r="X4" s="217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5">
      <c r="A5" s="107" t="s">
        <v>584</v>
      </c>
      <c r="B5" s="18"/>
      <c r="C5" s="18"/>
      <c r="D5" s="18"/>
      <c r="E5" s="43"/>
      <c r="F5" s="18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43"/>
      <c r="N5" s="219"/>
      <c r="O5" s="18"/>
      <c r="P5" s="18"/>
      <c r="Q5" s="18"/>
      <c r="R5" s="18"/>
      <c r="S5" s="18"/>
      <c r="T5" s="18"/>
      <c r="U5" s="18"/>
      <c r="V5" s="219"/>
      <c r="W5" s="18"/>
      <c r="X5" s="219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>
      <c r="A6" s="107" t="s">
        <v>599</v>
      </c>
      <c r="B6" s="18"/>
      <c r="C6" s="18"/>
      <c r="D6" s="18"/>
      <c r="E6" s="43"/>
      <c r="F6" s="18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43"/>
      <c r="N6" s="219"/>
      <c r="O6" s="18"/>
      <c r="P6" s="18"/>
      <c r="Q6" s="18"/>
      <c r="R6" s="18"/>
      <c r="S6" s="18"/>
      <c r="T6" s="18"/>
      <c r="U6" s="18"/>
      <c r="V6" s="219"/>
      <c r="W6" s="18"/>
      <c r="X6" s="219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>
      <c r="A7" s="50"/>
      <c r="B7" s="50"/>
      <c r="C7" s="50"/>
      <c r="D7" s="50"/>
      <c r="E7" s="43"/>
      <c r="F7" s="50"/>
      <c r="G7" s="50"/>
      <c r="H7" s="50"/>
      <c r="I7" s="50"/>
      <c r="J7" s="50"/>
      <c r="K7" s="50"/>
      <c r="L7" s="50"/>
      <c r="M7" s="27"/>
      <c r="N7" s="217"/>
      <c r="O7" s="50"/>
      <c r="P7" s="50"/>
      <c r="Q7" s="50"/>
      <c r="R7" s="50"/>
      <c r="S7" s="50"/>
      <c r="T7" s="50"/>
      <c r="U7" s="50"/>
      <c r="V7" s="217"/>
      <c r="W7" s="50"/>
      <c r="X7" s="217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>
      <c r="A8" s="220" t="s">
        <v>602</v>
      </c>
      <c r="B8" s="24">
        <f>SUM(H8+J8+K8+L8)</f>
        <v>694</v>
      </c>
      <c r="C8" s="42">
        <f>SUM((B8*F8)+(G8+I8))</f>
        <v>9742</v>
      </c>
      <c r="D8" s="221">
        <f>C8/Y8</f>
        <v>649.4666667</v>
      </c>
      <c r="E8" s="43"/>
      <c r="F8" s="13">
        <v>13.0</v>
      </c>
      <c r="G8" s="13">
        <v>400.0</v>
      </c>
      <c r="H8" s="24">
        <f>SUM(O8*12)</f>
        <v>156</v>
      </c>
      <c r="I8" s="24">
        <f>SUM(P8+Q8+R8)</f>
        <v>320</v>
      </c>
      <c r="J8" s="24">
        <f t="array" ref="J8">SUM((S8+T8+U8)*12)</f>
        <v>216</v>
      </c>
      <c r="K8" s="13">
        <v>180.0</v>
      </c>
      <c r="L8" s="13">
        <v>142.0</v>
      </c>
      <c r="M8" s="27"/>
      <c r="N8" s="217"/>
      <c r="O8" s="13">
        <v>13.0</v>
      </c>
      <c r="P8" s="13">
        <v>60.0</v>
      </c>
      <c r="Q8" s="13">
        <v>200.0</v>
      </c>
      <c r="R8" s="13">
        <v>60.0</v>
      </c>
      <c r="S8" s="13">
        <v>15.0</v>
      </c>
      <c r="T8" s="13">
        <v>3.0</v>
      </c>
      <c r="U8" s="13">
        <v>0.0</v>
      </c>
      <c r="V8" s="217"/>
      <c r="W8" s="13">
        <v>130.0</v>
      </c>
      <c r="X8" s="217"/>
      <c r="Y8" s="13">
        <v>15.0</v>
      </c>
      <c r="Z8" s="128" t="s">
        <v>191</v>
      </c>
      <c r="AA8" s="128" t="s">
        <v>610</v>
      </c>
      <c r="AB8" s="50"/>
      <c r="AC8" s="50"/>
      <c r="AD8" s="50"/>
      <c r="AE8" s="50"/>
      <c r="AF8" s="50"/>
      <c r="AG8" s="50"/>
      <c r="AH8" s="50"/>
      <c r="AI8" s="50"/>
      <c r="AJ8" s="50"/>
    </row>
    <row r="9">
      <c r="A9" s="13" t="s">
        <v>583</v>
      </c>
      <c r="B9" s="50"/>
      <c r="C9" s="50"/>
      <c r="D9" s="221"/>
      <c r="E9" s="43"/>
      <c r="F9" s="50"/>
      <c r="G9" s="13">
        <v>400.0</v>
      </c>
      <c r="H9" s="42">
        <f>SUM(H8*F8)</f>
        <v>2028</v>
      </c>
      <c r="I9" s="24">
        <f>I8</f>
        <v>320</v>
      </c>
      <c r="J9" s="42">
        <f>SUM(J8*F8)</f>
        <v>2808</v>
      </c>
      <c r="K9" s="42">
        <f>SUM(K8*F8)</f>
        <v>2340</v>
      </c>
      <c r="L9" s="42">
        <f>SUM(L8*F8)</f>
        <v>1846</v>
      </c>
      <c r="M9" s="27"/>
      <c r="N9" s="217"/>
      <c r="O9" s="50"/>
      <c r="P9" s="50"/>
      <c r="Q9" s="50"/>
      <c r="R9" s="50"/>
      <c r="S9" s="50"/>
      <c r="T9" s="50"/>
      <c r="U9" s="50"/>
      <c r="V9" s="217"/>
      <c r="W9" s="50"/>
      <c r="X9" s="217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>
      <c r="A10" s="107" t="s">
        <v>584</v>
      </c>
      <c r="B10" s="18"/>
      <c r="C10" s="18"/>
      <c r="D10" s="222"/>
      <c r="E10" s="43"/>
      <c r="F10" s="18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43"/>
      <c r="N10" s="219"/>
      <c r="O10" s="18"/>
      <c r="P10" s="18"/>
      <c r="Q10" s="18"/>
      <c r="R10" s="18"/>
      <c r="S10" s="18"/>
      <c r="T10" s="18"/>
      <c r="U10" s="18"/>
      <c r="V10" s="219"/>
      <c r="W10" s="18"/>
      <c r="X10" s="219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>
      <c r="A11" s="107" t="s">
        <v>599</v>
      </c>
      <c r="B11" s="18"/>
      <c r="C11" s="18"/>
      <c r="D11" s="222"/>
      <c r="E11" s="43"/>
      <c r="F11" s="18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43"/>
      <c r="N11" s="219"/>
      <c r="O11" s="18"/>
      <c r="P11" s="18"/>
      <c r="Q11" s="18"/>
      <c r="R11" s="18"/>
      <c r="S11" s="18"/>
      <c r="T11" s="18"/>
      <c r="U11" s="18"/>
      <c r="V11" s="219"/>
      <c r="W11" s="18"/>
      <c r="X11" s="219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>
      <c r="A12" s="8"/>
      <c r="B12" s="50"/>
      <c r="C12" s="50"/>
      <c r="D12" s="221"/>
      <c r="E12" s="43"/>
      <c r="F12" s="50"/>
      <c r="G12" s="50"/>
      <c r="H12" s="50"/>
      <c r="I12" s="50"/>
      <c r="J12" s="50"/>
      <c r="K12" s="50"/>
      <c r="L12" s="50"/>
      <c r="M12" s="27"/>
      <c r="N12" s="217"/>
      <c r="O12" s="50"/>
      <c r="P12" s="50"/>
      <c r="Q12" s="50"/>
      <c r="R12" s="50"/>
      <c r="S12" s="50"/>
      <c r="T12" s="50"/>
      <c r="U12" s="50"/>
      <c r="V12" s="217"/>
      <c r="W12" s="50"/>
      <c r="X12" s="217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</row>
    <row r="13">
      <c r="A13" s="220" t="s">
        <v>614</v>
      </c>
      <c r="B13" s="223">
        <f>SUM(H13+J13+K13+L13)</f>
        <v>498</v>
      </c>
      <c r="C13" s="42">
        <f>SUM((B13*F13)+(G13+I13))</f>
        <v>5723</v>
      </c>
      <c r="D13" s="221">
        <f>C13/Y13</f>
        <v>763.0666667</v>
      </c>
      <c r="E13" s="43"/>
      <c r="F13" s="13">
        <v>11.0</v>
      </c>
      <c r="G13" s="13">
        <v>150.0</v>
      </c>
      <c r="H13" s="223">
        <f>SUM(O13*12)</f>
        <v>180</v>
      </c>
      <c r="I13" s="24">
        <f>SUM(P13+Q13+R13)</f>
        <v>95</v>
      </c>
      <c r="J13" s="24">
        <f t="array" ref="J13">SUM((S13+T13+U13)*12)</f>
        <v>96</v>
      </c>
      <c r="K13" s="13">
        <v>150.0</v>
      </c>
      <c r="L13" s="13">
        <v>72.0</v>
      </c>
      <c r="M13" s="27"/>
      <c r="N13" s="217"/>
      <c r="O13" s="224">
        <v>15.0</v>
      </c>
      <c r="P13" s="13">
        <v>25.0</v>
      </c>
      <c r="Q13" s="13">
        <v>70.0</v>
      </c>
      <c r="R13" s="13">
        <v>0.0</v>
      </c>
      <c r="S13" s="13">
        <v>5.0</v>
      </c>
      <c r="T13" s="13">
        <v>3.0</v>
      </c>
      <c r="U13" s="13">
        <v>0.0</v>
      </c>
      <c r="V13" s="217"/>
      <c r="W13" s="224">
        <v>105.0</v>
      </c>
      <c r="X13" s="217"/>
      <c r="Y13" s="13">
        <v>7.5</v>
      </c>
      <c r="Z13" s="50"/>
      <c r="AA13" s="128" t="s">
        <v>618</v>
      </c>
      <c r="AB13" s="128" t="s">
        <v>621</v>
      </c>
      <c r="AC13" s="50"/>
      <c r="AD13" s="50"/>
      <c r="AE13" s="50"/>
      <c r="AF13" s="50"/>
      <c r="AG13" s="50"/>
      <c r="AH13" s="50"/>
      <c r="AI13" s="50"/>
      <c r="AJ13" s="50"/>
    </row>
    <row r="14">
      <c r="A14" s="13" t="s">
        <v>583</v>
      </c>
      <c r="B14" s="50"/>
      <c r="C14" s="50"/>
      <c r="D14" s="221"/>
      <c r="E14" s="43"/>
      <c r="F14" s="50"/>
      <c r="G14" s="42">
        <f>G13</f>
        <v>150</v>
      </c>
      <c r="H14" s="42">
        <f>SUM(H13*F13)</f>
        <v>1980</v>
      </c>
      <c r="I14" s="225">
        <f>I13</f>
        <v>95</v>
      </c>
      <c r="J14" s="42">
        <f>SUM(J13*F13)</f>
        <v>1056</v>
      </c>
      <c r="K14" s="42">
        <f>SUM(K13*F13)</f>
        <v>1650</v>
      </c>
      <c r="L14" s="42">
        <f>SUM(L13*F13)</f>
        <v>792</v>
      </c>
      <c r="M14" s="27"/>
      <c r="N14" s="217"/>
      <c r="O14" s="50"/>
      <c r="P14" s="50"/>
      <c r="Q14" s="50"/>
      <c r="R14" s="50"/>
      <c r="S14" s="50"/>
      <c r="T14" s="50"/>
      <c r="U14" s="50"/>
      <c r="V14" s="217"/>
      <c r="W14" s="50"/>
      <c r="X14" s="217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</row>
    <row r="15">
      <c r="A15" s="107" t="s">
        <v>584</v>
      </c>
      <c r="B15" s="18"/>
      <c r="C15" s="18"/>
      <c r="D15" s="222"/>
      <c r="E15" s="43"/>
      <c r="F15" s="18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43"/>
      <c r="N15" s="219"/>
      <c r="O15" s="18"/>
      <c r="P15" s="18"/>
      <c r="Q15" s="18"/>
      <c r="R15" s="18"/>
      <c r="S15" s="18"/>
      <c r="T15" s="18"/>
      <c r="U15" s="18"/>
      <c r="V15" s="219"/>
      <c r="W15" s="18"/>
      <c r="X15" s="219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>
      <c r="A16" s="107" t="s">
        <v>599</v>
      </c>
      <c r="B16" s="18"/>
      <c r="C16" s="18"/>
      <c r="D16" s="222"/>
      <c r="E16" s="43"/>
      <c r="F16" s="18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43"/>
      <c r="N16" s="219"/>
      <c r="O16" s="18"/>
      <c r="P16" s="18"/>
      <c r="Q16" s="18"/>
      <c r="R16" s="18"/>
      <c r="S16" s="18"/>
      <c r="T16" s="18"/>
      <c r="U16" s="18"/>
      <c r="V16" s="219"/>
      <c r="W16" s="18"/>
      <c r="X16" s="219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ht="13.5" customHeight="1">
      <c r="A17" s="8"/>
      <c r="B17" s="50"/>
      <c r="C17" s="50"/>
      <c r="D17" s="221"/>
      <c r="E17" s="43"/>
      <c r="F17" s="50"/>
      <c r="G17" s="50"/>
      <c r="H17" s="50"/>
      <c r="I17" s="50"/>
      <c r="J17" s="50"/>
      <c r="K17" s="50"/>
      <c r="L17" s="50"/>
      <c r="M17" s="27"/>
      <c r="N17" s="217"/>
      <c r="O17" s="50"/>
      <c r="P17" s="50"/>
      <c r="Q17" s="50"/>
      <c r="R17" s="50"/>
      <c r="S17" s="50"/>
      <c r="T17" s="50"/>
      <c r="U17" s="50"/>
      <c r="V17" s="217"/>
      <c r="W17" s="50"/>
      <c r="X17" s="217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ht="13.5" customHeight="1">
      <c r="A18" s="220" t="s">
        <v>630</v>
      </c>
      <c r="B18" s="223">
        <f>SUM(H18+J18+K18+L18)</f>
        <v>374</v>
      </c>
      <c r="C18" s="42">
        <f>SUM((B18*F18)+(G18+I18))</f>
        <v>2723</v>
      </c>
      <c r="D18" s="221">
        <f>C18/Y18</f>
        <v>90766.66667</v>
      </c>
      <c r="E18" s="43"/>
      <c r="F18" s="13">
        <v>7.0</v>
      </c>
      <c r="G18" s="13">
        <v>10.0</v>
      </c>
      <c r="H18" s="224">
        <v>120.0</v>
      </c>
      <c r="I18" s="24">
        <f>SUM(P18+Q18+R18)</f>
        <v>95</v>
      </c>
      <c r="J18" s="24">
        <f t="array" ref="J18">SUM((S18+T18+U18)*12)</f>
        <v>168</v>
      </c>
      <c r="K18" s="13">
        <v>25.0</v>
      </c>
      <c r="L18" s="13">
        <v>61.0</v>
      </c>
      <c r="M18" s="27"/>
      <c r="N18" s="217"/>
      <c r="O18" s="224">
        <v>10.0</v>
      </c>
      <c r="P18" s="13">
        <v>60.0</v>
      </c>
      <c r="Q18" s="13">
        <v>35.0</v>
      </c>
      <c r="R18" s="13">
        <v>0.0</v>
      </c>
      <c r="S18" s="13">
        <v>4.0</v>
      </c>
      <c r="T18" s="13">
        <v>10.0</v>
      </c>
      <c r="U18" s="13">
        <v>0.0</v>
      </c>
      <c r="V18" s="217"/>
      <c r="W18" s="224">
        <v>70.0</v>
      </c>
      <c r="X18" s="217"/>
      <c r="Y18" s="13">
        <v>0.03</v>
      </c>
      <c r="Z18" s="128" t="s">
        <v>635</v>
      </c>
      <c r="AA18" s="50"/>
      <c r="AB18" s="50"/>
      <c r="AC18" s="50"/>
      <c r="AD18" s="50"/>
      <c r="AE18" s="50"/>
      <c r="AF18" s="50"/>
      <c r="AG18" s="50"/>
      <c r="AH18" s="50"/>
      <c r="AI18" s="50"/>
      <c r="AJ18" s="50"/>
    </row>
    <row r="19">
      <c r="A19" s="13" t="s">
        <v>583</v>
      </c>
      <c r="B19" s="50"/>
      <c r="C19" s="50"/>
      <c r="D19" s="221"/>
      <c r="E19" s="43"/>
      <c r="F19" s="50"/>
      <c r="G19" s="42">
        <f>G18</f>
        <v>10</v>
      </c>
      <c r="H19" s="42">
        <f t="array" ref="H19">SUM(O18*12)</f>
        <v>120</v>
      </c>
      <c r="I19" s="42">
        <f>I18</f>
        <v>95</v>
      </c>
      <c r="J19" s="42">
        <f>SUM(J18*F18)</f>
        <v>1176</v>
      </c>
      <c r="K19" s="42">
        <f>SUM(K18*F18)</f>
        <v>175</v>
      </c>
      <c r="L19" s="42">
        <f t="array" ref="L19">SUM(L18*F18)</f>
        <v>427</v>
      </c>
      <c r="M19" s="27"/>
      <c r="N19" s="217"/>
      <c r="O19" s="50"/>
      <c r="P19" s="50"/>
      <c r="Q19" s="50"/>
      <c r="R19" s="50"/>
      <c r="S19" s="50"/>
      <c r="T19" s="50"/>
      <c r="U19" s="50"/>
      <c r="V19" s="217"/>
      <c r="W19" s="50"/>
      <c r="X19" s="217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</row>
    <row r="20">
      <c r="A20" s="107" t="s">
        <v>584</v>
      </c>
      <c r="B20" s="18"/>
      <c r="C20" s="18"/>
      <c r="D20" s="222"/>
      <c r="E20" s="43"/>
      <c r="F20" s="18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43"/>
      <c r="N20" s="219"/>
      <c r="O20" s="18"/>
      <c r="P20" s="18"/>
      <c r="Q20" s="18"/>
      <c r="R20" s="18"/>
      <c r="S20" s="18"/>
      <c r="T20" s="18"/>
      <c r="U20" s="18"/>
      <c r="V20" s="219"/>
      <c r="W20" s="18"/>
      <c r="X20" s="219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>
      <c r="A21" s="107" t="s">
        <v>599</v>
      </c>
      <c r="B21" s="18"/>
      <c r="C21" s="18"/>
      <c r="D21" s="222"/>
      <c r="E21" s="43"/>
      <c r="F21" s="18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43"/>
      <c r="N21" s="219"/>
      <c r="O21" s="18"/>
      <c r="P21" s="18"/>
      <c r="Q21" s="18"/>
      <c r="R21" s="18"/>
      <c r="S21" s="18"/>
      <c r="T21" s="18"/>
      <c r="U21" s="18"/>
      <c r="V21" s="219"/>
      <c r="W21" s="18"/>
      <c r="X21" s="219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>
      <c r="A22" s="8"/>
      <c r="B22" s="50"/>
      <c r="C22" s="50"/>
      <c r="D22" s="221"/>
      <c r="E22" s="43"/>
      <c r="F22" s="50"/>
      <c r="G22" s="50"/>
      <c r="H22" s="50"/>
      <c r="I22" s="50"/>
      <c r="J22" s="50"/>
      <c r="K22" s="50"/>
      <c r="L22" s="50"/>
      <c r="M22" s="27"/>
      <c r="N22" s="217"/>
      <c r="O22" s="50"/>
      <c r="P22" s="50"/>
      <c r="Q22" s="50"/>
      <c r="R22" s="50"/>
      <c r="S22" s="50"/>
      <c r="T22" s="50"/>
      <c r="U22" s="50"/>
      <c r="V22" s="217"/>
      <c r="W22" s="50"/>
      <c r="X22" s="217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</row>
    <row r="23">
      <c r="A23" s="220" t="s">
        <v>650</v>
      </c>
      <c r="B23" s="223">
        <f>SUM(H23+J23+K23+L23)</f>
        <v>828</v>
      </c>
      <c r="C23" s="42">
        <f>SUM((B23*F23)+(G23+I23))</f>
        <v>33990</v>
      </c>
      <c r="D23" s="221">
        <f>C23/Y23</f>
        <v>67980</v>
      </c>
      <c r="E23" s="43"/>
      <c r="F23" s="13">
        <v>40.0</v>
      </c>
      <c r="G23" s="13">
        <v>600.0</v>
      </c>
      <c r="H23" s="223">
        <f>12*O23</f>
        <v>300</v>
      </c>
      <c r="I23" s="24">
        <f>SUM(P23+Q23+R23)</f>
        <v>270</v>
      </c>
      <c r="J23" s="24">
        <f t="array" ref="J23">SUM((S23+T23+U23)*12)</f>
        <v>336</v>
      </c>
      <c r="K23" s="13">
        <v>40.0</v>
      </c>
      <c r="L23" s="13">
        <v>152.0</v>
      </c>
      <c r="M23" s="27"/>
      <c r="N23" s="217"/>
      <c r="O23" s="224">
        <v>25.0</v>
      </c>
      <c r="P23" s="13">
        <v>120.0</v>
      </c>
      <c r="Q23" s="13">
        <v>150.0</v>
      </c>
      <c r="R23" s="13">
        <v>0.0</v>
      </c>
      <c r="S23" s="13">
        <v>8.0</v>
      </c>
      <c r="T23" s="13">
        <v>20.0</v>
      </c>
      <c r="U23" s="13">
        <v>0.0</v>
      </c>
      <c r="V23" s="217"/>
      <c r="W23" s="224">
        <v>70.0</v>
      </c>
      <c r="X23" s="217"/>
      <c r="Y23" s="13">
        <v>0.5</v>
      </c>
      <c r="Z23" s="128" t="s">
        <v>655</v>
      </c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>
      <c r="A24" s="13" t="s">
        <v>583</v>
      </c>
      <c r="B24" s="50"/>
      <c r="C24" s="50"/>
      <c r="D24" s="221"/>
      <c r="E24" s="43"/>
      <c r="F24" s="50"/>
      <c r="G24" s="42">
        <f>G23</f>
        <v>600</v>
      </c>
      <c r="H24" s="42">
        <f t="array" ref="H24">SUM(F23*H23)</f>
        <v>12000</v>
      </c>
      <c r="I24" s="42">
        <f>I23</f>
        <v>270</v>
      </c>
      <c r="J24" s="42">
        <f>SUM(J23*F23)</f>
        <v>13440</v>
      </c>
      <c r="K24" s="42">
        <f>SUM(K23*F23)</f>
        <v>1600</v>
      </c>
      <c r="L24" s="42">
        <f>SUM(L23*F23)</f>
        <v>6080</v>
      </c>
      <c r="M24" s="27"/>
      <c r="N24" s="217"/>
      <c r="O24" s="50"/>
      <c r="P24" s="50"/>
      <c r="Q24" s="50"/>
      <c r="R24" s="50"/>
      <c r="S24" s="50"/>
      <c r="T24" s="50"/>
      <c r="U24" s="50"/>
      <c r="V24" s="217"/>
      <c r="W24" s="50"/>
      <c r="X24" s="217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>
      <c r="A25" s="107" t="s">
        <v>584</v>
      </c>
      <c r="B25" s="18"/>
      <c r="C25" s="18"/>
      <c r="D25" s="222"/>
      <c r="E25" s="43"/>
      <c r="F25" s="18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43"/>
      <c r="N25" s="219"/>
      <c r="O25" s="18"/>
      <c r="P25" s="18"/>
      <c r="Q25" s="18"/>
      <c r="R25" s="18"/>
      <c r="S25" s="18"/>
      <c r="T25" s="18"/>
      <c r="U25" s="18"/>
      <c r="V25" s="219"/>
      <c r="W25" s="18"/>
      <c r="X25" s="219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>
      <c r="A26" s="107" t="s">
        <v>599</v>
      </c>
      <c r="B26" s="18"/>
      <c r="C26" s="18"/>
      <c r="D26" s="222"/>
      <c r="E26" s="43"/>
      <c r="F26" s="18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43"/>
      <c r="N26" s="219"/>
      <c r="O26" s="18"/>
      <c r="P26" s="18"/>
      <c r="Q26" s="18"/>
      <c r="R26" s="18"/>
      <c r="S26" s="18"/>
      <c r="T26" s="18"/>
      <c r="U26" s="18"/>
      <c r="V26" s="219"/>
      <c r="W26" s="18"/>
      <c r="X26" s="219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>
      <c r="A27" s="8"/>
      <c r="B27" s="50"/>
      <c r="C27" s="50"/>
      <c r="D27" s="221"/>
      <c r="E27" s="43"/>
      <c r="F27" s="50"/>
      <c r="G27" s="50"/>
      <c r="H27" s="50"/>
      <c r="I27" s="50"/>
      <c r="J27" s="50"/>
      <c r="K27" s="50"/>
      <c r="L27" s="50"/>
      <c r="M27" s="27"/>
      <c r="N27" s="217"/>
      <c r="O27" s="50"/>
      <c r="P27" s="50"/>
      <c r="Q27" s="50"/>
      <c r="R27" s="50"/>
      <c r="S27" s="50"/>
      <c r="T27" s="50"/>
      <c r="U27" s="50"/>
      <c r="V27" s="217"/>
      <c r="W27" s="50"/>
      <c r="X27" s="217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>
      <c r="A28" s="220" t="s">
        <v>659</v>
      </c>
      <c r="B28" s="24">
        <f>SUM(H28+J28+K28+L28)</f>
        <v>84</v>
      </c>
      <c r="C28" s="42">
        <f>SUM((B28*F28)+(G28+I28))</f>
        <v>579</v>
      </c>
      <c r="D28" s="221">
        <f>C28/Y28</f>
        <v>57900</v>
      </c>
      <c r="E28" s="43"/>
      <c r="F28" s="13">
        <v>6.0</v>
      </c>
      <c r="G28" s="224">
        <v>15.0</v>
      </c>
      <c r="H28" s="24">
        <f>12*O28</f>
        <v>48</v>
      </c>
      <c r="I28" s="223">
        <f>SUM(P28+Q28+R28)</f>
        <v>60</v>
      </c>
      <c r="J28" s="24">
        <f t="array" ref="J28">SUM((S28+T28+U28)*12)</f>
        <v>36</v>
      </c>
      <c r="K28" s="13">
        <v>0.0</v>
      </c>
      <c r="L28" s="13">
        <v>0.0</v>
      </c>
      <c r="M28" s="27"/>
      <c r="N28" s="217"/>
      <c r="O28" s="13">
        <v>4.0</v>
      </c>
      <c r="P28" s="224">
        <v>60.0</v>
      </c>
      <c r="Q28" s="13">
        <v>0.0</v>
      </c>
      <c r="R28" s="13">
        <v>0.0</v>
      </c>
      <c r="S28" s="13">
        <v>3.0</v>
      </c>
      <c r="T28" s="13">
        <v>0.0</v>
      </c>
      <c r="U28" s="13">
        <v>0.0</v>
      </c>
      <c r="V28" s="217"/>
      <c r="W28" s="13">
        <v>0.0</v>
      </c>
      <c r="X28" s="217"/>
      <c r="Y28" s="13">
        <v>0.01</v>
      </c>
      <c r="Z28" s="128" t="s">
        <v>662</v>
      </c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>
      <c r="A29" s="25" t="s">
        <v>583</v>
      </c>
      <c r="B29" s="8"/>
      <c r="C29" s="8"/>
      <c r="D29" s="221"/>
      <c r="E29" s="43"/>
      <c r="F29" s="8"/>
      <c r="G29" s="14">
        <f>G28</f>
        <v>15</v>
      </c>
      <c r="H29" s="14">
        <f>SUM(H28*F28)</f>
        <v>288</v>
      </c>
      <c r="I29" s="14">
        <f>I28</f>
        <v>60</v>
      </c>
      <c r="J29" s="14">
        <f>SUM(J28*F28)</f>
        <v>216</v>
      </c>
      <c r="K29" s="14">
        <f>SUM(K28*F28)</f>
        <v>0</v>
      </c>
      <c r="L29" s="14">
        <f>SUM(L28*F28)</f>
        <v>0</v>
      </c>
      <c r="M29" s="9"/>
      <c r="N29" s="163"/>
      <c r="O29" s="8"/>
      <c r="P29" s="8"/>
      <c r="Q29" s="8"/>
      <c r="R29" s="8"/>
      <c r="S29" s="8"/>
      <c r="T29" s="8"/>
      <c r="U29" s="8"/>
      <c r="V29" s="163"/>
      <c r="W29" s="8"/>
      <c r="X29" s="163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107" t="s">
        <v>584</v>
      </c>
      <c r="B30" s="18"/>
      <c r="C30" s="18"/>
      <c r="D30" s="222"/>
      <c r="E30" s="43"/>
      <c r="F30" s="18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43"/>
      <c r="N30" s="219"/>
      <c r="O30" s="18"/>
      <c r="P30" s="18"/>
      <c r="Q30" s="18"/>
      <c r="R30" s="18"/>
      <c r="S30" s="18"/>
      <c r="T30" s="18"/>
      <c r="U30" s="18"/>
      <c r="V30" s="219"/>
      <c r="W30" s="18"/>
      <c r="X30" s="219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>
      <c r="A31" s="107" t="s">
        <v>599</v>
      </c>
      <c r="B31" s="18"/>
      <c r="C31" s="18"/>
      <c r="D31" s="222"/>
      <c r="E31" s="43"/>
      <c r="F31" s="18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43"/>
      <c r="N31" s="219"/>
      <c r="O31" s="18"/>
      <c r="P31" s="18"/>
      <c r="Q31" s="18"/>
      <c r="R31" s="18"/>
      <c r="S31" s="18"/>
      <c r="T31" s="18"/>
      <c r="U31" s="18"/>
      <c r="V31" s="219"/>
      <c r="W31" s="18"/>
      <c r="X31" s="219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>
      <c r="A32" s="8"/>
      <c r="B32" s="50"/>
      <c r="C32" s="50"/>
      <c r="D32" s="221"/>
      <c r="E32" s="43"/>
      <c r="F32" s="50"/>
      <c r="G32" s="50"/>
      <c r="H32" s="50"/>
      <c r="I32" s="50"/>
      <c r="J32" s="50"/>
      <c r="K32" s="50"/>
      <c r="L32" s="50"/>
      <c r="M32" s="27"/>
      <c r="N32" s="217"/>
      <c r="O32" s="50"/>
      <c r="P32" s="50"/>
      <c r="Q32" s="50"/>
      <c r="R32" s="50"/>
      <c r="S32" s="50"/>
      <c r="T32" s="50"/>
      <c r="U32" s="50"/>
      <c r="V32" s="217"/>
      <c r="W32" s="50"/>
      <c r="X32" s="217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>
      <c r="A33" s="220" t="s">
        <v>666</v>
      </c>
      <c r="B33" s="24">
        <f>SUM(H33+J33+K33+L33)</f>
        <v>286</v>
      </c>
      <c r="C33" s="42">
        <f>SUM((B33*F33)+(G33+I33))</f>
        <v>1811</v>
      </c>
      <c r="D33" s="221">
        <f>C33/Y33</f>
        <v>2012.222222</v>
      </c>
      <c r="E33" s="43"/>
      <c r="F33" s="13">
        <v>6.0</v>
      </c>
      <c r="G33" s="224">
        <v>15.0</v>
      </c>
      <c r="H33" s="24">
        <f>12*O33</f>
        <v>36</v>
      </c>
      <c r="I33" s="223">
        <f>SUM(P33+Q33+R33)</f>
        <v>80</v>
      </c>
      <c r="J33" s="24">
        <f t="array" ref="J33">SUM((S33+T33+U33)*12)</f>
        <v>144</v>
      </c>
      <c r="K33" s="13">
        <v>0.0</v>
      </c>
      <c r="L33" s="13">
        <v>106.0</v>
      </c>
      <c r="M33" s="27"/>
      <c r="N33" s="217"/>
      <c r="O33" s="13">
        <v>3.0</v>
      </c>
      <c r="P33" s="224">
        <v>80.0</v>
      </c>
      <c r="Q33" s="13">
        <v>0.0</v>
      </c>
      <c r="R33" s="13">
        <v>0.0</v>
      </c>
      <c r="S33" s="13">
        <v>10.0</v>
      </c>
      <c r="T33" s="13">
        <v>2.0</v>
      </c>
      <c r="U33" s="13">
        <v>0.0</v>
      </c>
      <c r="V33" s="217"/>
      <c r="W33" s="224">
        <v>95.0</v>
      </c>
      <c r="X33" s="217"/>
      <c r="Y33" s="13">
        <v>0.9</v>
      </c>
      <c r="Z33" s="128" t="s">
        <v>671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</row>
    <row r="34">
      <c r="A34" s="13" t="s">
        <v>583</v>
      </c>
      <c r="B34" s="50"/>
      <c r="C34" s="50"/>
      <c r="D34" s="221"/>
      <c r="E34" s="43"/>
      <c r="F34" s="50"/>
      <c r="G34" s="42">
        <f>G33</f>
        <v>15</v>
      </c>
      <c r="H34" s="42">
        <f>SUM(H33*F33)</f>
        <v>216</v>
      </c>
      <c r="I34" s="42">
        <f>I33</f>
        <v>80</v>
      </c>
      <c r="J34" s="42">
        <f>SUM(J33*F33)</f>
        <v>864</v>
      </c>
      <c r="K34" s="42">
        <f>SUM(K33*F33)</f>
        <v>0</v>
      </c>
      <c r="L34" s="42">
        <f>SUM(L33*F33)</f>
        <v>636</v>
      </c>
      <c r="M34" s="27"/>
      <c r="N34" s="217"/>
      <c r="O34" s="50"/>
      <c r="P34" s="50"/>
      <c r="Q34" s="50"/>
      <c r="R34" s="50"/>
      <c r="S34" s="50"/>
      <c r="T34" s="50"/>
      <c r="U34" s="50"/>
      <c r="V34" s="217"/>
      <c r="W34" s="50"/>
      <c r="X34" s="217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</row>
    <row r="35">
      <c r="A35" s="107" t="s">
        <v>584</v>
      </c>
      <c r="B35" s="18"/>
      <c r="C35" s="18"/>
      <c r="D35" s="222"/>
      <c r="E35" s="43"/>
      <c r="F35" s="18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43"/>
      <c r="N35" s="219"/>
      <c r="O35" s="18"/>
      <c r="P35" s="18"/>
      <c r="Q35" s="18"/>
      <c r="R35" s="18"/>
      <c r="S35" s="18"/>
      <c r="T35" s="18"/>
      <c r="U35" s="18"/>
      <c r="V35" s="219"/>
      <c r="W35" s="18"/>
      <c r="X35" s="219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>
      <c r="A36" s="107" t="s">
        <v>599</v>
      </c>
      <c r="B36" s="18"/>
      <c r="C36" s="18"/>
      <c r="D36" s="222"/>
      <c r="E36" s="43"/>
      <c r="F36" s="18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43"/>
      <c r="N36" s="219"/>
      <c r="O36" s="18"/>
      <c r="P36" s="18"/>
      <c r="Q36" s="18"/>
      <c r="R36" s="18"/>
      <c r="S36" s="18"/>
      <c r="T36" s="18"/>
      <c r="U36" s="18"/>
      <c r="V36" s="219"/>
      <c r="W36" s="18"/>
      <c r="X36" s="219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>
      <c r="A37" s="8"/>
      <c r="B37" s="50"/>
      <c r="C37" s="50"/>
      <c r="D37" s="221"/>
      <c r="E37" s="43"/>
      <c r="F37" s="50"/>
      <c r="G37" s="50"/>
      <c r="H37" s="50"/>
      <c r="I37" s="50"/>
      <c r="J37" s="227"/>
      <c r="M37" s="27"/>
      <c r="N37" s="217"/>
      <c r="O37" s="50"/>
      <c r="P37" s="50"/>
      <c r="Q37" s="50"/>
      <c r="R37" s="50"/>
      <c r="S37" s="50"/>
      <c r="T37" s="50"/>
      <c r="U37" s="50"/>
      <c r="V37" s="217"/>
      <c r="W37" s="50"/>
      <c r="X37" s="217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</row>
    <row r="38">
      <c r="A38" s="220" t="s">
        <v>681</v>
      </c>
      <c r="B38" s="24">
        <f>SUM(H38+J38+K38+L38)</f>
        <v>214</v>
      </c>
      <c r="C38" s="42">
        <f>SUM((B38*F38)+(G38+I38))</f>
        <v>461</v>
      </c>
      <c r="D38" s="221">
        <f>C38/Y38</f>
        <v>1152.5</v>
      </c>
      <c r="E38" s="43"/>
      <c r="F38" s="13">
        <v>2.0</v>
      </c>
      <c r="G38" s="224">
        <v>3.0</v>
      </c>
      <c r="H38" s="24">
        <f>12*O38</f>
        <v>24</v>
      </c>
      <c r="I38" s="24">
        <f>SUM(P38+Q38+R38)</f>
        <v>30</v>
      </c>
      <c r="J38" s="24">
        <f t="array" ref="J38">SUM((S38+T38+U38)*12)</f>
        <v>84</v>
      </c>
      <c r="K38" s="13">
        <v>0.0</v>
      </c>
      <c r="L38" s="13">
        <v>106.0</v>
      </c>
      <c r="M38" s="27"/>
      <c r="N38" s="217"/>
      <c r="O38" s="13">
        <v>2.0</v>
      </c>
      <c r="P38" s="13">
        <v>30.0</v>
      </c>
      <c r="Q38" s="13">
        <v>0.0</v>
      </c>
      <c r="R38" s="13">
        <v>0.0</v>
      </c>
      <c r="S38" s="13">
        <v>5.0</v>
      </c>
      <c r="T38" s="13">
        <v>2.0</v>
      </c>
      <c r="U38" s="13">
        <v>0.0</v>
      </c>
      <c r="V38" s="217"/>
      <c r="W38" s="224">
        <v>70.0</v>
      </c>
      <c r="X38" s="217"/>
      <c r="Y38" s="13">
        <v>0.4</v>
      </c>
      <c r="Z38" s="128" t="s">
        <v>685</v>
      </c>
      <c r="AA38" s="50"/>
      <c r="AB38" s="50"/>
      <c r="AC38" s="50"/>
      <c r="AD38" s="50"/>
      <c r="AE38" s="50"/>
      <c r="AF38" s="50"/>
      <c r="AG38" s="50"/>
      <c r="AH38" s="50"/>
      <c r="AI38" s="50"/>
      <c r="AJ38" s="50"/>
    </row>
    <row r="39">
      <c r="A39" s="13" t="s">
        <v>583</v>
      </c>
      <c r="B39" s="50"/>
      <c r="C39" s="50"/>
      <c r="D39" s="221"/>
      <c r="E39" s="43"/>
      <c r="F39" s="50"/>
      <c r="G39" s="42">
        <f>G38</f>
        <v>3</v>
      </c>
      <c r="H39" s="42">
        <f>SUM(H38*F38)</f>
        <v>48</v>
      </c>
      <c r="I39" s="42">
        <f>I38</f>
        <v>30</v>
      </c>
      <c r="J39" s="42">
        <f>SUM(J38*F38)</f>
        <v>168</v>
      </c>
      <c r="K39" s="42">
        <f>SUM(K38*F38)</f>
        <v>0</v>
      </c>
      <c r="L39" s="42">
        <f>SUM(L38*F38)</f>
        <v>212</v>
      </c>
      <c r="M39" s="27"/>
      <c r="N39" s="217"/>
      <c r="O39" s="50"/>
      <c r="P39" s="50"/>
      <c r="Q39" s="50"/>
      <c r="R39" s="50"/>
      <c r="S39" s="50"/>
      <c r="T39" s="50"/>
      <c r="U39" s="50"/>
      <c r="V39" s="217"/>
      <c r="W39" s="50"/>
      <c r="X39" s="217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>
      <c r="A40" s="107" t="s">
        <v>584</v>
      </c>
      <c r="B40" s="18"/>
      <c r="C40" s="18"/>
      <c r="D40" s="222"/>
      <c r="E40" s="43"/>
      <c r="F40" s="18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43"/>
      <c r="N40" s="219"/>
      <c r="O40" s="18"/>
      <c r="P40" s="18"/>
      <c r="Q40" s="18"/>
      <c r="R40" s="18"/>
      <c r="S40" s="18"/>
      <c r="T40" s="18"/>
      <c r="U40" s="18"/>
      <c r="V40" s="219"/>
      <c r="W40" s="18"/>
      <c r="X40" s="219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>
      <c r="A41" s="107" t="s">
        <v>599</v>
      </c>
      <c r="B41" s="18"/>
      <c r="C41" s="18"/>
      <c r="D41" s="222"/>
      <c r="E41" s="43"/>
      <c r="F41" s="18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43"/>
      <c r="N41" s="219"/>
      <c r="O41" s="18"/>
      <c r="P41" s="18"/>
      <c r="Q41" s="18"/>
      <c r="R41" s="18"/>
      <c r="S41" s="18"/>
      <c r="T41" s="18"/>
      <c r="U41" s="18"/>
      <c r="V41" s="219"/>
      <c r="W41" s="18"/>
      <c r="X41" s="219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>
      <c r="A42" s="8"/>
      <c r="B42" s="8"/>
      <c r="C42" s="8"/>
      <c r="D42" s="221"/>
      <c r="E42" s="43"/>
      <c r="F42" s="50"/>
      <c r="G42" s="50"/>
      <c r="H42" s="50"/>
      <c r="I42" s="50"/>
      <c r="J42" s="8"/>
      <c r="K42" s="50"/>
      <c r="L42" s="50"/>
      <c r="M42" s="27"/>
      <c r="N42" s="217"/>
      <c r="O42" s="50"/>
      <c r="P42" s="50"/>
      <c r="Q42" s="50"/>
      <c r="R42" s="50"/>
      <c r="S42" s="50"/>
      <c r="T42" s="50"/>
      <c r="U42" s="50"/>
      <c r="V42" s="217"/>
      <c r="W42" s="50"/>
      <c r="X42" s="217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</row>
    <row r="43">
      <c r="A43" s="229" t="s">
        <v>692</v>
      </c>
      <c r="B43" s="230">
        <f>SUM(H43+J43+K43+L43)</f>
        <v>5080</v>
      </c>
      <c r="C43" s="157">
        <f>SUM((B43*F43)+(G43+I43))</f>
        <v>131750</v>
      </c>
      <c r="D43" s="231">
        <f>C43/Y43</f>
        <v>252.394636</v>
      </c>
      <c r="E43" s="43"/>
      <c r="F43" s="47">
        <v>25.0</v>
      </c>
      <c r="G43" s="47">
        <v>3000.0</v>
      </c>
      <c r="H43" s="47">
        <v>520.0</v>
      </c>
      <c r="I43" s="230">
        <f>SUM(P43+Q43+R43)</f>
        <v>1750</v>
      </c>
      <c r="J43" s="230">
        <f>SUM((S43+T43)*12)+U36</f>
        <v>4200</v>
      </c>
      <c r="K43" s="47">
        <v>120.0</v>
      </c>
      <c r="L43" s="177">
        <f>20*12</f>
        <v>240</v>
      </c>
      <c r="M43" s="27"/>
      <c r="N43" s="217"/>
      <c r="O43" s="129"/>
      <c r="P43" s="232">
        <v>550.0</v>
      </c>
      <c r="Q43" s="47">
        <v>200.0</v>
      </c>
      <c r="R43" s="47">
        <v>1000.0</v>
      </c>
      <c r="S43" s="232">
        <v>350.0</v>
      </c>
      <c r="T43" s="47">
        <v>0.0</v>
      </c>
      <c r="U43" s="47">
        <v>7800.0</v>
      </c>
      <c r="V43" s="217"/>
      <c r="W43" s="232">
        <v>588.0</v>
      </c>
      <c r="X43" s="217"/>
      <c r="Y43" s="47">
        <v>522.0</v>
      </c>
      <c r="Z43" s="233" t="s">
        <v>697</v>
      </c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</row>
    <row r="44">
      <c r="A44" s="47" t="s">
        <v>583</v>
      </c>
      <c r="B44" s="129"/>
      <c r="C44" s="129"/>
      <c r="D44" s="231"/>
      <c r="E44" s="43"/>
      <c r="F44" s="129"/>
      <c r="G44" s="157">
        <f>G43</f>
        <v>3000</v>
      </c>
      <c r="H44" s="157">
        <f>SUM(H43*F43)</f>
        <v>13000</v>
      </c>
      <c r="I44" s="157">
        <f>I43</f>
        <v>1750</v>
      </c>
      <c r="J44" s="157">
        <f>SUM(J43*F43)</f>
        <v>105000</v>
      </c>
      <c r="K44" s="157">
        <f>SUM(K43*F43)</f>
        <v>3000</v>
      </c>
      <c r="L44" s="157">
        <f>SUM(L43*F43)</f>
        <v>6000</v>
      </c>
      <c r="M44" s="27"/>
      <c r="N44" s="217"/>
      <c r="O44" s="129"/>
      <c r="P44" s="129"/>
      <c r="Q44" s="129"/>
      <c r="R44" s="129"/>
      <c r="S44" s="129"/>
      <c r="T44" s="129"/>
      <c r="U44" s="129"/>
      <c r="V44" s="217"/>
      <c r="W44" s="129"/>
      <c r="X44" s="217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</row>
    <row r="45">
      <c r="A45" s="47" t="s">
        <v>584</v>
      </c>
      <c r="B45" s="129"/>
      <c r="C45" s="129"/>
      <c r="D45" s="231"/>
      <c r="E45" s="43"/>
      <c r="F45" s="129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27"/>
      <c r="N45" s="217"/>
      <c r="O45" s="129"/>
      <c r="P45" s="129"/>
      <c r="Q45" s="129"/>
      <c r="R45" s="129"/>
      <c r="S45" s="129"/>
      <c r="T45" s="129"/>
      <c r="U45" s="129"/>
      <c r="V45" s="217"/>
      <c r="W45" s="129"/>
      <c r="X45" s="217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</row>
    <row r="46">
      <c r="A46" s="47" t="s">
        <v>599</v>
      </c>
      <c r="B46" s="129"/>
      <c r="C46" s="129"/>
      <c r="D46" s="231"/>
      <c r="E46" s="43"/>
      <c r="F46" s="129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27"/>
      <c r="N46" s="217"/>
      <c r="O46" s="129"/>
      <c r="P46" s="129"/>
      <c r="Q46" s="129"/>
      <c r="R46" s="129"/>
      <c r="S46" s="129"/>
      <c r="T46" s="129"/>
      <c r="U46" s="129"/>
      <c r="V46" s="217"/>
      <c r="W46" s="129"/>
      <c r="X46" s="217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</row>
    <row r="47">
      <c r="A47" s="8"/>
      <c r="B47" s="50"/>
      <c r="C47" s="50"/>
      <c r="D47" s="221"/>
      <c r="E47" s="43"/>
      <c r="F47" s="50"/>
      <c r="G47" s="50"/>
      <c r="H47" s="50"/>
      <c r="I47" s="50"/>
      <c r="J47" s="50"/>
      <c r="K47" s="50"/>
      <c r="L47" s="50"/>
      <c r="M47" s="27"/>
      <c r="N47" s="217"/>
      <c r="O47" s="50"/>
      <c r="P47" s="50"/>
      <c r="Q47" s="50"/>
      <c r="R47" s="50"/>
      <c r="S47" s="50"/>
      <c r="T47" s="50"/>
      <c r="U47" s="50"/>
      <c r="V47" s="217"/>
      <c r="W47" s="50"/>
      <c r="X47" s="217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</row>
    <row r="48">
      <c r="A48" s="220" t="s">
        <v>704</v>
      </c>
      <c r="B48" s="24">
        <f>SUM(H48+J48+K48+L48)</f>
        <v>395</v>
      </c>
      <c r="C48" s="42">
        <f>SUM((B48*F48)+(G48+I48))</f>
        <v>6045</v>
      </c>
      <c r="D48" s="221">
        <f>C48/Y48</f>
        <v>6716.666667</v>
      </c>
      <c r="E48" s="43"/>
      <c r="F48" s="13">
        <v>15.0</v>
      </c>
      <c r="G48" s="224">
        <v>45.0</v>
      </c>
      <c r="H48" s="13">
        <v>240.0</v>
      </c>
      <c r="I48" s="223">
        <f>SUM(P48+Q48+R48)</f>
        <v>75</v>
      </c>
      <c r="J48" s="24">
        <f>SUM((S48+T48+U48)*12)</f>
        <v>60</v>
      </c>
      <c r="K48" s="13">
        <v>0.0</v>
      </c>
      <c r="L48" s="13">
        <v>95.0</v>
      </c>
      <c r="M48" s="27"/>
      <c r="N48" s="217"/>
      <c r="O48" s="13">
        <v>20.0</v>
      </c>
      <c r="P48" s="224">
        <v>75.0</v>
      </c>
      <c r="Q48" s="13">
        <v>0.0</v>
      </c>
      <c r="R48" s="13">
        <v>0.0</v>
      </c>
      <c r="S48" s="13">
        <v>5.0</v>
      </c>
      <c r="T48" s="13">
        <v>0.0</v>
      </c>
      <c r="U48" s="13">
        <v>0.0</v>
      </c>
      <c r="V48" s="217"/>
      <c r="W48" s="13">
        <v>0.0</v>
      </c>
      <c r="X48" s="217"/>
      <c r="Y48" s="13">
        <v>0.9</v>
      </c>
      <c r="Z48" s="128" t="s">
        <v>707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</row>
    <row r="49">
      <c r="A49" s="13" t="s">
        <v>583</v>
      </c>
      <c r="B49" s="50"/>
      <c r="C49" s="50"/>
      <c r="D49" s="221"/>
      <c r="E49" s="43"/>
      <c r="F49" s="50"/>
      <c r="G49" s="42">
        <f>G48</f>
        <v>45</v>
      </c>
      <c r="H49" s="42">
        <f>SUM(H48*F48)</f>
        <v>3600</v>
      </c>
      <c r="I49" s="42">
        <f>I48</f>
        <v>75</v>
      </c>
      <c r="J49" s="42">
        <f>SUM(J48*F48)</f>
        <v>900</v>
      </c>
      <c r="K49" s="42">
        <f>SUM(K48*F48)</f>
        <v>0</v>
      </c>
      <c r="L49" s="42">
        <f>SUM(L48*F48)</f>
        <v>1425</v>
      </c>
      <c r="M49" s="27"/>
      <c r="N49" s="217"/>
      <c r="O49" s="50"/>
      <c r="P49" s="50"/>
      <c r="Q49" s="50"/>
      <c r="R49" s="50"/>
      <c r="S49" s="50"/>
      <c r="T49" s="50"/>
      <c r="U49" s="50"/>
      <c r="V49" s="217"/>
      <c r="W49" s="50"/>
      <c r="X49" s="217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</row>
    <row r="50">
      <c r="A50" s="107" t="s">
        <v>584</v>
      </c>
      <c r="B50" s="18"/>
      <c r="C50" s="18"/>
      <c r="D50" s="222"/>
      <c r="E50" s="43"/>
      <c r="F50" s="18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43"/>
      <c r="N50" s="219"/>
      <c r="O50" s="18"/>
      <c r="P50" s="18"/>
      <c r="Q50" s="18"/>
      <c r="R50" s="18"/>
      <c r="S50" s="18"/>
      <c r="T50" s="18"/>
      <c r="U50" s="18"/>
      <c r="V50" s="219"/>
      <c r="W50" s="18"/>
      <c r="X50" s="219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>
      <c r="A51" s="107" t="s">
        <v>599</v>
      </c>
      <c r="B51" s="18"/>
      <c r="C51" s="18"/>
      <c r="D51" s="222"/>
      <c r="E51" s="43"/>
      <c r="F51" s="18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43"/>
      <c r="N51" s="219"/>
      <c r="O51" s="18"/>
      <c r="P51" s="18"/>
      <c r="Q51" s="18"/>
      <c r="R51" s="18"/>
      <c r="S51" s="18"/>
      <c r="T51" s="18"/>
      <c r="U51" s="18"/>
      <c r="V51" s="219"/>
      <c r="W51" s="18"/>
      <c r="X51" s="219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>
      <c r="A52" s="8"/>
      <c r="B52" s="50"/>
      <c r="C52" s="50"/>
      <c r="D52" s="221"/>
      <c r="E52" s="43"/>
      <c r="F52" s="50"/>
      <c r="G52" s="50"/>
      <c r="H52" s="50"/>
      <c r="I52" s="50"/>
      <c r="J52" s="50"/>
      <c r="K52" s="50"/>
      <c r="L52" s="50"/>
      <c r="M52" s="27"/>
      <c r="N52" s="217"/>
      <c r="O52" s="50"/>
      <c r="P52" s="50"/>
      <c r="Q52" s="50"/>
      <c r="R52" s="50"/>
      <c r="S52" s="50"/>
      <c r="T52" s="50"/>
      <c r="U52" s="50"/>
      <c r="V52" s="217"/>
      <c r="W52" s="50"/>
      <c r="X52" s="217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</row>
    <row r="53">
      <c r="A53" s="220" t="s">
        <v>713</v>
      </c>
      <c r="B53" s="223">
        <f>SUM(H53+J53+K53+L53)</f>
        <v>358</v>
      </c>
      <c r="C53" s="42">
        <f>SUM((B53*F53)+(G53+I53))</f>
        <v>18230</v>
      </c>
      <c r="D53" s="221">
        <f>C53/Y53</f>
        <v>1823</v>
      </c>
      <c r="E53" s="43"/>
      <c r="F53" s="13">
        <v>50.0</v>
      </c>
      <c r="G53" s="224">
        <v>200.0</v>
      </c>
      <c r="H53" s="224">
        <v>72.0</v>
      </c>
      <c r="I53" s="223">
        <f>SUM(P53+Q53+R53)</f>
        <v>130</v>
      </c>
      <c r="J53" s="24">
        <f t="array" ref="J53">SUM((S53+T53+U53)*12)</f>
        <v>156</v>
      </c>
      <c r="K53" s="224">
        <v>30.0</v>
      </c>
      <c r="L53" s="224">
        <v>100.0</v>
      </c>
      <c r="M53" s="27"/>
      <c r="N53" s="217"/>
      <c r="O53" s="224">
        <v>6.0</v>
      </c>
      <c r="P53" s="224">
        <v>70.0</v>
      </c>
      <c r="Q53" s="224">
        <v>60.0</v>
      </c>
      <c r="R53" s="224">
        <v>0.0</v>
      </c>
      <c r="S53" s="13">
        <v>8.0</v>
      </c>
      <c r="T53" s="13">
        <v>5.0</v>
      </c>
      <c r="U53" s="13">
        <v>0.0</v>
      </c>
      <c r="V53" s="217"/>
      <c r="W53" s="13">
        <v>0.0</v>
      </c>
      <c r="X53" s="217"/>
      <c r="Y53" s="13">
        <v>10.0</v>
      </c>
      <c r="Z53" s="128" t="s">
        <v>717</v>
      </c>
      <c r="AA53" s="50"/>
      <c r="AB53" s="50"/>
      <c r="AC53" s="50"/>
      <c r="AD53" s="50"/>
      <c r="AE53" s="50"/>
      <c r="AF53" s="50"/>
      <c r="AG53" s="50"/>
      <c r="AH53" s="50"/>
      <c r="AI53" s="50"/>
      <c r="AJ53" s="50"/>
    </row>
    <row r="54">
      <c r="A54" s="13" t="s">
        <v>583</v>
      </c>
      <c r="B54" s="50"/>
      <c r="C54" s="50"/>
      <c r="D54" s="221"/>
      <c r="E54" s="43"/>
      <c r="F54" s="50"/>
      <c r="G54" s="42">
        <f>G53</f>
        <v>200</v>
      </c>
      <c r="H54" s="42">
        <f>SUM(H53*F53)</f>
        <v>3600</v>
      </c>
      <c r="I54" s="42">
        <f>I53</f>
        <v>130</v>
      </c>
      <c r="J54" s="42">
        <f>SUM(J53*F53)</f>
        <v>7800</v>
      </c>
      <c r="K54" s="42">
        <f>SUM(K53*F53)</f>
        <v>1500</v>
      </c>
      <c r="L54" s="42">
        <f>SUM(L53*F52)</f>
        <v>0</v>
      </c>
      <c r="M54" s="27"/>
      <c r="N54" s="217"/>
      <c r="O54" s="50"/>
      <c r="P54" s="50"/>
      <c r="Q54" s="50"/>
      <c r="R54" s="50"/>
      <c r="S54" s="50"/>
      <c r="T54" s="50"/>
      <c r="U54" s="50"/>
      <c r="V54" s="217"/>
      <c r="W54" s="50"/>
      <c r="X54" s="217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</row>
    <row r="55">
      <c r="A55" s="107" t="s">
        <v>584</v>
      </c>
      <c r="B55" s="18"/>
      <c r="C55" s="18"/>
      <c r="D55" s="222"/>
      <c r="E55" s="43"/>
      <c r="F55" s="18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43"/>
      <c r="N55" s="219"/>
      <c r="O55" s="18"/>
      <c r="P55" s="18"/>
      <c r="Q55" s="18"/>
      <c r="R55" s="18"/>
      <c r="S55" s="18"/>
      <c r="T55" s="18"/>
      <c r="U55" s="18"/>
      <c r="V55" s="219"/>
      <c r="W55" s="18"/>
      <c r="X55" s="219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>
      <c r="A56" s="107" t="s">
        <v>599</v>
      </c>
      <c r="B56" s="18"/>
      <c r="C56" s="18"/>
      <c r="D56" s="222"/>
      <c r="E56" s="43"/>
      <c r="F56" s="18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43"/>
      <c r="N56" s="219"/>
      <c r="O56" s="18"/>
      <c r="P56" s="18"/>
      <c r="Q56" s="18"/>
      <c r="R56" s="18"/>
      <c r="S56" s="18"/>
      <c r="T56" s="18"/>
      <c r="U56" s="18"/>
      <c r="V56" s="219"/>
      <c r="W56" s="18"/>
      <c r="X56" s="219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>
      <c r="A57" s="8"/>
      <c r="B57" s="50"/>
      <c r="C57" s="50"/>
      <c r="D57" s="221"/>
      <c r="E57" s="43"/>
      <c r="F57" s="50"/>
      <c r="G57" s="50"/>
      <c r="H57" s="50"/>
      <c r="I57" s="50"/>
      <c r="J57" s="50"/>
      <c r="K57" s="50"/>
      <c r="L57" s="50"/>
      <c r="M57" s="27"/>
      <c r="N57" s="217"/>
      <c r="O57" s="50"/>
      <c r="P57" s="50"/>
      <c r="Q57" s="50"/>
      <c r="R57" s="50"/>
      <c r="S57" s="50"/>
      <c r="T57" s="50"/>
      <c r="U57" s="50"/>
      <c r="V57" s="217"/>
      <c r="W57" s="50"/>
      <c r="X57" s="217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</row>
    <row r="58">
      <c r="A58" s="220" t="s">
        <v>719</v>
      </c>
      <c r="B58" s="24">
        <f>SUM(H58+J58+K58+L58)</f>
        <v>607</v>
      </c>
      <c r="C58" s="42">
        <f>SUM((B58*F58)+(G58+I58))</f>
        <v>21560</v>
      </c>
      <c r="D58" s="221">
        <f>C58/Y58</f>
        <v>10780</v>
      </c>
      <c r="E58" s="43"/>
      <c r="F58" s="13">
        <v>30.0</v>
      </c>
      <c r="G58" s="224">
        <v>350.0</v>
      </c>
      <c r="H58" s="24">
        <f>12*O58</f>
        <v>180</v>
      </c>
      <c r="I58" s="24">
        <f t="array" ref="I58">SUM(""+""+P58)</f>
        <v>3000</v>
      </c>
      <c r="J58" s="24">
        <f t="array" ref="J58">SUM((S58+T58+U58)*12)</f>
        <v>300</v>
      </c>
      <c r="K58" s="13">
        <v>0.0</v>
      </c>
      <c r="L58" s="13">
        <v>127.0</v>
      </c>
      <c r="M58" s="27"/>
      <c r="N58" s="217"/>
      <c r="O58" s="13">
        <v>15.0</v>
      </c>
      <c r="P58" s="13">
        <v>3000.0</v>
      </c>
      <c r="Q58" s="13">
        <v>0.0</v>
      </c>
      <c r="R58" s="13">
        <v>0.0</v>
      </c>
      <c r="S58" s="13">
        <v>25.0</v>
      </c>
      <c r="T58" s="13">
        <v>0.0</v>
      </c>
      <c r="U58" s="13">
        <v>0.0</v>
      </c>
      <c r="V58" s="217"/>
      <c r="W58" s="13">
        <v>0.0</v>
      </c>
      <c r="X58" s="217"/>
      <c r="Y58" s="13">
        <v>2.0</v>
      </c>
      <c r="Z58" s="128" t="s">
        <v>720</v>
      </c>
      <c r="AA58" s="50"/>
      <c r="AB58" s="50"/>
      <c r="AC58" s="50"/>
      <c r="AD58" s="50"/>
      <c r="AE58" s="50"/>
      <c r="AF58" s="50"/>
      <c r="AG58" s="50"/>
      <c r="AH58" s="50"/>
      <c r="AI58" s="50"/>
      <c r="AJ58" s="50"/>
    </row>
    <row r="59">
      <c r="A59" s="13" t="s">
        <v>583</v>
      </c>
      <c r="B59" s="50"/>
      <c r="C59" s="50"/>
      <c r="D59" s="221"/>
      <c r="E59" s="43"/>
      <c r="F59" s="50"/>
      <c r="G59" s="42">
        <f>G58</f>
        <v>350</v>
      </c>
      <c r="H59" s="42">
        <f>SUM(H58*F58)</f>
        <v>5400</v>
      </c>
      <c r="I59" s="42">
        <f>I58</f>
        <v>3000</v>
      </c>
      <c r="J59" s="42">
        <f>SUM(J58*F58)</f>
        <v>9000</v>
      </c>
      <c r="K59" s="42">
        <f>SUM(K58*F58)</f>
        <v>0</v>
      </c>
      <c r="L59" s="42">
        <f>SUM(L58*F58)</f>
        <v>3810</v>
      </c>
      <c r="M59" s="27"/>
      <c r="N59" s="217"/>
      <c r="O59" s="50"/>
      <c r="P59" s="50"/>
      <c r="Q59" s="50"/>
      <c r="R59" s="50"/>
      <c r="S59" s="50"/>
      <c r="T59" s="50"/>
      <c r="U59" s="50"/>
      <c r="V59" s="217"/>
      <c r="W59" s="50"/>
      <c r="X59" s="217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</row>
    <row r="60">
      <c r="A60" s="107" t="s">
        <v>584</v>
      </c>
      <c r="B60" s="18"/>
      <c r="C60" s="18"/>
      <c r="D60" s="222"/>
      <c r="E60" s="43"/>
      <c r="F60" s="18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43"/>
      <c r="N60" s="219"/>
      <c r="O60" s="18"/>
      <c r="P60" s="18"/>
      <c r="Q60" s="18"/>
      <c r="R60" s="18"/>
      <c r="S60" s="18"/>
      <c r="T60" s="18"/>
      <c r="U60" s="18"/>
      <c r="V60" s="219"/>
      <c r="W60" s="18"/>
      <c r="X60" s="219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>
      <c r="A61" s="107" t="s">
        <v>599</v>
      </c>
      <c r="B61" s="18"/>
      <c r="C61" s="18"/>
      <c r="D61" s="222"/>
      <c r="E61" s="43"/>
      <c r="F61" s="18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43"/>
      <c r="N61" s="219"/>
      <c r="O61" s="18"/>
      <c r="P61" s="18"/>
      <c r="Q61" s="18"/>
      <c r="R61" s="18"/>
      <c r="S61" s="18"/>
      <c r="T61" s="18"/>
      <c r="U61" s="18"/>
      <c r="V61" s="219"/>
      <c r="W61" s="18"/>
      <c r="X61" s="219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>
      <c r="A62" s="8"/>
      <c r="B62" s="50"/>
      <c r="C62" s="50"/>
      <c r="D62" s="221"/>
      <c r="E62" s="43"/>
      <c r="F62" s="50"/>
      <c r="G62" s="50"/>
      <c r="H62" s="50"/>
      <c r="I62" s="50"/>
      <c r="J62" s="50"/>
      <c r="K62" s="50"/>
      <c r="L62" s="50"/>
      <c r="M62" s="27"/>
      <c r="N62" s="217"/>
      <c r="O62" s="50"/>
      <c r="P62" s="50"/>
      <c r="Q62" s="50"/>
      <c r="R62" s="50"/>
      <c r="S62" s="50"/>
      <c r="T62" s="50"/>
      <c r="U62" s="50"/>
      <c r="V62" s="217"/>
      <c r="W62" s="50"/>
      <c r="X62" s="217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</row>
    <row r="63">
      <c r="A63" s="220" t="s">
        <v>728</v>
      </c>
      <c r="B63" s="223">
        <f>SUM(H63+J63+K63+L63)</f>
        <v>296</v>
      </c>
      <c r="C63" s="42">
        <f>SUM((B63*F63)+(G63+I63))</f>
        <v>637</v>
      </c>
      <c r="D63" s="221">
        <f>C63/Y63</f>
        <v>5790.909091</v>
      </c>
      <c r="E63" s="43"/>
      <c r="F63" s="13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13">
        <v>10.0</v>
      </c>
      <c r="L63" s="13">
        <v>106.0</v>
      </c>
      <c r="M63" s="27"/>
      <c r="N63" s="217"/>
      <c r="O63" s="224">
        <v>5.0</v>
      </c>
      <c r="P63" s="224">
        <v>40.0</v>
      </c>
      <c r="Q63" s="13">
        <v>0.0</v>
      </c>
      <c r="R63" s="13">
        <v>0.0</v>
      </c>
      <c r="S63" s="224">
        <v>5.0</v>
      </c>
      <c r="T63" s="13">
        <v>5.0</v>
      </c>
      <c r="U63" s="13">
        <v>0.0</v>
      </c>
      <c r="V63" s="217"/>
      <c r="W63" s="224">
        <v>70.0</v>
      </c>
      <c r="X63" s="217"/>
      <c r="Y63" s="13">
        <v>0.11</v>
      </c>
      <c r="Z63" s="128" t="s">
        <v>730</v>
      </c>
      <c r="AA63" s="128" t="s">
        <v>731</v>
      </c>
      <c r="AB63" s="50"/>
      <c r="AC63" s="50"/>
      <c r="AD63" s="50"/>
      <c r="AE63" s="50"/>
      <c r="AF63" s="50"/>
      <c r="AG63" s="50"/>
      <c r="AH63" s="50"/>
      <c r="AI63" s="50"/>
      <c r="AJ63" s="50"/>
    </row>
    <row r="64">
      <c r="A64" s="13" t="s">
        <v>583</v>
      </c>
      <c r="B64" s="50"/>
      <c r="C64" s="50"/>
      <c r="D64" s="221"/>
      <c r="E64" s="43"/>
      <c r="F64" s="50"/>
      <c r="G64" s="42">
        <f>G63</f>
        <v>5</v>
      </c>
      <c r="H64" s="42">
        <f>SUM(H63*F63)</f>
        <v>120</v>
      </c>
      <c r="I64" s="42">
        <f>I63</f>
        <v>40</v>
      </c>
      <c r="J64" s="42">
        <f>SUM(J63*F63)</f>
        <v>240</v>
      </c>
      <c r="K64" s="42">
        <f>SUM(K63*F63)</f>
        <v>20</v>
      </c>
      <c r="L64" s="42">
        <f>SUM(L63*F63)</f>
        <v>212</v>
      </c>
      <c r="M64" s="27"/>
      <c r="N64" s="217"/>
      <c r="O64" s="50"/>
      <c r="P64" s="50"/>
      <c r="Q64" s="50"/>
      <c r="R64" s="50"/>
      <c r="S64" s="50"/>
      <c r="T64" s="50"/>
      <c r="U64" s="50"/>
      <c r="V64" s="217"/>
      <c r="W64" s="50"/>
      <c r="X64" s="217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</row>
    <row r="65">
      <c r="A65" s="107" t="s">
        <v>584</v>
      </c>
      <c r="B65" s="50"/>
      <c r="C65" s="50"/>
      <c r="D65" s="221"/>
      <c r="E65" s="43"/>
      <c r="F65" s="50"/>
      <c r="G65" s="227">
        <f>SUM(G63/C63)</f>
        <v>0.007849293564</v>
      </c>
      <c r="H65" s="227">
        <f>SUM(H63/C63)</f>
        <v>0.09419152276</v>
      </c>
      <c r="I65" s="227">
        <f>SUM(I63/C63)</f>
        <v>0.06279434851</v>
      </c>
      <c r="J65" s="227">
        <f>SUM(J63/C63)</f>
        <v>0.1883830455</v>
      </c>
      <c r="K65" s="227">
        <f>SUM(K63/C63)</f>
        <v>0.01569858713</v>
      </c>
      <c r="L65" s="227">
        <f>SUM(L63/C63)</f>
        <v>0.1664050235</v>
      </c>
      <c r="M65" s="27"/>
      <c r="N65" s="217"/>
      <c r="O65" s="50"/>
      <c r="P65" s="50"/>
      <c r="Q65" s="50"/>
      <c r="R65" s="50"/>
      <c r="S65" s="50"/>
      <c r="T65" s="50"/>
      <c r="U65" s="50"/>
      <c r="V65" s="217"/>
      <c r="W65" s="50"/>
      <c r="X65" s="217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</row>
    <row r="66">
      <c r="A66" s="107" t="s">
        <v>599</v>
      </c>
      <c r="B66" s="50"/>
      <c r="C66" s="50"/>
      <c r="D66" s="221"/>
      <c r="E66" s="43"/>
      <c r="F66" s="50"/>
      <c r="G66" s="227">
        <f>SUM(G63/C63)</f>
        <v>0.007849293564</v>
      </c>
      <c r="H66" s="227">
        <f>SUM((H63*F63)/C63)</f>
        <v>0.1883830455</v>
      </c>
      <c r="I66" s="227">
        <f>I65</f>
        <v>0.06279434851</v>
      </c>
      <c r="J66" s="227">
        <f>SUM((J63*F63)/C63)</f>
        <v>0.3767660911</v>
      </c>
      <c r="K66" s="227">
        <f>SUM((K63*F63)/C63)</f>
        <v>0.03139717425</v>
      </c>
      <c r="L66" s="227">
        <f>SUM((L63*F63)/C63)</f>
        <v>0.3328100471</v>
      </c>
      <c r="M66" s="27"/>
      <c r="N66" s="217"/>
      <c r="O66" s="50"/>
      <c r="P66" s="50"/>
      <c r="Q66" s="50"/>
      <c r="R66" s="50"/>
      <c r="S66" s="50"/>
      <c r="T66" s="50"/>
      <c r="U66" s="50"/>
      <c r="V66" s="217"/>
      <c r="W66" s="50"/>
      <c r="X66" s="217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</row>
    <row r="67">
      <c r="A67" s="8"/>
      <c r="B67" s="50"/>
      <c r="C67" s="50"/>
      <c r="D67" s="221"/>
      <c r="E67" s="43"/>
      <c r="F67" s="50"/>
      <c r="G67" s="50"/>
      <c r="H67" s="50"/>
      <c r="I67" s="50"/>
      <c r="J67" s="50"/>
      <c r="K67" s="50"/>
      <c r="L67" s="50"/>
      <c r="M67" s="27"/>
      <c r="N67" s="217"/>
      <c r="O67" s="50"/>
      <c r="P67" s="50"/>
      <c r="Q67" s="50"/>
      <c r="R67" s="50"/>
      <c r="S67" s="50"/>
      <c r="T67" s="50"/>
      <c r="U67" s="50"/>
      <c r="V67" s="217"/>
      <c r="W67" s="50"/>
      <c r="X67" s="217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</row>
    <row r="68">
      <c r="A68" s="220" t="s">
        <v>414</v>
      </c>
      <c r="B68" s="223">
        <f>SUM(H68+J68+K68+L68)</f>
        <v>676</v>
      </c>
      <c r="C68" s="42">
        <f>SUM((B68*F68)+(G68+I68))</f>
        <v>4226</v>
      </c>
      <c r="D68" s="221">
        <f>C68/Y68</f>
        <v>2347.777778</v>
      </c>
      <c r="E68" s="43"/>
      <c r="F68" s="13">
        <v>6.0</v>
      </c>
      <c r="G68" s="224">
        <v>20.0</v>
      </c>
      <c r="H68" s="24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13">
        <v>106.0</v>
      </c>
      <c r="M68" s="27"/>
      <c r="N68" s="217"/>
      <c r="O68" s="13">
        <v>25.0</v>
      </c>
      <c r="P68" s="224">
        <v>70.0</v>
      </c>
      <c r="Q68" s="224">
        <v>80.0</v>
      </c>
      <c r="R68" s="13">
        <v>0.0</v>
      </c>
      <c r="S68" s="224">
        <v>10.0</v>
      </c>
      <c r="T68" s="13">
        <v>10.0</v>
      </c>
      <c r="U68" s="13">
        <v>0.0</v>
      </c>
      <c r="V68" s="217"/>
      <c r="W68" s="224">
        <v>95.0</v>
      </c>
      <c r="X68" s="217"/>
      <c r="Y68" s="13">
        <v>1.8</v>
      </c>
      <c r="Z68" s="128" t="s">
        <v>735</v>
      </c>
      <c r="AA68" s="128" t="s">
        <v>737</v>
      </c>
      <c r="AB68" s="50"/>
      <c r="AC68" s="50"/>
      <c r="AD68" s="50"/>
      <c r="AE68" s="50"/>
      <c r="AF68" s="50"/>
      <c r="AG68" s="50"/>
      <c r="AH68" s="50"/>
      <c r="AI68" s="50"/>
      <c r="AJ68" s="50"/>
    </row>
    <row r="69">
      <c r="A69" s="13" t="s">
        <v>583</v>
      </c>
      <c r="B69" s="50"/>
      <c r="C69" s="50"/>
      <c r="D69" s="221"/>
      <c r="E69" s="43"/>
      <c r="F69" s="50"/>
      <c r="G69" s="42">
        <f>G68</f>
        <v>20</v>
      </c>
      <c r="H69" s="42">
        <f>SUM(H68*F68)</f>
        <v>1800</v>
      </c>
      <c r="I69" s="42">
        <f>I68</f>
        <v>150</v>
      </c>
      <c r="J69" s="42">
        <f>SUM(J68*F68)</f>
        <v>1440</v>
      </c>
      <c r="K69" s="42">
        <f>SUM(K68*F68)</f>
        <v>180</v>
      </c>
      <c r="L69" s="42">
        <f>SUM(L68*F68)</f>
        <v>636</v>
      </c>
      <c r="M69" s="27"/>
      <c r="N69" s="217"/>
      <c r="O69" s="50"/>
      <c r="P69" s="50"/>
      <c r="Q69" s="50"/>
      <c r="R69" s="50"/>
      <c r="S69" s="50"/>
      <c r="T69" s="50"/>
      <c r="U69" s="50"/>
      <c r="V69" s="217"/>
      <c r="W69" s="50"/>
      <c r="X69" s="217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</row>
    <row r="70">
      <c r="A70" s="107" t="s">
        <v>584</v>
      </c>
      <c r="B70" s="18"/>
      <c r="C70" s="18"/>
      <c r="D70" s="222"/>
      <c r="E70" s="43"/>
      <c r="F70" s="18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43"/>
      <c r="N70" s="219"/>
      <c r="O70" s="18"/>
      <c r="P70" s="18"/>
      <c r="Q70" s="18"/>
      <c r="R70" s="18"/>
      <c r="S70" s="18"/>
      <c r="T70" s="18"/>
      <c r="U70" s="18"/>
      <c r="V70" s="219"/>
      <c r="W70" s="18"/>
      <c r="X70" s="219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>
      <c r="A71" s="107" t="s">
        <v>599</v>
      </c>
      <c r="B71" s="18"/>
      <c r="C71" s="18"/>
      <c r="D71" s="222"/>
      <c r="E71" s="43"/>
      <c r="F71" s="18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43"/>
      <c r="N71" s="219"/>
      <c r="O71" s="18"/>
      <c r="P71" s="18"/>
      <c r="Q71" s="18"/>
      <c r="R71" s="18"/>
      <c r="S71" s="18"/>
      <c r="T71" s="18"/>
      <c r="U71" s="18"/>
      <c r="V71" s="219"/>
      <c r="W71" s="18"/>
      <c r="X71" s="219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>
      <c r="A72" s="52"/>
      <c r="B72" s="50"/>
      <c r="C72" s="50"/>
      <c r="D72" s="50"/>
      <c r="E72" s="43"/>
      <c r="F72" s="50"/>
      <c r="G72" s="52"/>
      <c r="H72" s="52"/>
      <c r="I72" s="52"/>
      <c r="J72" s="52"/>
      <c r="K72" s="50"/>
      <c r="L72" s="50"/>
      <c r="M72" s="27"/>
      <c r="N72" s="217"/>
      <c r="O72" s="50"/>
      <c r="P72" s="50"/>
      <c r="Q72" s="50"/>
      <c r="R72" s="50"/>
      <c r="S72" s="50"/>
      <c r="T72" s="50"/>
      <c r="U72" s="50"/>
      <c r="V72" s="217"/>
      <c r="W72" s="50"/>
      <c r="X72" s="217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</row>
    <row r="73">
      <c r="A73" s="52"/>
      <c r="B73" s="50"/>
      <c r="C73" s="50"/>
      <c r="D73" s="50"/>
      <c r="E73" s="43"/>
      <c r="F73" s="50"/>
      <c r="G73" s="52"/>
      <c r="H73" s="52"/>
      <c r="I73" s="52"/>
      <c r="J73" s="52"/>
      <c r="K73" s="50"/>
      <c r="L73" s="50"/>
      <c r="M73" s="27"/>
      <c r="N73" s="217"/>
      <c r="O73" s="50"/>
      <c r="P73" s="50"/>
      <c r="Q73" s="50"/>
      <c r="R73" s="50"/>
      <c r="S73" s="50"/>
      <c r="T73" s="50"/>
      <c r="U73" s="50"/>
      <c r="V73" s="217"/>
      <c r="W73" s="50"/>
      <c r="X73" s="217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</row>
    <row r="74">
      <c r="A74" s="52"/>
      <c r="B74" s="50"/>
      <c r="C74" s="50"/>
      <c r="D74" s="50"/>
      <c r="E74" s="43"/>
      <c r="F74" s="50"/>
      <c r="G74" s="52"/>
      <c r="H74" s="52"/>
      <c r="I74" s="52"/>
      <c r="J74" s="52"/>
      <c r="K74" s="50"/>
      <c r="L74" s="50"/>
      <c r="M74" s="27"/>
      <c r="N74" s="217"/>
      <c r="O74" s="50"/>
      <c r="P74" s="50"/>
      <c r="Q74" s="50"/>
      <c r="R74" s="50"/>
      <c r="S74" s="50"/>
      <c r="T74" s="50"/>
      <c r="U74" s="50"/>
      <c r="V74" s="217"/>
      <c r="W74" s="50"/>
      <c r="X74" s="217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</row>
    <row r="75">
      <c r="A75" s="73" t="s">
        <v>743</v>
      </c>
      <c r="B75" s="50"/>
      <c r="C75" s="50"/>
      <c r="D75" s="50"/>
      <c r="E75" s="43"/>
      <c r="F75" s="50"/>
      <c r="G75" s="52"/>
      <c r="H75" s="52"/>
      <c r="I75" s="52"/>
      <c r="J75" s="52"/>
      <c r="K75" s="50"/>
      <c r="L75" s="50"/>
      <c r="M75" s="27"/>
      <c r="N75" s="217"/>
      <c r="O75" s="50"/>
      <c r="P75" s="50"/>
      <c r="Q75" s="50"/>
      <c r="R75" s="50"/>
      <c r="S75" s="50"/>
      <c r="T75" s="50"/>
      <c r="U75" s="50"/>
      <c r="V75" s="217"/>
      <c r="W75" s="50"/>
      <c r="X75" s="217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</row>
    <row r="76">
      <c r="A76" s="52"/>
      <c r="B76" s="50"/>
      <c r="C76" s="50"/>
      <c r="D76" s="50"/>
      <c r="E76" s="43"/>
      <c r="F76" s="50"/>
      <c r="G76" s="52"/>
      <c r="H76" s="52"/>
      <c r="I76" s="52"/>
      <c r="J76" s="52"/>
      <c r="K76" s="50"/>
      <c r="L76" s="50"/>
      <c r="M76" s="27"/>
      <c r="N76" s="217"/>
      <c r="O76" s="50"/>
      <c r="P76" s="50"/>
      <c r="Q76" s="50"/>
      <c r="R76" s="50"/>
      <c r="S76" s="50"/>
      <c r="T76" s="50"/>
      <c r="U76" s="50"/>
      <c r="V76" s="217"/>
      <c r="W76" s="50"/>
      <c r="X76" s="217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</row>
    <row r="77">
      <c r="A77" s="52"/>
      <c r="B77" s="50"/>
      <c r="C77" s="50"/>
      <c r="D77" s="50"/>
      <c r="E77" s="43"/>
      <c r="F77" s="50"/>
      <c r="G77" s="52"/>
      <c r="H77" s="52"/>
      <c r="I77" s="52"/>
      <c r="J77" s="52"/>
      <c r="K77" s="50"/>
      <c r="L77" s="50"/>
      <c r="M77" s="27"/>
      <c r="N77" s="217"/>
      <c r="O77" s="50"/>
      <c r="P77" s="50"/>
      <c r="Q77" s="50"/>
      <c r="R77" s="50"/>
      <c r="S77" s="50"/>
      <c r="T77" s="50"/>
      <c r="U77" s="50"/>
      <c r="V77" s="217"/>
      <c r="W77" s="50"/>
      <c r="X77" s="217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</row>
    <row r="78">
      <c r="A78" s="52"/>
      <c r="B78" s="50"/>
      <c r="C78" s="50"/>
      <c r="D78" s="50"/>
      <c r="E78" s="43"/>
      <c r="F78" s="50"/>
      <c r="G78" s="52"/>
      <c r="H78" s="52"/>
      <c r="I78" s="52"/>
      <c r="J78" s="52"/>
      <c r="K78" s="50"/>
      <c r="L78" s="50"/>
      <c r="M78" s="27"/>
      <c r="N78" s="217"/>
      <c r="O78" s="50"/>
      <c r="P78" s="50"/>
      <c r="Q78" s="50"/>
      <c r="R78" s="50"/>
      <c r="S78" s="50"/>
      <c r="T78" s="50"/>
      <c r="U78" s="50"/>
      <c r="V78" s="217"/>
      <c r="W78" s="50"/>
      <c r="X78" s="217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</row>
    <row r="79">
      <c r="A79" s="52"/>
      <c r="B79" s="50"/>
      <c r="C79" s="50"/>
      <c r="D79" s="50"/>
      <c r="E79" s="43"/>
      <c r="F79" s="50"/>
      <c r="G79" s="52"/>
      <c r="H79" s="52"/>
      <c r="I79" s="52"/>
      <c r="J79" s="52"/>
      <c r="K79" s="50"/>
      <c r="L79" s="50"/>
      <c r="M79" s="27"/>
      <c r="N79" s="217"/>
      <c r="O79" s="50"/>
      <c r="P79" s="50"/>
      <c r="Q79" s="50"/>
      <c r="R79" s="50"/>
      <c r="S79" s="50"/>
      <c r="T79" s="50"/>
      <c r="U79" s="50"/>
      <c r="V79" s="217"/>
      <c r="W79" s="50"/>
      <c r="X79" s="217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</row>
    <row r="80">
      <c r="A80" s="52"/>
      <c r="B80" s="50"/>
      <c r="C80" s="50"/>
      <c r="D80" s="50"/>
      <c r="E80" s="43"/>
      <c r="F80" s="50"/>
      <c r="G80" s="52"/>
      <c r="H80" s="52"/>
      <c r="I80" s="52"/>
      <c r="J80" s="52"/>
      <c r="K80" s="50"/>
      <c r="L80" s="50"/>
      <c r="M80" s="27"/>
      <c r="N80" s="217"/>
      <c r="O80" s="50"/>
      <c r="P80" s="50"/>
      <c r="Q80" s="50"/>
      <c r="R80" s="50"/>
      <c r="S80" s="50"/>
      <c r="T80" s="50"/>
      <c r="U80" s="50"/>
      <c r="V80" s="217"/>
      <c r="W80" s="50"/>
      <c r="X80" s="217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</row>
    <row r="81">
      <c r="A81" s="52"/>
      <c r="B81" s="50"/>
      <c r="C81" s="50"/>
      <c r="D81" s="50"/>
      <c r="E81" s="43"/>
      <c r="F81" s="50"/>
      <c r="G81" s="52"/>
      <c r="H81" s="52"/>
      <c r="I81" s="52"/>
      <c r="J81" s="52"/>
      <c r="K81" s="50"/>
      <c r="L81" s="50"/>
      <c r="M81" s="27"/>
      <c r="N81" s="217"/>
      <c r="O81" s="50"/>
      <c r="P81" s="50"/>
      <c r="Q81" s="50"/>
      <c r="R81" s="50"/>
      <c r="S81" s="50"/>
      <c r="T81" s="50"/>
      <c r="U81" s="50"/>
      <c r="V81" s="217"/>
      <c r="W81" s="50"/>
      <c r="X81" s="217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>
      <c r="A82" s="52"/>
      <c r="B82" s="50"/>
      <c r="C82" s="50"/>
      <c r="D82" s="50"/>
      <c r="E82" s="43"/>
      <c r="F82" s="50"/>
      <c r="G82" s="52"/>
      <c r="H82" s="52"/>
      <c r="I82" s="52"/>
      <c r="J82" s="52"/>
      <c r="K82" s="50"/>
      <c r="L82" s="50"/>
      <c r="M82" s="27"/>
      <c r="N82" s="217"/>
      <c r="O82" s="50"/>
      <c r="P82" s="50"/>
      <c r="Q82" s="50"/>
      <c r="R82" s="50"/>
      <c r="S82" s="50"/>
      <c r="T82" s="50"/>
      <c r="U82" s="50"/>
      <c r="V82" s="217"/>
      <c r="W82" s="50"/>
      <c r="X82" s="217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</row>
    <row r="83">
      <c r="A83" s="52"/>
      <c r="B83" s="50"/>
      <c r="C83" s="50"/>
      <c r="D83" s="50"/>
      <c r="E83" s="43"/>
      <c r="F83" s="50"/>
      <c r="G83" s="52"/>
      <c r="H83" s="52"/>
      <c r="I83" s="52"/>
      <c r="J83" s="52"/>
      <c r="K83" s="50"/>
      <c r="L83" s="50"/>
      <c r="M83" s="27"/>
      <c r="N83" s="217"/>
      <c r="O83" s="50"/>
      <c r="P83" s="50"/>
      <c r="Q83" s="50"/>
      <c r="R83" s="50"/>
      <c r="S83" s="50"/>
      <c r="T83" s="50"/>
      <c r="U83" s="50"/>
      <c r="V83" s="217"/>
      <c r="W83" s="50"/>
      <c r="X83" s="217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</row>
    <row r="84">
      <c r="A84" s="52"/>
      <c r="B84" s="50"/>
      <c r="C84" s="50"/>
      <c r="D84" s="50"/>
      <c r="E84" s="43"/>
      <c r="F84" s="50"/>
      <c r="G84" s="52"/>
      <c r="H84" s="52"/>
      <c r="I84" s="52"/>
      <c r="J84" s="52"/>
      <c r="K84" s="50"/>
      <c r="L84" s="50"/>
      <c r="M84" s="27"/>
      <c r="N84" s="217"/>
      <c r="O84" s="50"/>
      <c r="P84" s="50"/>
      <c r="Q84" s="50"/>
      <c r="R84" s="50"/>
      <c r="S84" s="50"/>
      <c r="T84" s="50"/>
      <c r="U84" s="50"/>
      <c r="V84" s="217"/>
      <c r="W84" s="50"/>
      <c r="X84" s="217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</row>
    <row r="85">
      <c r="A85" s="52"/>
      <c r="B85" s="50"/>
      <c r="C85" s="50"/>
      <c r="D85" s="50"/>
      <c r="E85" s="43"/>
      <c r="F85" s="50"/>
      <c r="G85" s="52"/>
      <c r="H85" s="52"/>
      <c r="I85" s="52"/>
      <c r="J85" s="52"/>
      <c r="K85" s="50"/>
      <c r="L85" s="50"/>
      <c r="M85" s="27"/>
      <c r="N85" s="217"/>
      <c r="O85" s="50"/>
      <c r="P85" s="50"/>
      <c r="Q85" s="50"/>
      <c r="R85" s="50"/>
      <c r="S85" s="50"/>
      <c r="T85" s="50"/>
      <c r="U85" s="50"/>
      <c r="V85" s="217"/>
      <c r="W85" s="50"/>
      <c r="X85" s="217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</row>
    <row r="86">
      <c r="A86" s="52"/>
      <c r="B86" s="50"/>
      <c r="C86" s="50"/>
      <c r="D86" s="50"/>
      <c r="E86" s="43"/>
      <c r="F86" s="50"/>
      <c r="G86" s="52"/>
      <c r="H86" s="52"/>
      <c r="I86" s="52"/>
      <c r="J86" s="52"/>
      <c r="K86" s="50"/>
      <c r="L86" s="50"/>
      <c r="M86" s="27"/>
      <c r="N86" s="217"/>
      <c r="O86" s="50"/>
      <c r="P86" s="50"/>
      <c r="Q86" s="50"/>
      <c r="R86" s="50"/>
      <c r="S86" s="50"/>
      <c r="T86" s="50"/>
      <c r="U86" s="50"/>
      <c r="V86" s="217"/>
      <c r="W86" s="50"/>
      <c r="X86" s="217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</row>
    <row r="87">
      <c r="A87" s="52"/>
      <c r="B87" s="50"/>
      <c r="C87" s="50"/>
      <c r="D87" s="50"/>
      <c r="E87" s="43"/>
      <c r="F87" s="50"/>
      <c r="G87" s="52"/>
      <c r="H87" s="52"/>
      <c r="I87" s="52"/>
      <c r="J87" s="52"/>
      <c r="K87" s="50"/>
      <c r="L87" s="50"/>
      <c r="M87" s="27"/>
      <c r="N87" s="217"/>
      <c r="O87" s="50"/>
      <c r="P87" s="50"/>
      <c r="Q87" s="50"/>
      <c r="R87" s="50"/>
      <c r="S87" s="50"/>
      <c r="T87" s="50"/>
      <c r="U87" s="50"/>
      <c r="V87" s="217"/>
      <c r="W87" s="50"/>
      <c r="X87" s="217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</row>
    <row r="88">
      <c r="A88" s="52"/>
      <c r="B88" s="50"/>
      <c r="C88" s="50"/>
      <c r="D88" s="50"/>
      <c r="E88" s="43"/>
      <c r="F88" s="50"/>
      <c r="G88" s="52"/>
      <c r="H88" s="52"/>
      <c r="I88" s="52"/>
      <c r="J88" s="52"/>
      <c r="K88" s="50"/>
      <c r="L88" s="50"/>
      <c r="M88" s="27"/>
      <c r="N88" s="217"/>
      <c r="O88" s="50"/>
      <c r="P88" s="50"/>
      <c r="Q88" s="50"/>
      <c r="R88" s="50"/>
      <c r="S88" s="50"/>
      <c r="T88" s="50"/>
      <c r="U88" s="50"/>
      <c r="V88" s="217"/>
      <c r="W88" s="50"/>
      <c r="X88" s="217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</row>
    <row r="89">
      <c r="A89" s="52"/>
      <c r="B89" s="50"/>
      <c r="C89" s="50"/>
      <c r="D89" s="50"/>
      <c r="E89" s="43"/>
      <c r="F89" s="50"/>
      <c r="G89" s="52"/>
      <c r="H89" s="52"/>
      <c r="I89" s="52"/>
      <c r="J89" s="52"/>
      <c r="K89" s="50"/>
      <c r="L89" s="50"/>
      <c r="M89" s="27"/>
      <c r="N89" s="217"/>
      <c r="O89" s="50"/>
      <c r="P89" s="50"/>
      <c r="Q89" s="50"/>
      <c r="R89" s="50"/>
      <c r="S89" s="50"/>
      <c r="T89" s="50"/>
      <c r="U89" s="50"/>
      <c r="V89" s="217"/>
      <c r="W89" s="50"/>
      <c r="X89" s="217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</row>
    <row r="90">
      <c r="A90" s="52"/>
      <c r="B90" s="50"/>
      <c r="C90" s="50"/>
      <c r="D90" s="50"/>
      <c r="E90" s="43"/>
      <c r="F90" s="50"/>
      <c r="G90" s="52"/>
      <c r="H90" s="52"/>
      <c r="I90" s="52"/>
      <c r="J90" s="52"/>
      <c r="K90" s="50"/>
      <c r="L90" s="50"/>
      <c r="M90" s="27"/>
      <c r="N90" s="217"/>
      <c r="O90" s="50"/>
      <c r="P90" s="50"/>
      <c r="Q90" s="50"/>
      <c r="R90" s="50"/>
      <c r="S90" s="50"/>
      <c r="T90" s="50"/>
      <c r="U90" s="50"/>
      <c r="V90" s="217"/>
      <c r="W90" s="50"/>
      <c r="X90" s="217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1">
      <c r="A91" s="52"/>
      <c r="B91" s="50"/>
      <c r="C91" s="50"/>
      <c r="D91" s="50"/>
      <c r="E91" s="43"/>
      <c r="F91" s="50"/>
      <c r="G91" s="52"/>
      <c r="H91" s="52"/>
      <c r="I91" s="52"/>
      <c r="J91" s="52"/>
      <c r="K91" s="50"/>
      <c r="L91" s="50"/>
      <c r="M91" s="27"/>
      <c r="N91" s="217"/>
      <c r="O91" s="50"/>
      <c r="P91" s="50"/>
      <c r="Q91" s="50"/>
      <c r="R91" s="50"/>
      <c r="S91" s="50"/>
      <c r="T91" s="50"/>
      <c r="U91" s="50"/>
      <c r="V91" s="217"/>
      <c r="W91" s="50"/>
      <c r="X91" s="217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</row>
    <row r="92">
      <c r="A92" s="52"/>
      <c r="B92" s="50"/>
      <c r="C92" s="50"/>
      <c r="D92" s="50"/>
      <c r="E92" s="43"/>
      <c r="F92" s="50"/>
      <c r="G92" s="52"/>
      <c r="H92" s="52"/>
      <c r="I92" s="52"/>
      <c r="J92" s="52"/>
      <c r="K92" s="50"/>
      <c r="L92" s="50"/>
      <c r="M92" s="27"/>
      <c r="N92" s="217"/>
      <c r="O92" s="50"/>
      <c r="P92" s="50"/>
      <c r="Q92" s="50"/>
      <c r="R92" s="50"/>
      <c r="S92" s="50"/>
      <c r="T92" s="50"/>
      <c r="U92" s="50"/>
      <c r="V92" s="217"/>
      <c r="W92" s="50"/>
      <c r="X92" s="217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</row>
    <row r="93">
      <c r="A93" s="52"/>
      <c r="B93" s="50"/>
      <c r="C93" s="50"/>
      <c r="D93" s="50"/>
      <c r="E93" s="43"/>
      <c r="F93" s="50"/>
      <c r="G93" s="52"/>
      <c r="H93" s="52"/>
      <c r="I93" s="52"/>
      <c r="J93" s="52"/>
      <c r="K93" s="50"/>
      <c r="L93" s="50"/>
      <c r="M93" s="27"/>
      <c r="N93" s="217"/>
      <c r="O93" s="50"/>
      <c r="P93" s="50"/>
      <c r="Q93" s="50"/>
      <c r="R93" s="50"/>
      <c r="S93" s="50"/>
      <c r="T93" s="50"/>
      <c r="U93" s="50"/>
      <c r="V93" s="217"/>
      <c r="W93" s="50"/>
      <c r="X93" s="217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</row>
    <row r="94">
      <c r="A94" s="52"/>
      <c r="B94" s="50"/>
      <c r="C94" s="50"/>
      <c r="D94" s="50"/>
      <c r="E94" s="43"/>
      <c r="F94" s="50"/>
      <c r="G94" s="52"/>
      <c r="H94" s="52"/>
      <c r="I94" s="52"/>
      <c r="J94" s="52"/>
      <c r="K94" s="50"/>
      <c r="L94" s="50"/>
      <c r="M94" s="27"/>
      <c r="N94" s="217"/>
      <c r="O94" s="50"/>
      <c r="P94" s="50"/>
      <c r="Q94" s="50"/>
      <c r="R94" s="50"/>
      <c r="S94" s="50"/>
      <c r="T94" s="50"/>
      <c r="U94" s="50"/>
      <c r="V94" s="217"/>
      <c r="W94" s="50"/>
      <c r="X94" s="217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</row>
    <row r="95">
      <c r="A95" s="52"/>
      <c r="B95" s="50"/>
      <c r="C95" s="50"/>
      <c r="D95" s="50"/>
      <c r="E95" s="43"/>
      <c r="F95" s="50"/>
      <c r="G95" s="52"/>
      <c r="H95" s="52"/>
      <c r="I95" s="52"/>
      <c r="J95" s="52"/>
      <c r="K95" s="50"/>
      <c r="L95" s="50"/>
      <c r="M95" s="27"/>
      <c r="N95" s="217"/>
      <c r="O95" s="50"/>
      <c r="P95" s="50"/>
      <c r="Q95" s="50"/>
      <c r="R95" s="50"/>
      <c r="S95" s="50"/>
      <c r="T95" s="50"/>
      <c r="U95" s="50"/>
      <c r="V95" s="217"/>
      <c r="W95" s="50"/>
      <c r="X95" s="217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</row>
    <row r="96">
      <c r="A96" s="52"/>
      <c r="B96" s="50"/>
      <c r="C96" s="50"/>
      <c r="D96" s="50"/>
      <c r="E96" s="43"/>
      <c r="F96" s="50"/>
      <c r="G96" s="52"/>
      <c r="H96" s="52"/>
      <c r="I96" s="52"/>
      <c r="J96" s="52"/>
      <c r="K96" s="50"/>
      <c r="L96" s="50"/>
      <c r="M96" s="27"/>
      <c r="N96" s="217"/>
      <c r="O96" s="50"/>
      <c r="P96" s="50"/>
      <c r="Q96" s="50"/>
      <c r="R96" s="50"/>
      <c r="S96" s="50"/>
      <c r="T96" s="50"/>
      <c r="U96" s="50"/>
      <c r="V96" s="217"/>
      <c r="W96" s="50"/>
      <c r="X96" s="217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</row>
    <row r="97">
      <c r="A97" s="52"/>
      <c r="B97" s="50"/>
      <c r="C97" s="50"/>
      <c r="D97" s="50"/>
      <c r="E97" s="43"/>
      <c r="F97" s="50"/>
      <c r="G97" s="52"/>
      <c r="H97" s="52"/>
      <c r="I97" s="52"/>
      <c r="J97" s="52"/>
      <c r="K97" s="50"/>
      <c r="L97" s="50"/>
      <c r="M97" s="27"/>
      <c r="N97" s="217"/>
      <c r="O97" s="50"/>
      <c r="P97" s="50"/>
      <c r="Q97" s="50"/>
      <c r="R97" s="50"/>
      <c r="S97" s="50"/>
      <c r="T97" s="50"/>
      <c r="U97" s="50"/>
      <c r="V97" s="217"/>
      <c r="W97" s="50"/>
      <c r="X97" s="217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</row>
    <row r="98">
      <c r="A98" s="52"/>
      <c r="B98" s="50"/>
      <c r="C98" s="50"/>
      <c r="D98" s="50"/>
      <c r="E98" s="43"/>
      <c r="F98" s="50"/>
      <c r="G98" s="52"/>
      <c r="H98" s="52"/>
      <c r="I98" s="52"/>
      <c r="J98" s="52"/>
      <c r="K98" s="50"/>
      <c r="L98" s="50"/>
      <c r="M98" s="27"/>
      <c r="N98" s="217"/>
      <c r="O98" s="50"/>
      <c r="P98" s="50"/>
      <c r="Q98" s="50"/>
      <c r="R98" s="50"/>
      <c r="S98" s="50"/>
      <c r="T98" s="50"/>
      <c r="U98" s="50"/>
      <c r="V98" s="217"/>
      <c r="W98" s="50"/>
      <c r="X98" s="217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</row>
    <row r="99">
      <c r="A99" s="52"/>
      <c r="B99" s="50"/>
      <c r="C99" s="50"/>
      <c r="D99" s="50"/>
      <c r="E99" s="43"/>
      <c r="F99" s="50"/>
      <c r="G99" s="52"/>
      <c r="H99" s="52"/>
      <c r="I99" s="52"/>
      <c r="J99" s="52"/>
      <c r="K99" s="50"/>
      <c r="L99" s="50"/>
      <c r="M99" s="27"/>
      <c r="N99" s="217"/>
      <c r="O99" s="50"/>
      <c r="P99" s="50"/>
      <c r="Q99" s="50"/>
      <c r="R99" s="50"/>
      <c r="S99" s="50"/>
      <c r="T99" s="50"/>
      <c r="U99" s="50"/>
      <c r="V99" s="217"/>
      <c r="W99" s="50"/>
      <c r="X99" s="217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</row>
    <row r="100">
      <c r="A100" s="52"/>
      <c r="B100" s="50"/>
      <c r="C100" s="50"/>
      <c r="D100" s="50"/>
      <c r="E100" s="43"/>
      <c r="F100" s="50"/>
      <c r="G100" s="52"/>
      <c r="H100" s="52"/>
      <c r="I100" s="52"/>
      <c r="J100" s="52"/>
      <c r="K100" s="50"/>
      <c r="L100" s="50"/>
      <c r="M100" s="27"/>
      <c r="N100" s="217"/>
      <c r="O100" s="50"/>
      <c r="P100" s="50"/>
      <c r="Q100" s="50"/>
      <c r="R100" s="50"/>
      <c r="S100" s="50"/>
      <c r="T100" s="50"/>
      <c r="U100" s="50"/>
      <c r="V100" s="217"/>
      <c r="W100" s="50"/>
      <c r="X100" s="217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</row>
    <row r="101">
      <c r="A101" s="52"/>
      <c r="B101" s="50"/>
      <c r="C101" s="50"/>
      <c r="D101" s="50"/>
      <c r="E101" s="43"/>
      <c r="F101" s="50"/>
      <c r="G101" s="52"/>
      <c r="H101" s="52"/>
      <c r="I101" s="52"/>
      <c r="J101" s="52"/>
      <c r="K101" s="50"/>
      <c r="L101" s="50"/>
      <c r="M101" s="27"/>
      <c r="N101" s="217"/>
      <c r="O101" s="50"/>
      <c r="P101" s="50"/>
      <c r="Q101" s="50"/>
      <c r="R101" s="50"/>
      <c r="S101" s="50"/>
      <c r="T101" s="50"/>
      <c r="U101" s="50"/>
      <c r="V101" s="217"/>
      <c r="W101" s="50"/>
      <c r="X101" s="217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</row>
    <row r="102">
      <c r="A102" s="52"/>
      <c r="B102" s="50"/>
      <c r="C102" s="50"/>
      <c r="D102" s="50"/>
      <c r="E102" s="43"/>
      <c r="F102" s="50"/>
      <c r="G102" s="52"/>
      <c r="H102" s="52"/>
      <c r="I102" s="52"/>
      <c r="J102" s="52"/>
      <c r="K102" s="50"/>
      <c r="L102" s="50"/>
      <c r="M102" s="27"/>
      <c r="N102" s="217"/>
      <c r="O102" s="50"/>
      <c r="P102" s="50"/>
      <c r="Q102" s="50"/>
      <c r="R102" s="50"/>
      <c r="S102" s="50"/>
      <c r="T102" s="50"/>
      <c r="U102" s="50"/>
      <c r="V102" s="217"/>
      <c r="W102" s="50"/>
      <c r="X102" s="217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</row>
    <row r="103">
      <c r="A103" s="52"/>
      <c r="B103" s="50"/>
      <c r="C103" s="50"/>
      <c r="D103" s="50"/>
      <c r="E103" s="43"/>
      <c r="F103" s="50"/>
      <c r="G103" s="52"/>
      <c r="H103" s="52"/>
      <c r="I103" s="52"/>
      <c r="J103" s="52"/>
      <c r="K103" s="50"/>
      <c r="L103" s="50"/>
      <c r="M103" s="27"/>
      <c r="N103" s="217"/>
      <c r="O103" s="50"/>
      <c r="P103" s="50"/>
      <c r="Q103" s="50"/>
      <c r="R103" s="50"/>
      <c r="S103" s="50"/>
      <c r="T103" s="50"/>
      <c r="U103" s="50"/>
      <c r="V103" s="217"/>
      <c r="W103" s="50"/>
      <c r="X103" s="217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</row>
    <row r="104">
      <c r="A104" s="52"/>
      <c r="B104" s="50"/>
      <c r="C104" s="50"/>
      <c r="D104" s="50"/>
      <c r="E104" s="43"/>
      <c r="F104" s="50"/>
      <c r="G104" s="52"/>
      <c r="H104" s="52"/>
      <c r="I104" s="52"/>
      <c r="J104" s="52"/>
      <c r="K104" s="50"/>
      <c r="L104" s="50"/>
      <c r="M104" s="27"/>
      <c r="N104" s="217"/>
      <c r="O104" s="50"/>
      <c r="P104" s="50"/>
      <c r="Q104" s="50"/>
      <c r="R104" s="50"/>
      <c r="S104" s="50"/>
      <c r="T104" s="50"/>
      <c r="U104" s="50"/>
      <c r="V104" s="217"/>
      <c r="W104" s="50"/>
      <c r="X104" s="217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</row>
    <row r="105">
      <c r="A105" s="52"/>
      <c r="B105" s="50"/>
      <c r="C105" s="50"/>
      <c r="D105" s="50"/>
      <c r="E105" s="43"/>
      <c r="F105" s="50"/>
      <c r="G105" s="52"/>
      <c r="H105" s="52"/>
      <c r="I105" s="52"/>
      <c r="J105" s="52"/>
      <c r="K105" s="50"/>
      <c r="L105" s="50"/>
      <c r="M105" s="27"/>
      <c r="N105" s="217"/>
      <c r="O105" s="50"/>
      <c r="P105" s="50"/>
      <c r="Q105" s="50"/>
      <c r="R105" s="50"/>
      <c r="S105" s="50"/>
      <c r="T105" s="50"/>
      <c r="U105" s="50"/>
      <c r="V105" s="217"/>
      <c r="W105" s="50"/>
      <c r="X105" s="217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</row>
    <row r="106">
      <c r="A106" s="52"/>
      <c r="B106" s="50"/>
      <c r="C106" s="50"/>
      <c r="D106" s="50"/>
      <c r="E106" s="43"/>
      <c r="F106" s="50"/>
      <c r="G106" s="52"/>
      <c r="H106" s="52"/>
      <c r="I106" s="52"/>
      <c r="J106" s="52"/>
      <c r="K106" s="50"/>
      <c r="L106" s="50"/>
      <c r="M106" s="27"/>
      <c r="N106" s="217"/>
      <c r="O106" s="50"/>
      <c r="P106" s="50"/>
      <c r="Q106" s="50"/>
      <c r="R106" s="50"/>
      <c r="S106" s="50"/>
      <c r="T106" s="50"/>
      <c r="U106" s="50"/>
      <c r="V106" s="217"/>
      <c r="W106" s="50"/>
      <c r="X106" s="217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</row>
    <row r="107">
      <c r="A107" s="52"/>
      <c r="B107" s="50"/>
      <c r="C107" s="50"/>
      <c r="D107" s="50"/>
      <c r="E107" s="43"/>
      <c r="F107" s="50"/>
      <c r="G107" s="52"/>
      <c r="H107" s="52"/>
      <c r="I107" s="52"/>
      <c r="J107" s="52"/>
      <c r="K107" s="50"/>
      <c r="L107" s="50"/>
      <c r="M107" s="27"/>
      <c r="N107" s="217"/>
      <c r="O107" s="50"/>
      <c r="P107" s="50"/>
      <c r="Q107" s="50"/>
      <c r="R107" s="50"/>
      <c r="S107" s="50"/>
      <c r="T107" s="50"/>
      <c r="U107" s="50"/>
      <c r="V107" s="217"/>
      <c r="W107" s="50"/>
      <c r="X107" s="217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</row>
    <row r="108">
      <c r="A108" s="52"/>
      <c r="B108" s="50"/>
      <c r="C108" s="50"/>
      <c r="D108" s="50"/>
      <c r="E108" s="43"/>
      <c r="F108" s="50"/>
      <c r="G108" s="52"/>
      <c r="H108" s="52"/>
      <c r="I108" s="52"/>
      <c r="J108" s="52"/>
      <c r="K108" s="50"/>
      <c r="L108" s="50"/>
      <c r="M108" s="27"/>
      <c r="N108" s="217"/>
      <c r="O108" s="50"/>
      <c r="P108" s="50"/>
      <c r="Q108" s="50"/>
      <c r="R108" s="50"/>
      <c r="S108" s="50"/>
      <c r="T108" s="50"/>
      <c r="U108" s="50"/>
      <c r="V108" s="217"/>
      <c r="W108" s="50"/>
      <c r="X108" s="217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</row>
    <row r="109">
      <c r="A109" s="52"/>
      <c r="B109" s="50"/>
      <c r="C109" s="50"/>
      <c r="D109" s="50"/>
      <c r="E109" s="43"/>
      <c r="F109" s="50"/>
      <c r="G109" s="52"/>
      <c r="H109" s="52"/>
      <c r="I109" s="52"/>
      <c r="J109" s="52"/>
      <c r="K109" s="50"/>
      <c r="L109" s="50"/>
      <c r="M109" s="27"/>
      <c r="N109" s="217"/>
      <c r="O109" s="50"/>
      <c r="P109" s="50"/>
      <c r="Q109" s="50"/>
      <c r="R109" s="50"/>
      <c r="S109" s="50"/>
      <c r="T109" s="50"/>
      <c r="U109" s="50"/>
      <c r="V109" s="217"/>
      <c r="W109" s="50"/>
      <c r="X109" s="217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</row>
    <row r="110">
      <c r="A110" s="52"/>
      <c r="B110" s="50"/>
      <c r="C110" s="50"/>
      <c r="D110" s="50"/>
      <c r="E110" s="43"/>
      <c r="F110" s="50"/>
      <c r="G110" s="52"/>
      <c r="H110" s="52"/>
      <c r="I110" s="52"/>
      <c r="J110" s="52"/>
      <c r="K110" s="50"/>
      <c r="L110" s="50"/>
      <c r="M110" s="27"/>
      <c r="N110" s="217"/>
      <c r="O110" s="50"/>
      <c r="P110" s="50"/>
      <c r="Q110" s="50"/>
      <c r="R110" s="50"/>
      <c r="S110" s="50"/>
      <c r="T110" s="50"/>
      <c r="U110" s="50"/>
      <c r="V110" s="217"/>
      <c r="W110" s="50"/>
      <c r="X110" s="217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</row>
    <row r="111">
      <c r="A111" s="52"/>
      <c r="B111" s="50"/>
      <c r="C111" s="50"/>
      <c r="D111" s="50"/>
      <c r="E111" s="43"/>
      <c r="F111" s="50"/>
      <c r="G111" s="52"/>
      <c r="H111" s="52"/>
      <c r="I111" s="52"/>
      <c r="J111" s="52"/>
      <c r="K111" s="50"/>
      <c r="L111" s="50"/>
      <c r="M111" s="27"/>
      <c r="N111" s="217"/>
      <c r="O111" s="50"/>
      <c r="P111" s="50"/>
      <c r="Q111" s="50"/>
      <c r="R111" s="50"/>
      <c r="S111" s="50"/>
      <c r="T111" s="50"/>
      <c r="U111" s="50"/>
      <c r="V111" s="217"/>
      <c r="W111" s="50"/>
      <c r="X111" s="217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</row>
    <row r="112">
      <c r="A112" s="52"/>
      <c r="B112" s="50"/>
      <c r="C112" s="50"/>
      <c r="D112" s="50"/>
      <c r="E112" s="43"/>
      <c r="F112" s="50"/>
      <c r="G112" s="52"/>
      <c r="H112" s="52"/>
      <c r="I112" s="52"/>
      <c r="J112" s="52"/>
      <c r="K112" s="50"/>
      <c r="L112" s="50"/>
      <c r="M112" s="27"/>
      <c r="N112" s="217"/>
      <c r="O112" s="50"/>
      <c r="P112" s="50"/>
      <c r="Q112" s="50"/>
      <c r="R112" s="50"/>
      <c r="S112" s="50"/>
      <c r="T112" s="50"/>
      <c r="U112" s="50"/>
      <c r="V112" s="217"/>
      <c r="W112" s="50"/>
      <c r="X112" s="217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</row>
    <row r="113">
      <c r="A113" s="52"/>
      <c r="B113" s="50"/>
      <c r="C113" s="50"/>
      <c r="D113" s="50"/>
      <c r="E113" s="43"/>
      <c r="F113" s="50"/>
      <c r="G113" s="52"/>
      <c r="H113" s="52"/>
      <c r="I113" s="52"/>
      <c r="J113" s="52"/>
      <c r="K113" s="50"/>
      <c r="L113" s="50"/>
      <c r="M113" s="27"/>
      <c r="N113" s="217"/>
      <c r="O113" s="50"/>
      <c r="P113" s="50"/>
      <c r="Q113" s="50"/>
      <c r="R113" s="50"/>
      <c r="S113" s="50"/>
      <c r="T113" s="50"/>
      <c r="U113" s="50"/>
      <c r="V113" s="217"/>
      <c r="W113" s="50"/>
      <c r="X113" s="217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</row>
    <row r="114">
      <c r="A114" s="52"/>
      <c r="B114" s="50"/>
      <c r="C114" s="50"/>
      <c r="D114" s="50"/>
      <c r="E114" s="43"/>
      <c r="F114" s="50"/>
      <c r="G114" s="52"/>
      <c r="H114" s="52"/>
      <c r="I114" s="52"/>
      <c r="J114" s="52"/>
      <c r="K114" s="50"/>
      <c r="L114" s="50"/>
      <c r="M114" s="27"/>
      <c r="N114" s="217"/>
      <c r="O114" s="50"/>
      <c r="P114" s="50"/>
      <c r="Q114" s="50"/>
      <c r="R114" s="50"/>
      <c r="S114" s="50"/>
      <c r="T114" s="50"/>
      <c r="U114" s="50"/>
      <c r="V114" s="217"/>
      <c r="W114" s="50"/>
      <c r="X114" s="217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</row>
    <row r="115">
      <c r="A115" s="52"/>
      <c r="B115" s="50"/>
      <c r="C115" s="50"/>
      <c r="D115" s="50"/>
      <c r="E115" s="43"/>
      <c r="F115" s="50"/>
      <c r="G115" s="52"/>
      <c r="H115" s="52"/>
      <c r="I115" s="52"/>
      <c r="J115" s="52"/>
      <c r="K115" s="50"/>
      <c r="L115" s="50"/>
      <c r="M115" s="27"/>
      <c r="N115" s="217"/>
      <c r="O115" s="50"/>
      <c r="P115" s="50"/>
      <c r="Q115" s="50"/>
      <c r="R115" s="50"/>
      <c r="S115" s="50"/>
      <c r="T115" s="50"/>
      <c r="U115" s="50"/>
      <c r="V115" s="217"/>
      <c r="W115" s="50"/>
      <c r="X115" s="217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</row>
    <row r="116">
      <c r="A116" s="52"/>
      <c r="B116" s="50"/>
      <c r="C116" s="50"/>
      <c r="D116" s="50"/>
      <c r="E116" s="43"/>
      <c r="F116" s="50"/>
      <c r="G116" s="52"/>
      <c r="H116" s="52"/>
      <c r="I116" s="52"/>
      <c r="J116" s="52"/>
      <c r="K116" s="50"/>
      <c r="L116" s="50"/>
      <c r="M116" s="27"/>
      <c r="N116" s="217"/>
      <c r="O116" s="50"/>
      <c r="P116" s="50"/>
      <c r="Q116" s="50"/>
      <c r="R116" s="50"/>
      <c r="S116" s="50"/>
      <c r="T116" s="50"/>
      <c r="U116" s="50"/>
      <c r="V116" s="217"/>
      <c r="W116" s="50"/>
      <c r="X116" s="217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</row>
    <row r="117">
      <c r="A117" s="52"/>
      <c r="B117" s="50"/>
      <c r="C117" s="50"/>
      <c r="D117" s="50"/>
      <c r="E117" s="43"/>
      <c r="F117" s="50"/>
      <c r="G117" s="52"/>
      <c r="H117" s="52"/>
      <c r="I117" s="52"/>
      <c r="J117" s="52"/>
      <c r="K117" s="50"/>
      <c r="L117" s="50"/>
      <c r="M117" s="27"/>
      <c r="N117" s="217"/>
      <c r="O117" s="50"/>
      <c r="P117" s="50"/>
      <c r="Q117" s="50"/>
      <c r="R117" s="50"/>
      <c r="S117" s="50"/>
      <c r="T117" s="50"/>
      <c r="U117" s="50"/>
      <c r="V117" s="217"/>
      <c r="W117" s="50"/>
      <c r="X117" s="217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</row>
    <row r="118">
      <c r="A118" s="52"/>
      <c r="B118" s="50"/>
      <c r="C118" s="50"/>
      <c r="D118" s="50"/>
      <c r="E118" s="43"/>
      <c r="F118" s="50"/>
      <c r="G118" s="52"/>
      <c r="H118" s="52"/>
      <c r="I118" s="52"/>
      <c r="J118" s="52"/>
      <c r="K118" s="50"/>
      <c r="L118" s="50"/>
      <c r="M118" s="27"/>
      <c r="N118" s="217"/>
      <c r="O118" s="50"/>
      <c r="P118" s="50"/>
      <c r="Q118" s="50"/>
      <c r="R118" s="50"/>
      <c r="S118" s="50"/>
      <c r="T118" s="50"/>
      <c r="U118" s="50"/>
      <c r="V118" s="217"/>
      <c r="W118" s="50"/>
      <c r="X118" s="217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>
      <c r="A119" s="52"/>
      <c r="B119" s="50"/>
      <c r="C119" s="50"/>
      <c r="D119" s="50"/>
      <c r="E119" s="43"/>
      <c r="F119" s="50"/>
      <c r="G119" s="52"/>
      <c r="H119" s="52"/>
      <c r="I119" s="52"/>
      <c r="J119" s="52"/>
      <c r="K119" s="50"/>
      <c r="L119" s="50"/>
      <c r="M119" s="27"/>
      <c r="N119" s="217"/>
      <c r="O119" s="50"/>
      <c r="P119" s="50"/>
      <c r="Q119" s="50"/>
      <c r="R119" s="50"/>
      <c r="S119" s="50"/>
      <c r="T119" s="50"/>
      <c r="U119" s="50"/>
      <c r="V119" s="217"/>
      <c r="W119" s="50"/>
      <c r="X119" s="217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</row>
    <row r="120">
      <c r="A120" s="52"/>
      <c r="B120" s="50"/>
      <c r="C120" s="50"/>
      <c r="D120" s="50"/>
      <c r="E120" s="43"/>
      <c r="F120" s="50"/>
      <c r="G120" s="52"/>
      <c r="H120" s="52"/>
      <c r="I120" s="52"/>
      <c r="J120" s="52"/>
      <c r="K120" s="50"/>
      <c r="L120" s="50"/>
      <c r="M120" s="27"/>
      <c r="N120" s="217"/>
      <c r="O120" s="50"/>
      <c r="P120" s="50"/>
      <c r="Q120" s="50"/>
      <c r="R120" s="50"/>
      <c r="S120" s="50"/>
      <c r="T120" s="50"/>
      <c r="U120" s="50"/>
      <c r="V120" s="217"/>
      <c r="W120" s="50"/>
      <c r="X120" s="217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</row>
    <row r="121">
      <c r="A121" s="52"/>
      <c r="B121" s="50"/>
      <c r="C121" s="50"/>
      <c r="D121" s="50"/>
      <c r="E121" s="43"/>
      <c r="F121" s="50"/>
      <c r="G121" s="52"/>
      <c r="H121" s="52"/>
      <c r="I121" s="52"/>
      <c r="J121" s="52"/>
      <c r="K121" s="50"/>
      <c r="L121" s="50"/>
      <c r="M121" s="27"/>
      <c r="N121" s="217"/>
      <c r="O121" s="50"/>
      <c r="P121" s="50"/>
      <c r="Q121" s="50"/>
      <c r="R121" s="50"/>
      <c r="S121" s="50"/>
      <c r="T121" s="50"/>
      <c r="U121" s="50"/>
      <c r="V121" s="217"/>
      <c r="W121" s="50"/>
      <c r="X121" s="217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</row>
    <row r="122">
      <c r="A122" s="52"/>
      <c r="B122" s="50"/>
      <c r="C122" s="50"/>
      <c r="D122" s="50"/>
      <c r="E122" s="43"/>
      <c r="F122" s="50"/>
      <c r="G122" s="52"/>
      <c r="H122" s="52"/>
      <c r="I122" s="52"/>
      <c r="J122" s="52"/>
      <c r="K122" s="50"/>
      <c r="L122" s="50"/>
      <c r="M122" s="27"/>
      <c r="N122" s="217"/>
      <c r="O122" s="50"/>
      <c r="P122" s="50"/>
      <c r="Q122" s="50"/>
      <c r="R122" s="50"/>
      <c r="S122" s="50"/>
      <c r="T122" s="50"/>
      <c r="U122" s="50"/>
      <c r="V122" s="217"/>
      <c r="W122" s="50"/>
      <c r="X122" s="217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</row>
    <row r="123">
      <c r="A123" s="52"/>
      <c r="B123" s="50"/>
      <c r="C123" s="50"/>
      <c r="D123" s="50"/>
      <c r="E123" s="43"/>
      <c r="F123" s="50"/>
      <c r="G123" s="52"/>
      <c r="H123" s="52"/>
      <c r="I123" s="52"/>
      <c r="J123" s="52"/>
      <c r="K123" s="50"/>
      <c r="L123" s="50"/>
      <c r="M123" s="27"/>
      <c r="N123" s="217"/>
      <c r="O123" s="50"/>
      <c r="P123" s="50"/>
      <c r="Q123" s="50"/>
      <c r="R123" s="50"/>
      <c r="S123" s="50"/>
      <c r="T123" s="50"/>
      <c r="U123" s="50"/>
      <c r="V123" s="217"/>
      <c r="W123" s="50"/>
      <c r="X123" s="217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</row>
    <row r="124">
      <c r="A124" s="52"/>
      <c r="B124" s="50"/>
      <c r="C124" s="50"/>
      <c r="D124" s="50"/>
      <c r="E124" s="43"/>
      <c r="F124" s="50"/>
      <c r="G124" s="52"/>
      <c r="H124" s="52"/>
      <c r="I124" s="52"/>
      <c r="J124" s="52"/>
      <c r="K124" s="50"/>
      <c r="L124" s="50"/>
      <c r="M124" s="27"/>
      <c r="N124" s="217"/>
      <c r="O124" s="50"/>
      <c r="P124" s="50"/>
      <c r="Q124" s="50"/>
      <c r="R124" s="50"/>
      <c r="S124" s="50"/>
      <c r="T124" s="50"/>
      <c r="U124" s="50"/>
      <c r="V124" s="217"/>
      <c r="W124" s="50"/>
      <c r="X124" s="217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</row>
    <row r="125">
      <c r="A125" s="52"/>
      <c r="B125" s="50"/>
      <c r="C125" s="50"/>
      <c r="D125" s="50"/>
      <c r="E125" s="43"/>
      <c r="F125" s="50"/>
      <c r="G125" s="52"/>
      <c r="H125" s="52"/>
      <c r="I125" s="52"/>
      <c r="J125" s="52"/>
      <c r="K125" s="50"/>
      <c r="L125" s="50"/>
      <c r="M125" s="27"/>
      <c r="N125" s="217"/>
      <c r="O125" s="50"/>
      <c r="P125" s="50"/>
      <c r="Q125" s="50"/>
      <c r="R125" s="50"/>
      <c r="S125" s="50"/>
      <c r="T125" s="50"/>
      <c r="U125" s="50"/>
      <c r="V125" s="217"/>
      <c r="W125" s="50"/>
      <c r="X125" s="217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