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onnor Umbright\Downloads\"/>
    </mc:Choice>
  </mc:AlternateContent>
  <xr:revisionPtr revIDLastSave="0" documentId="8_{C94837F0-5156-45AA-9570-62B9AB7655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BO" sheetId="8" r:id="rId1"/>
  </sheets>
  <definedNames>
    <definedName name="circ">LBO!$H$38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</definedName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42" i="8" l="1"/>
  <c r="Q323" i="8"/>
  <c r="P323" i="8"/>
  <c r="O323" i="8"/>
  <c r="N323" i="8"/>
  <c r="M323" i="8"/>
  <c r="L323" i="8"/>
  <c r="K323" i="8"/>
  <c r="J323" i="8"/>
  <c r="Q322" i="8"/>
  <c r="P322" i="8"/>
  <c r="O322" i="8"/>
  <c r="N322" i="8"/>
  <c r="M322" i="8"/>
  <c r="L322" i="8"/>
  <c r="K322" i="8"/>
  <c r="J322" i="8"/>
  <c r="Q321" i="8"/>
  <c r="P321" i="8"/>
  <c r="O321" i="8"/>
  <c r="N321" i="8"/>
  <c r="M321" i="8"/>
  <c r="L321" i="8"/>
  <c r="K321" i="8"/>
  <c r="J321" i="8"/>
  <c r="Q320" i="8"/>
  <c r="P320" i="8"/>
  <c r="O320" i="8"/>
  <c r="N320" i="8"/>
  <c r="M320" i="8"/>
  <c r="L320" i="8"/>
  <c r="K320" i="8"/>
  <c r="J320" i="8"/>
  <c r="Q319" i="8"/>
  <c r="P319" i="8"/>
  <c r="O319" i="8"/>
  <c r="N319" i="8"/>
  <c r="M319" i="8"/>
  <c r="L319" i="8"/>
  <c r="K319" i="8"/>
  <c r="J319" i="8"/>
  <c r="Q318" i="8"/>
  <c r="P318" i="8"/>
  <c r="O318" i="8"/>
  <c r="N318" i="8"/>
  <c r="M318" i="8"/>
  <c r="L318" i="8"/>
  <c r="K318" i="8"/>
  <c r="J318" i="8"/>
  <c r="Q317" i="8"/>
  <c r="P317" i="8"/>
  <c r="O317" i="8"/>
  <c r="N317" i="8"/>
  <c r="M317" i="8"/>
  <c r="L317" i="8"/>
  <c r="K317" i="8"/>
  <c r="J317" i="8"/>
  <c r="Q316" i="8"/>
  <c r="P316" i="8"/>
  <c r="O316" i="8"/>
  <c r="N316" i="8"/>
  <c r="M316" i="8"/>
  <c r="L316" i="8"/>
  <c r="K316" i="8"/>
  <c r="J316" i="8"/>
  <c r="Q309" i="8"/>
  <c r="P309" i="8"/>
  <c r="O309" i="8"/>
  <c r="N309" i="8"/>
  <c r="M309" i="8"/>
  <c r="L309" i="8"/>
  <c r="K309" i="8"/>
  <c r="J309" i="8"/>
  <c r="I310" i="8"/>
  <c r="I309" i="8"/>
  <c r="I308" i="8"/>
  <c r="Q306" i="8"/>
  <c r="P306" i="8"/>
  <c r="O306" i="8"/>
  <c r="N306" i="8"/>
  <c r="M306" i="8"/>
  <c r="L306" i="8"/>
  <c r="K306" i="8"/>
  <c r="J306" i="8"/>
  <c r="I306" i="8"/>
  <c r="I291" i="8"/>
  <c r="I290" i="8"/>
  <c r="I289" i="8"/>
  <c r="Q286" i="8"/>
  <c r="P286" i="8"/>
  <c r="O286" i="8"/>
  <c r="N286" i="8"/>
  <c r="M286" i="8"/>
  <c r="L286" i="8"/>
  <c r="K286" i="8"/>
  <c r="J286" i="8"/>
  <c r="I286" i="8"/>
  <c r="Q284" i="8"/>
  <c r="P284" i="8"/>
  <c r="O284" i="8"/>
  <c r="N284" i="8"/>
  <c r="M284" i="8"/>
  <c r="L284" i="8"/>
  <c r="K284" i="8"/>
  <c r="I284" i="8"/>
  <c r="J284" i="8"/>
  <c r="I281" i="8"/>
  <c r="I280" i="8"/>
  <c r="I279" i="8"/>
  <c r="K136" i="8"/>
  <c r="L136" i="8" s="1"/>
  <c r="M136" i="8" s="1"/>
  <c r="N136" i="8" s="1"/>
  <c r="O136" i="8" s="1"/>
  <c r="P136" i="8" s="1"/>
  <c r="Q136" i="8" s="1"/>
  <c r="Q152" i="8"/>
  <c r="P152" i="8"/>
  <c r="O152" i="8"/>
  <c r="N152" i="8"/>
  <c r="M152" i="8"/>
  <c r="J136" i="8"/>
  <c r="K126" i="8"/>
  <c r="L126" i="8" s="1"/>
  <c r="M126" i="8" s="1"/>
  <c r="J126" i="8"/>
  <c r="Q119" i="8"/>
  <c r="P119" i="8"/>
  <c r="O119" i="8"/>
  <c r="O123" i="8" s="1"/>
  <c r="N119" i="8"/>
  <c r="N123" i="8" s="1"/>
  <c r="M119" i="8"/>
  <c r="L119" i="8"/>
  <c r="K119" i="8"/>
  <c r="K123" i="8" s="1"/>
  <c r="K127" i="8" s="1"/>
  <c r="J119" i="8"/>
  <c r="Q133" i="8"/>
  <c r="P133" i="8"/>
  <c r="O133" i="8"/>
  <c r="N133" i="8"/>
  <c r="M133" i="8"/>
  <c r="L133" i="8"/>
  <c r="K133" i="8"/>
  <c r="J133" i="8"/>
  <c r="Q123" i="8"/>
  <c r="P123" i="8"/>
  <c r="M123" i="8"/>
  <c r="L123" i="8"/>
  <c r="J123" i="8"/>
  <c r="Q132" i="8"/>
  <c r="P132" i="8"/>
  <c r="O132" i="8"/>
  <c r="N132" i="8"/>
  <c r="M132" i="8"/>
  <c r="L132" i="8"/>
  <c r="K132" i="8"/>
  <c r="Q131" i="8"/>
  <c r="P131" i="8"/>
  <c r="O131" i="8"/>
  <c r="N131" i="8"/>
  <c r="M131" i="8"/>
  <c r="L131" i="8"/>
  <c r="K131" i="8"/>
  <c r="Q130" i="8"/>
  <c r="P130" i="8"/>
  <c r="O130" i="8"/>
  <c r="N130" i="8"/>
  <c r="M130" i="8"/>
  <c r="L130" i="8"/>
  <c r="K130" i="8"/>
  <c r="J132" i="8"/>
  <c r="J131" i="8"/>
  <c r="J130" i="8"/>
  <c r="Q125" i="8"/>
  <c r="P125" i="8"/>
  <c r="O125" i="8"/>
  <c r="N125" i="8"/>
  <c r="M125" i="8"/>
  <c r="L125" i="8"/>
  <c r="K125" i="8"/>
  <c r="J125" i="8"/>
  <c r="I125" i="8"/>
  <c r="Q122" i="8"/>
  <c r="P122" i="8"/>
  <c r="O122" i="8"/>
  <c r="N122" i="8"/>
  <c r="M122" i="8"/>
  <c r="L122" i="8"/>
  <c r="K122" i="8"/>
  <c r="Q121" i="8"/>
  <c r="P121" i="8"/>
  <c r="O121" i="8"/>
  <c r="N121" i="8"/>
  <c r="M121" i="8"/>
  <c r="L121" i="8"/>
  <c r="K121" i="8"/>
  <c r="J122" i="8"/>
  <c r="J121" i="8"/>
  <c r="Q120" i="8"/>
  <c r="P120" i="8"/>
  <c r="O120" i="8"/>
  <c r="N120" i="8"/>
  <c r="M120" i="8"/>
  <c r="L120" i="8"/>
  <c r="K120" i="8"/>
  <c r="J120" i="8"/>
  <c r="K124" i="8"/>
  <c r="L124" i="8" s="1"/>
  <c r="M124" i="8" s="1"/>
  <c r="N124" i="8" s="1"/>
  <c r="O124" i="8" s="1"/>
  <c r="P124" i="8" s="1"/>
  <c r="Q124" i="8" s="1"/>
  <c r="J124" i="8"/>
  <c r="O268" i="8"/>
  <c r="N268" i="8"/>
  <c r="Q267" i="8"/>
  <c r="P267" i="8"/>
  <c r="O267" i="8"/>
  <c r="N267" i="8"/>
  <c r="M267" i="8"/>
  <c r="L267" i="8"/>
  <c r="K267" i="8"/>
  <c r="Q266" i="8"/>
  <c r="Q268" i="8" s="1"/>
  <c r="P266" i="8"/>
  <c r="P268" i="8" s="1"/>
  <c r="O266" i="8"/>
  <c r="N266" i="8"/>
  <c r="M266" i="8"/>
  <c r="M268" i="8" s="1"/>
  <c r="J267" i="8"/>
  <c r="Q260" i="8"/>
  <c r="P260" i="8"/>
  <c r="O260" i="8"/>
  <c r="N260" i="8"/>
  <c r="M260" i="8"/>
  <c r="L260" i="8"/>
  <c r="K260" i="8"/>
  <c r="J260" i="8"/>
  <c r="Q256" i="8"/>
  <c r="P256" i="8"/>
  <c r="O256" i="8"/>
  <c r="N256" i="8"/>
  <c r="M256" i="8"/>
  <c r="L256" i="8"/>
  <c r="K256" i="8"/>
  <c r="J256" i="8"/>
  <c r="K255" i="8"/>
  <c r="K254" i="8"/>
  <c r="L253" i="8"/>
  <c r="K253" i="8"/>
  <c r="J255" i="8"/>
  <c r="J254" i="8"/>
  <c r="J253" i="8"/>
  <c r="K252" i="8"/>
  <c r="J252" i="8"/>
  <c r="M127" i="8" l="1"/>
  <c r="N126" i="8"/>
  <c r="O126" i="8" s="1"/>
  <c r="P126" i="8" s="1"/>
  <c r="Q126" i="8" s="1"/>
  <c r="Q127" i="8" s="1"/>
  <c r="N127" i="8"/>
  <c r="P127" i="8"/>
  <c r="L127" i="8"/>
  <c r="J127" i="8"/>
  <c r="N253" i="8"/>
  <c r="M253" i="8"/>
  <c r="L255" i="8"/>
  <c r="L254" i="8"/>
  <c r="M255" i="8"/>
  <c r="L252" i="8"/>
  <c r="O127" i="8" l="1"/>
  <c r="P253" i="8"/>
  <c r="Q253" i="8"/>
  <c r="O253" i="8"/>
  <c r="M254" i="8"/>
  <c r="N255" i="8"/>
  <c r="M252" i="8"/>
  <c r="N254" i="8" l="1"/>
  <c r="Q255" i="8"/>
  <c r="O255" i="8"/>
  <c r="P255" i="8" s="1"/>
  <c r="N252" i="8"/>
  <c r="O252" i="8" s="1"/>
  <c r="O254" i="8" l="1"/>
  <c r="P252" i="8"/>
  <c r="Q252" i="8" s="1"/>
  <c r="P254" i="8" l="1"/>
  <c r="Q254" i="8" s="1"/>
  <c r="Q249" i="8" l="1"/>
  <c r="P249" i="8"/>
  <c r="O249" i="8"/>
  <c r="N249" i="8"/>
  <c r="M249" i="8"/>
  <c r="Q239" i="8"/>
  <c r="P239" i="8"/>
  <c r="O239" i="8"/>
  <c r="N239" i="8"/>
  <c r="M239" i="8"/>
  <c r="L239" i="8"/>
  <c r="K239" i="8"/>
  <c r="J239" i="8"/>
  <c r="Q236" i="8"/>
  <c r="P236" i="8"/>
  <c r="O236" i="8"/>
  <c r="N236" i="8"/>
  <c r="M236" i="8"/>
  <c r="L236" i="8"/>
  <c r="K236" i="8"/>
  <c r="Q235" i="8"/>
  <c r="P235" i="8"/>
  <c r="O235" i="8"/>
  <c r="N235" i="8"/>
  <c r="M235" i="8"/>
  <c r="L235" i="8"/>
  <c r="K235" i="8"/>
  <c r="J236" i="8"/>
  <c r="J235" i="8"/>
  <c r="Q234" i="8"/>
  <c r="P234" i="8"/>
  <c r="O234" i="8"/>
  <c r="N234" i="8"/>
  <c r="M234" i="8"/>
  <c r="L234" i="8"/>
  <c r="K234" i="8"/>
  <c r="J234" i="8"/>
  <c r="Q233" i="8"/>
  <c r="P233" i="8"/>
  <c r="O233" i="8"/>
  <c r="N233" i="8"/>
  <c r="M233" i="8"/>
  <c r="L233" i="8"/>
  <c r="K233" i="8"/>
  <c r="J233" i="8"/>
  <c r="Q232" i="8"/>
  <c r="P232" i="8"/>
  <c r="O232" i="8"/>
  <c r="N232" i="8"/>
  <c r="M232" i="8"/>
  <c r="L232" i="8"/>
  <c r="K232" i="8"/>
  <c r="J232" i="8"/>
  <c r="Q225" i="8"/>
  <c r="P225" i="8"/>
  <c r="O225" i="8"/>
  <c r="N225" i="8"/>
  <c r="M225" i="8"/>
  <c r="L225" i="8"/>
  <c r="K225" i="8"/>
  <c r="J225" i="8"/>
  <c r="J201" i="8"/>
  <c r="J204" i="8" s="1"/>
  <c r="Q189" i="8"/>
  <c r="P189" i="8"/>
  <c r="O189" i="8"/>
  <c r="N189" i="8"/>
  <c r="M189" i="8"/>
  <c r="L189" i="8"/>
  <c r="K189" i="8"/>
  <c r="J189" i="8"/>
  <c r="I189" i="8"/>
  <c r="I185" i="8"/>
  <c r="I184" i="8"/>
  <c r="I183" i="8"/>
  <c r="I182" i="8"/>
  <c r="I181" i="8"/>
  <c r="Q166" i="8"/>
  <c r="P166" i="8"/>
  <c r="O166" i="8"/>
  <c r="N166" i="8"/>
  <c r="M166" i="8"/>
  <c r="L166" i="8"/>
  <c r="K166" i="8"/>
  <c r="J166" i="8"/>
  <c r="Q160" i="8"/>
  <c r="P160" i="8"/>
  <c r="O160" i="8"/>
  <c r="N160" i="8"/>
  <c r="M160" i="8"/>
  <c r="L160" i="8"/>
  <c r="K160" i="8"/>
  <c r="J160" i="8"/>
  <c r="I167" i="8"/>
  <c r="J158" i="8"/>
  <c r="Q155" i="8"/>
  <c r="P155" i="8"/>
  <c r="O155" i="8"/>
  <c r="N155" i="8"/>
  <c r="M155" i="8"/>
  <c r="L155" i="8"/>
  <c r="K155" i="8"/>
  <c r="Q153" i="8"/>
  <c r="P153" i="8"/>
  <c r="O153" i="8"/>
  <c r="N153" i="8"/>
  <c r="M153" i="8"/>
  <c r="L153" i="8"/>
  <c r="K153" i="8"/>
  <c r="Q151" i="8"/>
  <c r="P151" i="8"/>
  <c r="O151" i="8"/>
  <c r="N151" i="8"/>
  <c r="M151" i="8"/>
  <c r="L151" i="8"/>
  <c r="K151" i="8"/>
  <c r="J155" i="8"/>
  <c r="J153" i="8"/>
  <c r="J151" i="8"/>
  <c r="I137" i="8"/>
  <c r="I123" i="8"/>
  <c r="I126" i="8"/>
  <c r="I124" i="8"/>
  <c r="I119" i="8"/>
  <c r="I136" i="8"/>
  <c r="I135" i="8"/>
  <c r="I133" i="8"/>
  <c r="I132" i="8"/>
  <c r="I131" i="8"/>
  <c r="I130" i="8"/>
  <c r="I122" i="8"/>
  <c r="I121" i="8"/>
  <c r="I120" i="8"/>
  <c r="Q109" i="8"/>
  <c r="P109" i="8"/>
  <c r="O109" i="8"/>
  <c r="N109" i="8"/>
  <c r="M109" i="8"/>
  <c r="L109" i="8"/>
  <c r="K109" i="8"/>
  <c r="J109" i="8"/>
  <c r="Q103" i="8"/>
  <c r="P103" i="8"/>
  <c r="O103" i="8"/>
  <c r="N103" i="8"/>
  <c r="M103" i="8"/>
  <c r="M106" i="8" s="1"/>
  <c r="L103" i="8"/>
  <c r="K103" i="8"/>
  <c r="J103" i="8"/>
  <c r="Q99" i="8"/>
  <c r="P99" i="8"/>
  <c r="P101" i="8" s="1"/>
  <c r="O99" i="8"/>
  <c r="N99" i="8"/>
  <c r="M99" i="8"/>
  <c r="L99" i="8"/>
  <c r="K99" i="8"/>
  <c r="Q98" i="8"/>
  <c r="P98" i="8"/>
  <c r="O98" i="8"/>
  <c r="N98" i="8"/>
  <c r="M98" i="8"/>
  <c r="L98" i="8"/>
  <c r="K98" i="8"/>
  <c r="J98" i="8"/>
  <c r="J99" i="8"/>
  <c r="I88" i="8"/>
  <c r="I90" i="8"/>
  <c r="I89" i="8"/>
  <c r="Q105" i="8"/>
  <c r="P105" i="8"/>
  <c r="O105" i="8"/>
  <c r="N105" i="8"/>
  <c r="M105" i="8"/>
  <c r="L105" i="8"/>
  <c r="K105" i="8"/>
  <c r="Q104" i="8"/>
  <c r="P104" i="8"/>
  <c r="O104" i="8"/>
  <c r="N104" i="8"/>
  <c r="M104" i="8"/>
  <c r="L104" i="8"/>
  <c r="K104" i="8"/>
  <c r="Q100" i="8"/>
  <c r="P100" i="8"/>
  <c r="O100" i="8"/>
  <c r="N100" i="8"/>
  <c r="M100" i="8"/>
  <c r="L100" i="8"/>
  <c r="K100" i="8"/>
  <c r="J105" i="8"/>
  <c r="J104" i="8"/>
  <c r="J100" i="8"/>
  <c r="Q95" i="8"/>
  <c r="P95" i="8"/>
  <c r="O95" i="8"/>
  <c r="N95" i="8"/>
  <c r="M95" i="8"/>
  <c r="L95" i="8"/>
  <c r="K95" i="8"/>
  <c r="J95" i="8"/>
  <c r="I95" i="8"/>
  <c r="Q94" i="8"/>
  <c r="P94" i="8"/>
  <c r="O94" i="8"/>
  <c r="N94" i="8"/>
  <c r="M94" i="8"/>
  <c r="L94" i="8"/>
  <c r="K94" i="8"/>
  <c r="J94" i="8"/>
  <c r="I94" i="8"/>
  <c r="Q93" i="8"/>
  <c r="P93" i="8"/>
  <c r="O93" i="8"/>
  <c r="N93" i="8"/>
  <c r="M93" i="8"/>
  <c r="L93" i="8"/>
  <c r="K93" i="8"/>
  <c r="J93" i="8"/>
  <c r="I93" i="8"/>
  <c r="L106" i="8"/>
  <c r="Q101" i="8"/>
  <c r="K101" i="8"/>
  <c r="I108" i="8"/>
  <c r="I106" i="8"/>
  <c r="I105" i="8"/>
  <c r="I104" i="8"/>
  <c r="I103" i="8"/>
  <c r="I101" i="8"/>
  <c r="I100" i="8"/>
  <c r="I99" i="8"/>
  <c r="I98" i="8"/>
  <c r="Q85" i="8"/>
  <c r="P85" i="8"/>
  <c r="O85" i="8"/>
  <c r="N85" i="8"/>
  <c r="M85" i="8"/>
  <c r="L85" i="8"/>
  <c r="K85" i="8"/>
  <c r="J85" i="8"/>
  <c r="Q84" i="8"/>
  <c r="P84" i="8"/>
  <c r="O84" i="8"/>
  <c r="N84" i="8"/>
  <c r="M84" i="8"/>
  <c r="L84" i="8"/>
  <c r="K84" i="8"/>
  <c r="J84" i="8"/>
  <c r="I85" i="8"/>
  <c r="I84" i="8"/>
  <c r="Q55" i="8"/>
  <c r="P55" i="8"/>
  <c r="O55" i="8"/>
  <c r="N55" i="8"/>
  <c r="M55" i="8"/>
  <c r="L55" i="8"/>
  <c r="K55" i="8"/>
  <c r="J55" i="8"/>
  <c r="Q56" i="8"/>
  <c r="P56" i="8"/>
  <c r="O56" i="8"/>
  <c r="N56" i="8"/>
  <c r="N54" i="8" s="1"/>
  <c r="M56" i="8"/>
  <c r="L56" i="8"/>
  <c r="L54" i="8" s="1"/>
  <c r="K56" i="8"/>
  <c r="Q54" i="8"/>
  <c r="P54" i="8"/>
  <c r="O54" i="8"/>
  <c r="M54" i="8"/>
  <c r="K54" i="8"/>
  <c r="J54" i="8"/>
  <c r="J56" i="8"/>
  <c r="Q51" i="8"/>
  <c r="P51" i="8"/>
  <c r="O51" i="8"/>
  <c r="N51" i="8"/>
  <c r="M51" i="8"/>
  <c r="L51" i="8"/>
  <c r="K51" i="8"/>
  <c r="J50" i="8"/>
  <c r="J51" i="8"/>
  <c r="K47" i="8"/>
  <c r="L47" i="8" s="1"/>
  <c r="M47" i="8" s="1"/>
  <c r="N47" i="8" s="1"/>
  <c r="O47" i="8" s="1"/>
  <c r="P47" i="8" s="1"/>
  <c r="Q47" i="8" s="1"/>
  <c r="J47" i="8"/>
  <c r="G16" i="8"/>
  <c r="G25" i="8"/>
  <c r="G24" i="8"/>
  <c r="G20" i="8"/>
  <c r="G15" i="8"/>
  <c r="G14" i="8"/>
  <c r="G13" i="8"/>
  <c r="G12" i="8"/>
  <c r="T28" i="8"/>
  <c r="T27" i="8"/>
  <c r="T25" i="8"/>
  <c r="T23" i="8"/>
  <c r="T22" i="8"/>
  <c r="Q28" i="8"/>
  <c r="Q26" i="8"/>
  <c r="Q24" i="8"/>
  <c r="R24" i="8" s="1"/>
  <c r="Q27" i="8"/>
  <c r="R27" i="8" s="1"/>
  <c r="Q25" i="8"/>
  <c r="Q23" i="8"/>
  <c r="Q22" i="8"/>
  <c r="M23" i="8"/>
  <c r="M18" i="8"/>
  <c r="M14" i="8"/>
  <c r="M12" i="8"/>
  <c r="M13" i="8"/>
  <c r="M11" i="8"/>
  <c r="M9" i="8"/>
  <c r="R23" i="8" s="1"/>
  <c r="I303" i="8"/>
  <c r="R25" i="8"/>
  <c r="E320" i="8"/>
  <c r="Q303" i="8"/>
  <c r="P303" i="8"/>
  <c r="O303" i="8"/>
  <c r="N303" i="8"/>
  <c r="M303" i="8"/>
  <c r="L303" i="8"/>
  <c r="K303" i="8"/>
  <c r="J303" i="8"/>
  <c r="Q275" i="8"/>
  <c r="P275" i="8"/>
  <c r="O275" i="8"/>
  <c r="N275" i="8"/>
  <c r="M275" i="8"/>
  <c r="L275" i="8"/>
  <c r="K275" i="8"/>
  <c r="J275" i="8"/>
  <c r="I275" i="8"/>
  <c r="H255" i="8"/>
  <c r="H254" i="8"/>
  <c r="H253" i="8"/>
  <c r="H252" i="8"/>
  <c r="G248" i="8"/>
  <c r="G247" i="8"/>
  <c r="H236" i="8"/>
  <c r="G236" i="8"/>
  <c r="H235" i="8"/>
  <c r="G235" i="8"/>
  <c r="H234" i="8"/>
  <c r="G234" i="8"/>
  <c r="H233" i="8"/>
  <c r="G233" i="8"/>
  <c r="H232" i="8"/>
  <c r="Q219" i="8"/>
  <c r="P219" i="8"/>
  <c r="O219" i="8"/>
  <c r="N219" i="8"/>
  <c r="M219" i="8"/>
  <c r="L219" i="8"/>
  <c r="K219" i="8"/>
  <c r="J219" i="8"/>
  <c r="J197" i="8"/>
  <c r="K197" i="8" s="1"/>
  <c r="L197" i="8" s="1"/>
  <c r="M197" i="8" s="1"/>
  <c r="N197" i="8" s="1"/>
  <c r="O197" i="8" s="1"/>
  <c r="J196" i="8"/>
  <c r="J195" i="8"/>
  <c r="K195" i="8" s="1"/>
  <c r="L195" i="8" s="1"/>
  <c r="M195" i="8" s="1"/>
  <c r="N195" i="8" s="1"/>
  <c r="K194" i="8"/>
  <c r="L194" i="8" s="1"/>
  <c r="G189" i="8"/>
  <c r="Q177" i="8"/>
  <c r="P177" i="8"/>
  <c r="O177" i="8"/>
  <c r="N177" i="8"/>
  <c r="M177" i="8"/>
  <c r="L177" i="8"/>
  <c r="K177" i="8"/>
  <c r="J177" i="8"/>
  <c r="I177" i="8"/>
  <c r="G171" i="8"/>
  <c r="H133" i="8"/>
  <c r="H137" i="8" s="1"/>
  <c r="H140" i="8" s="1"/>
  <c r="H123" i="8"/>
  <c r="H127" i="8" s="1"/>
  <c r="M24" i="8" s="1"/>
  <c r="H120" i="8"/>
  <c r="J73" i="8"/>
  <c r="K73" i="8" s="1"/>
  <c r="I73" i="8"/>
  <c r="H73" i="8"/>
  <c r="I72" i="8"/>
  <c r="J72" i="8" s="1"/>
  <c r="K72" i="8" s="1"/>
  <c r="L72" i="8" s="1"/>
  <c r="M72" i="8" s="1"/>
  <c r="N72" i="8" s="1"/>
  <c r="O72" i="8" s="1"/>
  <c r="P72" i="8" s="1"/>
  <c r="Q72" i="8" s="1"/>
  <c r="H72" i="8"/>
  <c r="J70" i="8"/>
  <c r="K70" i="8" s="1"/>
  <c r="L70" i="8" s="1"/>
  <c r="P69" i="8"/>
  <c r="Q69" i="8" s="1"/>
  <c r="I65" i="8"/>
  <c r="I64" i="8"/>
  <c r="H64" i="8"/>
  <c r="G59" i="8"/>
  <c r="I55" i="8"/>
  <c r="I56" i="8" s="1"/>
  <c r="H55" i="8"/>
  <c r="H56" i="8" s="1"/>
  <c r="I52" i="8"/>
  <c r="I51" i="8"/>
  <c r="I71" i="8" s="1"/>
  <c r="J71" i="8" s="1"/>
  <c r="K71" i="8" s="1"/>
  <c r="L71" i="8" s="1"/>
  <c r="M71" i="8" s="1"/>
  <c r="N71" i="8" s="1"/>
  <c r="O71" i="8" s="1"/>
  <c r="P71" i="8" s="1"/>
  <c r="Q71" i="8" s="1"/>
  <c r="H51" i="8"/>
  <c r="H71" i="8" s="1"/>
  <c r="I48" i="8"/>
  <c r="I69" i="8" s="1"/>
  <c r="G252" i="8"/>
  <c r="H141" i="8" l="1"/>
  <c r="M25" i="8"/>
  <c r="M26" i="8" s="1"/>
  <c r="I127" i="8" s="1"/>
  <c r="I139" i="8" s="1"/>
  <c r="I140" i="8" s="1"/>
  <c r="I91" i="8"/>
  <c r="P106" i="8"/>
  <c r="P108" i="8" s="1"/>
  <c r="K106" i="8"/>
  <c r="K108" i="8" s="1"/>
  <c r="Q106" i="8"/>
  <c r="Q108" i="8" s="1"/>
  <c r="N106" i="8"/>
  <c r="O106" i="8"/>
  <c r="N101" i="8"/>
  <c r="N108" i="8" s="1"/>
  <c r="O101" i="8"/>
  <c r="O108" i="8" s="1"/>
  <c r="L101" i="8"/>
  <c r="L108" i="8" s="1"/>
  <c r="M101" i="8"/>
  <c r="M108" i="8" s="1"/>
  <c r="J106" i="8"/>
  <c r="I57" i="8"/>
  <c r="R26" i="8"/>
  <c r="R28" i="8"/>
  <c r="O195" i="8"/>
  <c r="M70" i="8"/>
  <c r="P197" i="8"/>
  <c r="G254" i="8"/>
  <c r="G255" i="8"/>
  <c r="M194" i="8"/>
  <c r="K196" i="8"/>
  <c r="J48" i="8"/>
  <c r="L73" i="8"/>
  <c r="E319" i="8"/>
  <c r="E321" i="8"/>
  <c r="E318" i="8" l="1"/>
  <c r="J52" i="8"/>
  <c r="N70" i="8"/>
  <c r="N194" i="8"/>
  <c r="M73" i="8"/>
  <c r="Q197" i="8"/>
  <c r="P195" i="8"/>
  <c r="E322" i="8"/>
  <c r="K48" i="8"/>
  <c r="L196" i="8"/>
  <c r="M196" i="8" l="1"/>
  <c r="G253" i="8"/>
  <c r="J57" i="8"/>
  <c r="L48" i="8"/>
  <c r="E323" i="8"/>
  <c r="Q195" i="8"/>
  <c r="N73" i="8"/>
  <c r="O194" i="8"/>
  <c r="E317" i="8"/>
  <c r="G26" i="8"/>
  <c r="H20" i="8" s="1"/>
  <c r="O70" i="8"/>
  <c r="O73" i="8" l="1"/>
  <c r="N196" i="8"/>
  <c r="H25" i="8"/>
  <c r="H23" i="8"/>
  <c r="H21" i="8"/>
  <c r="H26" i="8"/>
  <c r="H22" i="8"/>
  <c r="H24" i="8"/>
  <c r="P70" i="8"/>
  <c r="E316" i="8"/>
  <c r="P194" i="8"/>
  <c r="E324" i="8"/>
  <c r="K57" i="8"/>
  <c r="M48" i="8"/>
  <c r="P73" i="8" l="1"/>
  <c r="Q70" i="8"/>
  <c r="G17" i="8"/>
  <c r="H16" i="8" s="1"/>
  <c r="Q194" i="8"/>
  <c r="N48" i="8"/>
  <c r="L57" i="8"/>
  <c r="E358" i="8" a="1"/>
  <c r="E330" i="8" a="1"/>
  <c r="E344" i="8" a="1"/>
  <c r="O196" i="8"/>
  <c r="E366" i="8" l="1"/>
  <c r="E362" i="8"/>
  <c r="E358" i="8"/>
  <c r="E365" i="8"/>
  <c r="E361" i="8"/>
  <c r="E364" i="8"/>
  <c r="E360" i="8"/>
  <c r="E363" i="8"/>
  <c r="E359" i="8"/>
  <c r="H10" i="8"/>
  <c r="H14" i="8"/>
  <c r="H11" i="8"/>
  <c r="H17" i="8"/>
  <c r="H13" i="8"/>
  <c r="H12" i="8"/>
  <c r="H15" i="8"/>
  <c r="G27" i="8"/>
  <c r="M33" i="8" s="1"/>
  <c r="M57" i="8"/>
  <c r="E350" i="8"/>
  <c r="E346" i="8"/>
  <c r="E349" i="8"/>
  <c r="E345" i="8"/>
  <c r="E352" i="8"/>
  <c r="E348" i="8"/>
  <c r="E344" i="8"/>
  <c r="E351" i="8"/>
  <c r="E347" i="8"/>
  <c r="Q73" i="8"/>
  <c r="O48" i="8"/>
  <c r="I141" i="8"/>
  <c r="P196" i="8"/>
  <c r="E335" i="8"/>
  <c r="E331" i="8"/>
  <c r="E338" i="8"/>
  <c r="E334" i="8"/>
  <c r="E330" i="8"/>
  <c r="E337" i="8"/>
  <c r="E333" i="8"/>
  <c r="E332" i="8"/>
  <c r="E336" i="8"/>
  <c r="Q196" i="8" l="1"/>
  <c r="P48" i="8"/>
  <c r="N57" i="8"/>
  <c r="Q48" i="8" l="1"/>
  <c r="O57" i="8"/>
  <c r="P57" i="8" l="1"/>
  <c r="Q57" i="8" l="1"/>
  <c r="K50" i="8" l="1"/>
  <c r="L50" i="8"/>
  <c r="M50" i="8"/>
  <c r="M52" i="8" s="1"/>
  <c r="N50" i="8"/>
  <c r="O50" i="8"/>
  <c r="P50" i="8"/>
  <c r="Q50" i="8"/>
  <c r="K52" i="8"/>
  <c r="L52" i="8"/>
  <c r="O52" i="8"/>
  <c r="P52" i="8"/>
  <c r="Q52" i="8"/>
  <c r="N52" i="8" l="1"/>
  <c r="J101" i="8"/>
  <c r="J108" i="8" s="1"/>
  <c r="M32" i="8" l="1"/>
  <c r="J59" i="8"/>
  <c r="K59" i="8"/>
  <c r="L59" i="8"/>
  <c r="M59" i="8"/>
  <c r="N59" i="8"/>
  <c r="O59" i="8"/>
  <c r="P59" i="8"/>
  <c r="Q59" i="8"/>
  <c r="J60" i="8"/>
  <c r="K60" i="8"/>
  <c r="L60" i="8"/>
  <c r="M60" i="8"/>
  <c r="N60" i="8"/>
  <c r="O60" i="8"/>
  <c r="P60" i="8"/>
  <c r="Q60" i="8"/>
  <c r="J62" i="8"/>
  <c r="K62" i="8"/>
  <c r="L62" i="8"/>
  <c r="M62" i="8"/>
  <c r="N62" i="8"/>
  <c r="O62" i="8"/>
  <c r="P62" i="8"/>
  <c r="Q62" i="8"/>
  <c r="J63" i="8"/>
  <c r="K63" i="8"/>
  <c r="L63" i="8"/>
  <c r="M63" i="8"/>
  <c r="N63" i="8"/>
  <c r="O63" i="8"/>
  <c r="P63" i="8"/>
  <c r="Q63" i="8"/>
  <c r="J64" i="8"/>
  <c r="K64" i="8"/>
  <c r="L64" i="8"/>
  <c r="M64" i="8"/>
  <c r="N64" i="8"/>
  <c r="O64" i="8"/>
  <c r="P64" i="8"/>
  <c r="Q64" i="8"/>
  <c r="J65" i="8"/>
  <c r="K65" i="8"/>
  <c r="L65" i="8"/>
  <c r="M65" i="8"/>
  <c r="N65" i="8"/>
  <c r="O65" i="8"/>
  <c r="P65" i="8"/>
  <c r="Q65" i="8"/>
  <c r="J135" i="8"/>
  <c r="K135" i="8"/>
  <c r="L135" i="8"/>
  <c r="M135" i="8"/>
  <c r="N135" i="8"/>
  <c r="O135" i="8"/>
  <c r="P135" i="8"/>
  <c r="Q135" i="8"/>
  <c r="J137" i="8"/>
  <c r="K137" i="8"/>
  <c r="L137" i="8"/>
  <c r="M137" i="8"/>
  <c r="N137" i="8"/>
  <c r="O137" i="8"/>
  <c r="P137" i="8"/>
  <c r="Q137" i="8"/>
  <c r="J139" i="8"/>
  <c r="K139" i="8"/>
  <c r="L139" i="8"/>
  <c r="M139" i="8"/>
  <c r="N139" i="8"/>
  <c r="O139" i="8"/>
  <c r="P139" i="8"/>
  <c r="Q139" i="8"/>
  <c r="J140" i="8"/>
  <c r="K140" i="8"/>
  <c r="L140" i="8"/>
  <c r="M140" i="8"/>
  <c r="N140" i="8"/>
  <c r="O140" i="8"/>
  <c r="P140" i="8"/>
  <c r="Q140" i="8"/>
  <c r="J141" i="8"/>
  <c r="K141" i="8"/>
  <c r="L141" i="8"/>
  <c r="M141" i="8"/>
  <c r="N141" i="8"/>
  <c r="O141" i="8"/>
  <c r="P141" i="8"/>
  <c r="Q141" i="8"/>
  <c r="J150" i="8"/>
  <c r="K150" i="8"/>
  <c r="L150" i="8"/>
  <c r="M150" i="8"/>
  <c r="N150" i="8"/>
  <c r="O150" i="8"/>
  <c r="P150" i="8"/>
  <c r="Q150" i="8"/>
  <c r="J152" i="8"/>
  <c r="K152" i="8"/>
  <c r="L152" i="8"/>
  <c r="J154" i="8"/>
  <c r="K154" i="8"/>
  <c r="L154" i="8"/>
  <c r="M154" i="8"/>
  <c r="N154" i="8"/>
  <c r="O154" i="8"/>
  <c r="P154" i="8"/>
  <c r="Q154" i="8"/>
  <c r="J156" i="8"/>
  <c r="K156" i="8"/>
  <c r="L156" i="8"/>
  <c r="M156" i="8"/>
  <c r="N156" i="8"/>
  <c r="O156" i="8"/>
  <c r="P156" i="8"/>
  <c r="Q156" i="8"/>
  <c r="K158" i="8"/>
  <c r="L158" i="8"/>
  <c r="M158" i="8"/>
  <c r="N158" i="8"/>
  <c r="O158" i="8"/>
  <c r="P158" i="8"/>
  <c r="Q158" i="8"/>
  <c r="J159" i="8"/>
  <c r="K159" i="8"/>
  <c r="L159" i="8"/>
  <c r="M159" i="8"/>
  <c r="N159" i="8"/>
  <c r="O159" i="8"/>
  <c r="P159" i="8"/>
  <c r="Q159" i="8"/>
  <c r="J161" i="8"/>
  <c r="K161" i="8"/>
  <c r="L161" i="8"/>
  <c r="M161" i="8"/>
  <c r="N161" i="8"/>
  <c r="O161" i="8"/>
  <c r="P161" i="8"/>
  <c r="Q161" i="8"/>
  <c r="J167" i="8"/>
  <c r="K167" i="8"/>
  <c r="L167" i="8"/>
  <c r="M167" i="8"/>
  <c r="N167" i="8"/>
  <c r="O167" i="8"/>
  <c r="P167" i="8"/>
  <c r="Q167" i="8"/>
  <c r="J170" i="8"/>
  <c r="K170" i="8"/>
  <c r="L170" i="8"/>
  <c r="M170" i="8"/>
  <c r="N170" i="8"/>
  <c r="O170" i="8"/>
  <c r="P170" i="8"/>
  <c r="Q170" i="8"/>
  <c r="J171" i="8"/>
  <c r="K171" i="8"/>
  <c r="L171" i="8"/>
  <c r="M171" i="8"/>
  <c r="N171" i="8"/>
  <c r="O171" i="8"/>
  <c r="P171" i="8"/>
  <c r="Q171" i="8"/>
  <c r="J181" i="8"/>
  <c r="K181" i="8"/>
  <c r="L181" i="8"/>
  <c r="M181" i="8"/>
  <c r="N181" i="8"/>
  <c r="O181" i="8"/>
  <c r="P181" i="8"/>
  <c r="Q181" i="8"/>
  <c r="J182" i="8"/>
  <c r="K182" i="8"/>
  <c r="L182" i="8"/>
  <c r="M182" i="8"/>
  <c r="N182" i="8"/>
  <c r="O182" i="8"/>
  <c r="P182" i="8"/>
  <c r="Q182" i="8"/>
  <c r="J183" i="8"/>
  <c r="K183" i="8"/>
  <c r="L183" i="8"/>
  <c r="M183" i="8"/>
  <c r="N183" i="8"/>
  <c r="O183" i="8"/>
  <c r="P183" i="8"/>
  <c r="Q183" i="8"/>
  <c r="J184" i="8"/>
  <c r="K184" i="8"/>
  <c r="L184" i="8"/>
  <c r="M184" i="8"/>
  <c r="N184" i="8"/>
  <c r="O184" i="8"/>
  <c r="P184" i="8"/>
  <c r="Q184" i="8"/>
  <c r="J185" i="8"/>
  <c r="K185" i="8"/>
  <c r="L185" i="8"/>
  <c r="M185" i="8"/>
  <c r="N185" i="8"/>
  <c r="O185" i="8"/>
  <c r="P185" i="8"/>
  <c r="Q185" i="8"/>
  <c r="J186" i="8"/>
  <c r="K186" i="8"/>
  <c r="L186" i="8"/>
  <c r="M186" i="8"/>
  <c r="N186" i="8"/>
  <c r="O186" i="8"/>
  <c r="P186" i="8"/>
  <c r="Q186" i="8"/>
  <c r="J191" i="8"/>
  <c r="K191" i="8"/>
  <c r="L191" i="8"/>
  <c r="M191" i="8"/>
  <c r="N191" i="8"/>
  <c r="O191" i="8"/>
  <c r="P191" i="8"/>
  <c r="Q191" i="8"/>
  <c r="K201" i="8"/>
  <c r="L201" i="8"/>
  <c r="M201" i="8"/>
  <c r="N201" i="8"/>
  <c r="O201" i="8"/>
  <c r="P201" i="8"/>
  <c r="Q201" i="8"/>
  <c r="K204" i="8"/>
  <c r="L204" i="8"/>
  <c r="M204" i="8"/>
  <c r="N204" i="8"/>
  <c r="O204" i="8"/>
  <c r="P204" i="8"/>
  <c r="Q204" i="8"/>
  <c r="J206" i="8"/>
  <c r="K206" i="8"/>
  <c r="L206" i="8"/>
  <c r="M206" i="8"/>
  <c r="N206" i="8"/>
  <c r="O206" i="8"/>
  <c r="P206" i="8"/>
  <c r="Q206" i="8"/>
  <c r="J209" i="8"/>
  <c r="K209" i="8"/>
  <c r="L209" i="8"/>
  <c r="M209" i="8"/>
  <c r="N209" i="8"/>
  <c r="O209" i="8"/>
  <c r="P209" i="8"/>
  <c r="Q209" i="8"/>
  <c r="J210" i="8"/>
  <c r="K210" i="8"/>
  <c r="L210" i="8"/>
  <c r="M210" i="8"/>
  <c r="N210" i="8"/>
  <c r="O210" i="8"/>
  <c r="P210" i="8"/>
  <c r="Q210" i="8"/>
  <c r="J211" i="8"/>
  <c r="K211" i="8"/>
  <c r="L211" i="8"/>
  <c r="M211" i="8"/>
  <c r="N211" i="8"/>
  <c r="O211" i="8"/>
  <c r="P211" i="8"/>
  <c r="Q211" i="8"/>
  <c r="J212" i="8"/>
  <c r="K212" i="8"/>
  <c r="L212" i="8"/>
  <c r="M212" i="8"/>
  <c r="N212" i="8"/>
  <c r="O212" i="8"/>
  <c r="P212" i="8"/>
  <c r="Q212" i="8"/>
  <c r="J213" i="8"/>
  <c r="K213" i="8"/>
  <c r="L213" i="8"/>
  <c r="M213" i="8"/>
  <c r="N213" i="8"/>
  <c r="O213" i="8"/>
  <c r="P213" i="8"/>
  <c r="Q213" i="8"/>
  <c r="J226" i="8"/>
  <c r="K226" i="8"/>
  <c r="L226" i="8"/>
  <c r="M226" i="8"/>
  <c r="N226" i="8"/>
  <c r="O226" i="8"/>
  <c r="P226" i="8"/>
  <c r="Q226" i="8"/>
  <c r="J227" i="8"/>
  <c r="K227" i="8"/>
  <c r="L227" i="8"/>
  <c r="M227" i="8"/>
  <c r="N227" i="8"/>
  <c r="O227" i="8"/>
  <c r="P227" i="8"/>
  <c r="Q227" i="8"/>
  <c r="J228" i="8"/>
  <c r="K228" i="8"/>
  <c r="L228" i="8"/>
  <c r="M228" i="8"/>
  <c r="N228" i="8"/>
  <c r="O228" i="8"/>
  <c r="P228" i="8"/>
  <c r="Q228" i="8"/>
  <c r="J229" i="8"/>
  <c r="K229" i="8"/>
  <c r="L229" i="8"/>
  <c r="M229" i="8"/>
  <c r="N229" i="8"/>
  <c r="O229" i="8"/>
  <c r="P229" i="8"/>
  <c r="Q229" i="8"/>
  <c r="J240" i="8"/>
  <c r="K240" i="8"/>
  <c r="L240" i="8"/>
  <c r="M240" i="8"/>
  <c r="N240" i="8"/>
  <c r="O240" i="8"/>
  <c r="P240" i="8"/>
  <c r="Q240" i="8"/>
  <c r="J241" i="8"/>
  <c r="K241" i="8"/>
  <c r="L241" i="8"/>
  <c r="M241" i="8"/>
  <c r="N241" i="8"/>
  <c r="O241" i="8"/>
  <c r="P241" i="8"/>
  <c r="Q241" i="8"/>
  <c r="J242" i="8"/>
  <c r="K242" i="8"/>
  <c r="L242" i="8"/>
  <c r="M242" i="8"/>
  <c r="N242" i="8"/>
  <c r="O242" i="8"/>
  <c r="P242" i="8"/>
  <c r="Q242" i="8"/>
  <c r="J243" i="8"/>
  <c r="K243" i="8"/>
  <c r="L243" i="8"/>
  <c r="M243" i="8"/>
  <c r="N243" i="8"/>
  <c r="O243" i="8"/>
  <c r="P243" i="8"/>
  <c r="Q243" i="8"/>
  <c r="J244" i="8"/>
  <c r="K244" i="8"/>
  <c r="L244" i="8"/>
  <c r="M244" i="8"/>
  <c r="N244" i="8"/>
  <c r="O244" i="8"/>
  <c r="P244" i="8"/>
  <c r="Q244" i="8"/>
  <c r="J248" i="8"/>
  <c r="K248" i="8"/>
  <c r="L248" i="8"/>
  <c r="J249" i="8"/>
  <c r="K249" i="8"/>
  <c r="L249" i="8"/>
  <c r="J259" i="8"/>
  <c r="K259" i="8"/>
  <c r="L259" i="8"/>
  <c r="M259" i="8"/>
  <c r="N259" i="8"/>
  <c r="O259" i="8"/>
  <c r="P259" i="8"/>
  <c r="Q259" i="8"/>
  <c r="J261" i="8"/>
  <c r="K261" i="8"/>
  <c r="L261" i="8"/>
  <c r="M261" i="8"/>
  <c r="N261" i="8"/>
  <c r="O261" i="8"/>
  <c r="P261" i="8"/>
  <c r="Q261" i="8"/>
  <c r="J262" i="8"/>
  <c r="K262" i="8"/>
  <c r="L262" i="8"/>
  <c r="M262" i="8"/>
  <c r="N262" i="8"/>
  <c r="O262" i="8"/>
  <c r="P262" i="8"/>
  <c r="Q262" i="8"/>
  <c r="J263" i="8"/>
  <c r="K263" i="8"/>
  <c r="L263" i="8"/>
  <c r="M263" i="8"/>
  <c r="N263" i="8"/>
  <c r="O263" i="8"/>
  <c r="P263" i="8"/>
  <c r="Q263" i="8"/>
  <c r="J266" i="8"/>
  <c r="K266" i="8"/>
  <c r="L266" i="8"/>
  <c r="J268" i="8"/>
  <c r="K268" i="8"/>
  <c r="L268" i="8"/>
  <c r="J279" i="8"/>
  <c r="K279" i="8"/>
  <c r="L279" i="8"/>
  <c r="M279" i="8"/>
  <c r="N279" i="8"/>
  <c r="O279" i="8"/>
  <c r="P279" i="8"/>
  <c r="Q279" i="8"/>
  <c r="J280" i="8"/>
  <c r="K280" i="8"/>
  <c r="L280" i="8"/>
  <c r="M280" i="8"/>
  <c r="N280" i="8"/>
  <c r="O280" i="8"/>
  <c r="P280" i="8"/>
  <c r="Q280" i="8"/>
  <c r="J281" i="8"/>
  <c r="K281" i="8"/>
  <c r="L281" i="8"/>
  <c r="M281" i="8"/>
  <c r="N281" i="8"/>
  <c r="O281" i="8"/>
  <c r="P281" i="8"/>
  <c r="Q281" i="8"/>
  <c r="I285" i="8"/>
  <c r="J285" i="8"/>
  <c r="K285" i="8"/>
  <c r="L285" i="8"/>
  <c r="M285" i="8"/>
  <c r="N285" i="8"/>
  <c r="O285" i="8"/>
  <c r="P285" i="8"/>
  <c r="Q285" i="8"/>
  <c r="J289" i="8"/>
  <c r="K289" i="8"/>
  <c r="L289" i="8"/>
  <c r="M289" i="8"/>
  <c r="N289" i="8"/>
  <c r="O289" i="8"/>
  <c r="P289" i="8"/>
  <c r="Q289" i="8"/>
  <c r="J290" i="8"/>
  <c r="K290" i="8"/>
  <c r="L290" i="8"/>
  <c r="M290" i="8"/>
  <c r="N290" i="8"/>
  <c r="O290" i="8"/>
  <c r="P290" i="8"/>
  <c r="Q290" i="8"/>
  <c r="J291" i="8"/>
  <c r="K291" i="8"/>
  <c r="L291" i="8"/>
  <c r="M291" i="8"/>
  <c r="N291" i="8"/>
  <c r="O291" i="8"/>
  <c r="P291" i="8"/>
  <c r="Q291" i="8"/>
  <c r="I294" i="8"/>
  <c r="J294" i="8"/>
  <c r="K294" i="8"/>
  <c r="L294" i="8"/>
  <c r="M294" i="8"/>
  <c r="N294" i="8"/>
  <c r="O294" i="8"/>
  <c r="P294" i="8"/>
  <c r="Q294" i="8"/>
  <c r="I295" i="8"/>
  <c r="J295" i="8"/>
  <c r="K295" i="8"/>
  <c r="L295" i="8"/>
  <c r="M295" i="8"/>
  <c r="N295" i="8"/>
  <c r="O295" i="8"/>
  <c r="P295" i="8"/>
  <c r="Q295" i="8"/>
  <c r="J308" i="8"/>
  <c r="K308" i="8"/>
  <c r="L308" i="8"/>
  <c r="M308" i="8"/>
  <c r="N308" i="8"/>
  <c r="O308" i="8"/>
  <c r="P308" i="8"/>
  <c r="Q308" i="8"/>
  <c r="J310" i="8"/>
  <c r="K310" i="8"/>
  <c r="L310" i="8"/>
  <c r="M310" i="8"/>
  <c r="N310" i="8"/>
  <c r="O310" i="8"/>
  <c r="P310" i="8"/>
  <c r="Q310" i="8"/>
  <c r="J330" i="8"/>
  <c r="K330" i="8"/>
  <c r="L330" i="8"/>
  <c r="M330" i="8"/>
  <c r="N330" i="8"/>
  <c r="O330" i="8"/>
  <c r="P330" i="8"/>
  <c r="Q330" i="8"/>
  <c r="J331" i="8"/>
  <c r="K331" i="8"/>
  <c r="L331" i="8"/>
  <c r="M331" i="8"/>
  <c r="N331" i="8"/>
  <c r="O331" i="8"/>
  <c r="P331" i="8"/>
  <c r="Q331" i="8"/>
  <c r="J332" i="8"/>
  <c r="K332" i="8"/>
  <c r="L332" i="8"/>
  <c r="M332" i="8"/>
  <c r="N332" i="8"/>
  <c r="O332" i="8"/>
  <c r="P332" i="8"/>
  <c r="Q332" i="8"/>
  <c r="J333" i="8"/>
  <c r="K333" i="8"/>
  <c r="L333" i="8"/>
  <c r="M333" i="8"/>
  <c r="N333" i="8"/>
  <c r="O333" i="8"/>
  <c r="P333" i="8"/>
  <c r="Q333" i="8"/>
  <c r="J334" i="8"/>
  <c r="K334" i="8"/>
  <c r="L334" i="8"/>
  <c r="M334" i="8"/>
  <c r="N334" i="8"/>
  <c r="O334" i="8"/>
  <c r="P334" i="8"/>
  <c r="Q334" i="8"/>
  <c r="J335" i="8"/>
  <c r="K335" i="8"/>
  <c r="L335" i="8"/>
  <c r="M335" i="8"/>
  <c r="N335" i="8"/>
  <c r="O335" i="8"/>
  <c r="P335" i="8"/>
  <c r="Q335" i="8"/>
  <c r="J336" i="8"/>
  <c r="K336" i="8"/>
  <c r="L336" i="8"/>
  <c r="M336" i="8"/>
  <c r="N336" i="8"/>
  <c r="O336" i="8"/>
  <c r="P336" i="8"/>
  <c r="Q336" i="8"/>
  <c r="J337" i="8"/>
  <c r="K337" i="8"/>
  <c r="L337" i="8"/>
  <c r="M337" i="8"/>
  <c r="N337" i="8"/>
  <c r="O337" i="8"/>
  <c r="P337" i="8"/>
  <c r="Q337" i="8"/>
  <c r="J344" i="8"/>
  <c r="K344" i="8"/>
  <c r="L344" i="8"/>
  <c r="M344" i="8"/>
  <c r="N344" i="8"/>
  <c r="O344" i="8"/>
  <c r="P344" i="8"/>
  <c r="Q344" i="8"/>
  <c r="J345" i="8"/>
  <c r="K345" i="8"/>
  <c r="L345" i="8"/>
  <c r="M345" i="8"/>
  <c r="N345" i="8"/>
  <c r="O345" i="8"/>
  <c r="P345" i="8"/>
  <c r="Q345" i="8"/>
  <c r="J346" i="8"/>
  <c r="K346" i="8"/>
  <c r="L346" i="8"/>
  <c r="M346" i="8"/>
  <c r="N346" i="8"/>
  <c r="O346" i="8"/>
  <c r="P346" i="8"/>
  <c r="Q346" i="8"/>
  <c r="J347" i="8"/>
  <c r="K347" i="8"/>
  <c r="L347" i="8"/>
  <c r="M347" i="8"/>
  <c r="N347" i="8"/>
  <c r="O347" i="8"/>
  <c r="P347" i="8"/>
  <c r="Q347" i="8"/>
  <c r="J348" i="8"/>
  <c r="K348" i="8"/>
  <c r="L348" i="8"/>
  <c r="M348" i="8"/>
  <c r="N348" i="8"/>
  <c r="O348" i="8"/>
  <c r="P348" i="8"/>
  <c r="Q348" i="8"/>
  <c r="J349" i="8"/>
  <c r="K349" i="8"/>
  <c r="L349" i="8"/>
  <c r="M349" i="8"/>
  <c r="N349" i="8"/>
  <c r="O349" i="8"/>
  <c r="P349" i="8"/>
  <c r="Q349" i="8"/>
  <c r="J350" i="8"/>
  <c r="K350" i="8"/>
  <c r="L350" i="8"/>
  <c r="M350" i="8"/>
  <c r="N350" i="8"/>
  <c r="O350" i="8"/>
  <c r="P350" i="8"/>
  <c r="Q350" i="8"/>
  <c r="J351" i="8"/>
  <c r="K351" i="8"/>
  <c r="L351" i="8"/>
  <c r="M351" i="8"/>
  <c r="N351" i="8"/>
  <c r="O351" i="8"/>
  <c r="P351" i="8"/>
  <c r="Q351" i="8"/>
  <c r="J358" i="8"/>
  <c r="K358" i="8"/>
  <c r="L358" i="8"/>
  <c r="M358" i="8"/>
  <c r="N358" i="8"/>
  <c r="O358" i="8"/>
  <c r="P358" i="8"/>
  <c r="Q358" i="8"/>
  <c r="J359" i="8"/>
  <c r="K359" i="8"/>
  <c r="L359" i="8"/>
  <c r="M359" i="8"/>
  <c r="N359" i="8"/>
  <c r="O359" i="8"/>
  <c r="P359" i="8"/>
  <c r="Q359" i="8"/>
  <c r="J360" i="8"/>
  <c r="K360" i="8"/>
  <c r="L360" i="8"/>
  <c r="M360" i="8"/>
  <c r="N360" i="8"/>
  <c r="O360" i="8"/>
  <c r="P360" i="8"/>
  <c r="Q360" i="8"/>
  <c r="J361" i="8"/>
  <c r="K361" i="8"/>
  <c r="L361" i="8"/>
  <c r="M361" i="8"/>
  <c r="N361" i="8"/>
  <c r="O361" i="8"/>
  <c r="P361" i="8"/>
  <c r="Q361" i="8"/>
  <c r="J362" i="8"/>
  <c r="K362" i="8"/>
  <c r="L362" i="8"/>
  <c r="M362" i="8"/>
  <c r="N362" i="8"/>
  <c r="O362" i="8"/>
  <c r="P362" i="8"/>
  <c r="Q362" i="8"/>
  <c r="J363" i="8"/>
  <c r="K363" i="8"/>
  <c r="L363" i="8"/>
  <c r="M363" i="8"/>
  <c r="N363" i="8"/>
  <c r="O363" i="8"/>
  <c r="P363" i="8"/>
  <c r="Q363" i="8"/>
  <c r="J364" i="8"/>
  <c r="K364" i="8"/>
  <c r="L364" i="8"/>
  <c r="M364" i="8"/>
  <c r="N364" i="8"/>
  <c r="O364" i="8"/>
  <c r="P364" i="8"/>
  <c r="Q364" i="8"/>
  <c r="J365" i="8"/>
  <c r="K365" i="8"/>
  <c r="L365" i="8"/>
  <c r="M365" i="8"/>
  <c r="N365" i="8"/>
  <c r="O365" i="8"/>
  <c r="P365" i="8"/>
  <c r="Q365" i="8"/>
</calcChain>
</file>

<file path=xl/sharedStrings.xml><?xml version="1.0" encoding="utf-8"?>
<sst xmlns="http://schemas.openxmlformats.org/spreadsheetml/2006/main" count="305" uniqueCount="187">
  <si>
    <t>LIBOR</t>
  </si>
  <si>
    <t>Interest Expense</t>
  </si>
  <si>
    <t>Minimum Cash Balance</t>
  </si>
  <si>
    <t>Cash</t>
  </si>
  <si>
    <t>Total Assets</t>
  </si>
  <si>
    <t>IRR</t>
  </si>
  <si>
    <t>Inventory</t>
  </si>
  <si>
    <t>Other Current Assets</t>
  </si>
  <si>
    <t>Accounts Payable</t>
  </si>
  <si>
    <t>Other Current Liabilities</t>
  </si>
  <si>
    <t>Beginning Cash Balance</t>
  </si>
  <si>
    <t>Mandatory Amortization</t>
  </si>
  <si>
    <t>Years PIK</t>
  </si>
  <si>
    <t>Leverage</t>
  </si>
  <si>
    <t>Interest Coverage</t>
  </si>
  <si>
    <t>Revenue</t>
  </si>
  <si>
    <t>Ending Cash Balance</t>
  </si>
  <si>
    <t>% Margin</t>
  </si>
  <si>
    <t>Enterprise Value</t>
  </si>
  <si>
    <t>Equity Value</t>
  </si>
  <si>
    <t>Term Loan B</t>
  </si>
  <si>
    <t>Revolver</t>
  </si>
  <si>
    <t>Goodwill</t>
  </si>
  <si>
    <t>Net Debt</t>
  </si>
  <si>
    <t>Total Interest Expense</t>
  </si>
  <si>
    <t>Sponsor Equity</t>
  </si>
  <si>
    <t>Purchase Equity</t>
  </si>
  <si>
    <t>Fees</t>
  </si>
  <si>
    <t>Net Income</t>
  </si>
  <si>
    <t>Rate</t>
  </si>
  <si>
    <t>Uses</t>
  </si>
  <si>
    <t>Financing Fees</t>
  </si>
  <si>
    <t>Sources</t>
  </si>
  <si>
    <t>Total Debt</t>
  </si>
  <si>
    <t>Illustrative LBO Analysis</t>
  </si>
  <si>
    <t>x</t>
  </si>
  <si>
    <t>Transaction Assumptions</t>
  </si>
  <si>
    <t>($ in millions, except where otherwise specified)</t>
  </si>
  <si>
    <t>Sources &amp; Uses</t>
  </si>
  <si>
    <t>$</t>
  </si>
  <si>
    <t>%</t>
  </si>
  <si>
    <t>Cash On-Hand</t>
  </si>
  <si>
    <t>Revolver Draw</t>
  </si>
  <si>
    <t>Senior Notes</t>
  </si>
  <si>
    <t>Subordinated Notes</t>
  </si>
  <si>
    <t>Management Rollover</t>
  </si>
  <si>
    <t>Total Sources</t>
  </si>
  <si>
    <t>Refinance Existing Debt</t>
  </si>
  <si>
    <t>Fund Cash Balance</t>
  </si>
  <si>
    <t>Transaction Expenses</t>
  </si>
  <si>
    <t>Total Uses</t>
  </si>
  <si>
    <t>Refinancing Expenses</t>
  </si>
  <si>
    <t>CHECK:</t>
  </si>
  <si>
    <t>LTM Adj. EBITDA</t>
  </si>
  <si>
    <t>Illustrative Transaction Multiple</t>
  </si>
  <si>
    <t>Transaction Value</t>
  </si>
  <si>
    <t>( - ) Debt</t>
  </si>
  <si>
    <t>( + ) Cash</t>
  </si>
  <si>
    <t>Memo: Management Rollover</t>
  </si>
  <si>
    <t>Management Rollover - %</t>
  </si>
  <si>
    <t>Management Rollover - $</t>
  </si>
  <si>
    <t>Purchase Accounting</t>
  </si>
  <si>
    <t>Total Equity Value</t>
  </si>
  <si>
    <t>PF Goodwill</t>
  </si>
  <si>
    <t>( + ) Total Liabilities</t>
  </si>
  <si>
    <t>( - ) Total Assets (excl. goodwill)</t>
  </si>
  <si>
    <t>Financing Assumptions</t>
  </si>
  <si>
    <t>NA</t>
  </si>
  <si>
    <t>Term</t>
  </si>
  <si>
    <t>Interest</t>
  </si>
  <si>
    <t>Type</t>
  </si>
  <si>
    <t>Annual</t>
  </si>
  <si>
    <t>Amort.</t>
  </si>
  <si>
    <t>Financing</t>
  </si>
  <si>
    <t>Revolver Commitment:</t>
  </si>
  <si>
    <t>Commitment Fee:</t>
  </si>
  <si>
    <t>Debt Financing</t>
  </si>
  <si>
    <t>Senior Secured Debt</t>
  </si>
  <si>
    <t>Senior Debt</t>
  </si>
  <si>
    <t>Other Assumptions</t>
  </si>
  <si>
    <t>Total</t>
  </si>
  <si>
    <t>Fees - $</t>
  </si>
  <si>
    <t>Cash Interest Rate</t>
  </si>
  <si>
    <t>Illustrative Tax Rate</t>
  </si>
  <si>
    <t>PF Income Statement</t>
  </si>
  <si>
    <t>PF Balance Sheet</t>
  </si>
  <si>
    <t>PF Statement of Cash Flows</t>
  </si>
  <si>
    <t>PF Debt Schedule</t>
  </si>
  <si>
    <t>Fiscal Year Ending December 31,</t>
  </si>
  <si>
    <t>% Growth</t>
  </si>
  <si>
    <t>Adj. EBITDA</t>
  </si>
  <si>
    <t>( - ) D&amp;A</t>
  </si>
  <si>
    <t>Adj. EBIT</t>
  </si>
  <si>
    <t>( - ) Net Interest Expense</t>
  </si>
  <si>
    <t>CIRC</t>
  </si>
  <si>
    <t>Adj. EBT</t>
  </si>
  <si>
    <t>( - ) Illustrative Tax Expense</t>
  </si>
  <si>
    <t>Adj. Net Income</t>
  </si>
  <si>
    <t>Memo:</t>
  </si>
  <si>
    <t>D&amp;A (% of Sales)</t>
  </si>
  <si>
    <t>EBITDA Margin (%)</t>
  </si>
  <si>
    <t>Revenue Growth (%)</t>
  </si>
  <si>
    <t>CapEx (% of Sales)</t>
  </si>
  <si>
    <t>Assets</t>
  </si>
  <si>
    <t>Net PP&amp;E</t>
  </si>
  <si>
    <t>Other Noncurrent Assets</t>
  </si>
  <si>
    <t>Net Accounts Receivable</t>
  </si>
  <si>
    <t>Liabilities &amp; Shareholders' Equity</t>
  </si>
  <si>
    <t>Accrued Expenses</t>
  </si>
  <si>
    <t>Total Current Liabilities</t>
  </si>
  <si>
    <t>Other Noncurrent Liabilities</t>
  </si>
  <si>
    <t>Total Liabilities</t>
  </si>
  <si>
    <t>Shareholders' Equity</t>
  </si>
  <si>
    <t>Total Liabilities &amp; Shareholders' Equity</t>
  </si>
  <si>
    <t>Days Sales Outstanding (DSO)</t>
  </si>
  <si>
    <t>Days Inventory Held (DIH)</t>
  </si>
  <si>
    <t>Days Payable Outstanding (DPO)</t>
  </si>
  <si>
    <t>Cash Conversion Cycle</t>
  </si>
  <si>
    <t>Other Current Assets (% of Sales)</t>
  </si>
  <si>
    <t>Accrued Expenses (% of Sales)</t>
  </si>
  <si>
    <t>Other Current Liabilities (% of Sales)</t>
  </si>
  <si>
    <t>Other Current Liablities</t>
  </si>
  <si>
    <t>Current Assets</t>
  </si>
  <si>
    <t>Current Liabilities</t>
  </si>
  <si>
    <t>(Increase) Decrease in NWC</t>
  </si>
  <si>
    <t>Net Working Capital (NWC)</t>
  </si>
  <si>
    <t>Cash from Operating Activities</t>
  </si>
  <si>
    <t>( + ) D&amp;A</t>
  </si>
  <si>
    <t>( + ) Noncash Interest Expense</t>
  </si>
  <si>
    <t>( + / - ) Change in NWC</t>
  </si>
  <si>
    <t>( - ) CapEx</t>
  </si>
  <si>
    <t>Levered Free Cash Flow</t>
  </si>
  <si>
    <t>( + ) Levered Free Cash Flow</t>
  </si>
  <si>
    <t>( - ) Minimum Cash Balance</t>
  </si>
  <si>
    <t>Total Cash Available for Debt Repayment</t>
  </si>
  <si>
    <t>( - ) Mandatory Amortization</t>
  </si>
  <si>
    <t>( - ) Optional Prepayment</t>
  </si>
  <si>
    <t>COGS (% of Sales)</t>
  </si>
  <si>
    <t>Sales</t>
  </si>
  <si>
    <t>COGS</t>
  </si>
  <si>
    <t>Calculated NWC</t>
  </si>
  <si>
    <t>Key Assumptions</t>
  </si>
  <si>
    <t>( + ) Minimum Cash Balance</t>
  </si>
  <si>
    <t>Average Cash Balance</t>
  </si>
  <si>
    <t>Cash Interest Income</t>
  </si>
  <si>
    <t>Ending Debt Balance</t>
  </si>
  <si>
    <t>Undrawn Revolver Commitment</t>
  </si>
  <si>
    <t>Cash Available for Debt Repayment</t>
  </si>
  <si>
    <t>Mandatory Amortization Schedule</t>
  </si>
  <si>
    <t>Cash Available for Optional Prepayment</t>
  </si>
  <si>
    <t>Optional Prepayment</t>
  </si>
  <si>
    <t>PF Interest Expense</t>
  </si>
  <si>
    <t>Interest Rate Schedule</t>
  </si>
  <si>
    <t>Debt Balance</t>
  </si>
  <si>
    <t>PIK Interest Expense</t>
  </si>
  <si>
    <t>Financing Fee Amortization</t>
  </si>
  <si>
    <t>( + ) Financing Fee Amortization</t>
  </si>
  <si>
    <t>Net Interest Expense</t>
  </si>
  <si>
    <t>( - ) Interest Income</t>
  </si>
  <si>
    <t>Noncash Interest Expense</t>
  </si>
  <si>
    <t>Total Noncash Interest Expense</t>
  </si>
  <si>
    <t>PF Credit Metrics</t>
  </si>
  <si>
    <t>Illustrative Returns</t>
  </si>
  <si>
    <t>Minimum Debt Increment</t>
  </si>
  <si>
    <t>Days</t>
  </si>
  <si>
    <t>Undrawn Revolver</t>
  </si>
  <si>
    <t>Fee</t>
  </si>
  <si>
    <t>% of Original</t>
  </si>
  <si>
    <t>Cash Interest Expense</t>
  </si>
  <si>
    <t>CapEx</t>
  </si>
  <si>
    <t>Outstanding Debt</t>
  </si>
  <si>
    <t>Line Items</t>
  </si>
  <si>
    <t>Total Debt / Adj. EBITDA</t>
  </si>
  <si>
    <t>Senior Secured Debt / Adj. EBITDA</t>
  </si>
  <si>
    <t>Senior Debt / Adj. EBITDA</t>
  </si>
  <si>
    <t>Adj. EBITDA / Cash Interest Expense</t>
  </si>
  <si>
    <t>Adj. EBITDA - CapEx / Cash Interest Expense</t>
  </si>
  <si>
    <t>( - ) Cash</t>
  </si>
  <si>
    <t>(Based on Multiple of LTM Adj. EBITDA)</t>
  </si>
  <si>
    <t>MoIC</t>
  </si>
  <si>
    <t>Investment</t>
  </si>
  <si>
    <t>CHECKS</t>
  </si>
  <si>
    <t>Balance Sheet:</t>
  </si>
  <si>
    <t>Sources &amp; Uses:</t>
  </si>
  <si>
    <t xml:space="preserve"> </t>
  </si>
  <si>
    <t>PF Working Capital Schedule</t>
  </si>
  <si>
    <t>Total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</si>
</sst>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6" formatCode="&quot;$&quot;#,##0_);[Red]\(&quot;$&quot;#,##0\)"/>
    <numFmt numFmtId="164" formatCode="0.0%"/>
    <numFmt numFmtId="165" formatCode="#,##0.0_);\(#,##0.0\)"/>
    <numFmt numFmtId="166" formatCode="0&quot; yr&quot;"/>
    <numFmt numFmtId="167" formatCode="0.000%"/>
    <numFmt numFmtId="168" formatCode="&quot;On&quot;;&quot;Error&quot;;&quot;Off&quot;;&quot;Error&quot;"/>
    <numFmt numFmtId="169" formatCode="&quot;$&quot;#,##0_);\(&quot;$&quot;#,##0\);\-\-_)"/>
    <numFmt numFmtId="170" formatCode="0.0\x"/>
    <numFmt numFmtId="171" formatCode="&quot;FLOAT&quot;;&quot;ERROR&quot;;&quot;FIXED&quot;;&quot;ERROR&quot;"/>
    <numFmt numFmtId="172" formatCode="&quot;L+&quot;0.000%"/>
    <numFmt numFmtId="173" formatCode="#,##0_);\(#,##0\);\-\-_)"/>
    <numFmt numFmtId="174" formatCode="yyyy\A"/>
    <numFmt numFmtId="175" formatCode="yyyy&quot;E&quot;"/>
    <numFmt numFmtId="176" formatCode="0.0%_);\(0.0%\);\-\-_)_%"/>
    <numFmt numFmtId="177" formatCode="0.0\x_);\(0.0\x\);\-\-_)_x"/>
    <numFmt numFmtId="178" formatCode="0.0_)_x;\(0.0\)_x;\-\-_)_x"/>
    <numFmt numFmtId="179" formatCode="0.00_)_x"/>
    <numFmt numFmtId="181" formatCode="&quot;PF &quot;yyyy"/>
    <numFmt numFmtId="186" formatCode="#.##\x"/>
  </numFmts>
  <fonts count="18" x14ac:knownFonts="1">
    <font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2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Alignment="0" applyProtection="0"/>
    <xf numFmtId="0" fontId="1" fillId="0" borderId="0" applyFill="0" applyBorder="0" applyProtection="0">
      <alignment horizontal="left"/>
    </xf>
    <xf numFmtId="0" fontId="3" fillId="0" borderId="0" applyBorder="0" applyProtection="0">
      <alignment horizontal="left"/>
    </xf>
    <xf numFmtId="0" fontId="4" fillId="0" borderId="0" applyFill="0" applyBorder="0" applyProtection="0">
      <alignment horizontal="left"/>
    </xf>
    <xf numFmtId="0" fontId="2" fillId="0" borderId="1" applyFill="0" applyBorder="0" applyProtection="0">
      <alignment horizontal="left" vertical="top"/>
    </xf>
  </cellStyleXfs>
  <cellXfs count="140">
    <xf numFmtId="0" fontId="0" fillId="0" borderId="0" xfId="0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6" fillId="3" borderId="0" xfId="0" applyFont="1" applyFill="1"/>
    <xf numFmtId="0" fontId="10" fillId="0" borderId="0" xfId="0" applyFont="1"/>
    <xf numFmtId="0" fontId="11" fillId="2" borderId="0" xfId="0" applyFont="1" applyFill="1"/>
    <xf numFmtId="0" fontId="11" fillId="0" borderId="2" xfId="0" applyFont="1" applyBorder="1"/>
    <xf numFmtId="0" fontId="6" fillId="0" borderId="2" xfId="0" applyFont="1" applyBorder="1"/>
    <xf numFmtId="0" fontId="6" fillId="0" borderId="6" xfId="0" applyFont="1" applyBorder="1"/>
    <xf numFmtId="0" fontId="11" fillId="0" borderId="5" xfId="0" applyFont="1" applyBorder="1" applyAlignment="1">
      <alignment horizontal="center"/>
    </xf>
    <xf numFmtId="0" fontId="6" fillId="2" borderId="0" xfId="0" applyFont="1" applyFill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1" fillId="0" borderId="0" xfId="0" applyFont="1"/>
    <xf numFmtId="0" fontId="6" fillId="0" borderId="10" xfId="0" applyFont="1" applyBorder="1"/>
    <xf numFmtId="0" fontId="6" fillId="0" borderId="0" xfId="0" quotePrefix="1" applyFont="1"/>
    <xf numFmtId="0" fontId="6" fillId="0" borderId="10" xfId="0" quotePrefix="1" applyFont="1" applyBorder="1"/>
    <xf numFmtId="0" fontId="12" fillId="0" borderId="0" xfId="0" applyFont="1"/>
    <xf numFmtId="0" fontId="6" fillId="0" borderId="8" xfId="0" quotePrefix="1" applyFont="1" applyBorder="1"/>
    <xf numFmtId="0" fontId="6" fillId="0" borderId="9" xfId="0" quotePrefix="1" applyFont="1" applyBorder="1"/>
    <xf numFmtId="0" fontId="11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169" fontId="14" fillId="0" borderId="10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166" fontId="14" fillId="0" borderId="8" xfId="0" applyNumberFormat="1" applyFont="1" applyBorder="1" applyAlignment="1">
      <alignment horizontal="center"/>
    </xf>
    <xf numFmtId="166" fontId="14" fillId="0" borderId="9" xfId="0" applyNumberFormat="1" applyFont="1" applyBorder="1" applyAlignment="1">
      <alignment horizontal="center"/>
    </xf>
    <xf numFmtId="166" fontId="14" fillId="0" borderId="10" xfId="0" applyNumberFormat="1" applyFont="1" applyBorder="1" applyAlignment="1">
      <alignment horizontal="center"/>
    </xf>
    <xf numFmtId="170" fontId="14" fillId="0" borderId="8" xfId="0" applyNumberFormat="1" applyFont="1" applyBorder="1" applyAlignment="1">
      <alignment horizontal="center"/>
    </xf>
    <xf numFmtId="170" fontId="14" fillId="0" borderId="9" xfId="0" applyNumberFormat="1" applyFont="1" applyBorder="1" applyAlignment="1">
      <alignment horizontal="center"/>
    </xf>
    <xf numFmtId="171" fontId="14" fillId="0" borderId="10" xfId="0" applyNumberFormat="1" applyFont="1" applyBorder="1" applyAlignment="1">
      <alignment horizontal="center"/>
    </xf>
    <xf numFmtId="171" fontId="14" fillId="0" borderId="8" xfId="0" applyNumberFormat="1" applyFont="1" applyBorder="1" applyAlignment="1">
      <alignment horizontal="center"/>
    </xf>
    <xf numFmtId="171" fontId="14" fillId="0" borderId="9" xfId="0" applyNumberFormat="1" applyFont="1" applyBorder="1" applyAlignment="1">
      <alignment horizontal="center"/>
    </xf>
    <xf numFmtId="6" fontId="14" fillId="0" borderId="10" xfId="0" applyNumberFormat="1" applyFont="1" applyBorder="1" applyAlignment="1">
      <alignment horizontal="center"/>
    </xf>
    <xf numFmtId="167" fontId="14" fillId="0" borderId="0" xfId="0" applyNumberFormat="1" applyFont="1" applyAlignment="1">
      <alignment horizontal="center"/>
    </xf>
    <xf numFmtId="172" fontId="14" fillId="0" borderId="10" xfId="0" applyNumberFormat="1" applyFont="1" applyBorder="1"/>
    <xf numFmtId="172" fontId="14" fillId="0" borderId="8" xfId="0" applyNumberFormat="1" applyFont="1" applyBorder="1"/>
    <xf numFmtId="167" fontId="14" fillId="0" borderId="8" xfId="0" applyNumberFormat="1" applyFont="1" applyBorder="1"/>
    <xf numFmtId="167" fontId="14" fillId="0" borderId="9" xfId="0" applyNumberFormat="1" applyFont="1" applyBorder="1"/>
    <xf numFmtId="10" fontId="14" fillId="0" borderId="8" xfId="0" applyNumberFormat="1" applyFont="1" applyBorder="1" applyAlignment="1">
      <alignment horizontal="center"/>
    </xf>
    <xf numFmtId="10" fontId="14" fillId="0" borderId="9" xfId="0" applyNumberFormat="1" applyFont="1" applyBorder="1" applyAlignment="1">
      <alignment horizontal="center"/>
    </xf>
    <xf numFmtId="167" fontId="14" fillId="0" borderId="10" xfId="0" applyNumberFormat="1" applyFont="1" applyBorder="1" applyAlignment="1">
      <alignment horizontal="center"/>
    </xf>
    <xf numFmtId="167" fontId="14" fillId="0" borderId="8" xfId="0" applyNumberFormat="1" applyFont="1" applyBorder="1" applyAlignment="1">
      <alignment horizontal="center"/>
    </xf>
    <xf numFmtId="167" fontId="14" fillId="0" borderId="9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9" fontId="6" fillId="0" borderId="0" xfId="0" applyNumberFormat="1" applyFont="1"/>
    <xf numFmtId="173" fontId="6" fillId="0" borderId="0" xfId="0" applyNumberFormat="1" applyFont="1"/>
    <xf numFmtId="169" fontId="11" fillId="2" borderId="0" xfId="0" applyNumberFormat="1" applyFont="1" applyFill="1"/>
    <xf numFmtId="164" fontId="14" fillId="0" borderId="0" xfId="0" applyNumberFormat="1" applyFont="1" applyAlignment="1">
      <alignment horizontal="center"/>
    </xf>
    <xf numFmtId="174" fontId="11" fillId="0" borderId="5" xfId="0" applyNumberFormat="1" applyFont="1" applyBorder="1" applyAlignment="1">
      <alignment horizontal="center"/>
    </xf>
    <xf numFmtId="175" fontId="11" fillId="0" borderId="5" xfId="0" applyNumberFormat="1" applyFont="1" applyBorder="1" applyAlignment="1">
      <alignment horizontal="center"/>
    </xf>
    <xf numFmtId="168" fontId="15" fillId="0" borderId="11" xfId="0" applyNumberFormat="1" applyFont="1" applyBorder="1" applyAlignment="1">
      <alignment horizontal="center"/>
    </xf>
    <xf numFmtId="169" fontId="15" fillId="2" borderId="0" xfId="0" applyNumberFormat="1" applyFont="1" applyFill="1"/>
    <xf numFmtId="176" fontId="10" fillId="0" borderId="0" xfId="0" applyNumberFormat="1" applyFont="1"/>
    <xf numFmtId="0" fontId="10" fillId="0" borderId="10" xfId="0" applyFont="1" applyBorder="1"/>
    <xf numFmtId="176" fontId="10" fillId="0" borderId="10" xfId="0" applyNumberFormat="1" applyFont="1" applyBorder="1"/>
    <xf numFmtId="169" fontId="14" fillId="0" borderId="0" xfId="0" applyNumberFormat="1" applyFont="1"/>
    <xf numFmtId="176" fontId="6" fillId="0" borderId="10" xfId="0" applyNumberFormat="1" applyFont="1" applyBorder="1"/>
    <xf numFmtId="176" fontId="6" fillId="0" borderId="8" xfId="0" applyNumberFormat="1" applyFont="1" applyBorder="1"/>
    <xf numFmtId="0" fontId="6" fillId="0" borderId="0" xfId="0" applyFont="1" applyBorder="1"/>
    <xf numFmtId="0" fontId="11" fillId="2" borderId="0" xfId="0" quotePrefix="1" applyFont="1" applyFill="1"/>
    <xf numFmtId="176" fontId="14" fillId="0" borderId="10" xfId="0" applyNumberFormat="1" applyFont="1" applyBorder="1"/>
    <xf numFmtId="0" fontId="11" fillId="2" borderId="0" xfId="0" applyFont="1" applyFill="1" applyBorder="1"/>
    <xf numFmtId="0" fontId="10" fillId="0" borderId="0" xfId="0" quotePrefix="1" applyFont="1"/>
    <xf numFmtId="0" fontId="12" fillId="0" borderId="0" xfId="0" quotePrefix="1" applyFont="1"/>
    <xf numFmtId="0" fontId="11" fillId="4" borderId="0" xfId="0" applyFont="1" applyFill="1"/>
    <xf numFmtId="0" fontId="6" fillId="0" borderId="0" xfId="0" applyFont="1" applyFill="1"/>
    <xf numFmtId="173" fontId="14" fillId="0" borderId="10" xfId="0" applyNumberFormat="1" applyFont="1" applyBorder="1" applyAlignment="1">
      <alignment horizontal="center"/>
    </xf>
    <xf numFmtId="173" fontId="6" fillId="0" borderId="8" xfId="0" applyNumberFormat="1" applyFont="1" applyBorder="1"/>
    <xf numFmtId="173" fontId="6" fillId="0" borderId="9" xfId="0" applyNumberFormat="1" applyFont="1" applyBorder="1"/>
    <xf numFmtId="173" fontId="14" fillId="0" borderId="8" xfId="0" applyNumberFormat="1" applyFont="1" applyBorder="1"/>
    <xf numFmtId="169" fontId="6" fillId="0" borderId="7" xfId="0" applyNumberFormat="1" applyFont="1" applyBorder="1"/>
    <xf numFmtId="176" fontId="6" fillId="0" borderId="9" xfId="0" applyNumberFormat="1" applyFont="1" applyBorder="1"/>
    <xf numFmtId="176" fontId="10" fillId="0" borderId="7" xfId="0" applyNumberFormat="1" applyFont="1" applyBorder="1"/>
    <xf numFmtId="176" fontId="10" fillId="0" borderId="8" xfId="0" applyNumberFormat="1" applyFont="1" applyBorder="1"/>
    <xf numFmtId="176" fontId="10" fillId="0" borderId="9" xfId="0" applyNumberFormat="1" applyFont="1" applyBorder="1"/>
    <xf numFmtId="176" fontId="10" fillId="2" borderId="0" xfId="0" applyNumberFormat="1" applyFont="1" applyFill="1"/>
    <xf numFmtId="169" fontId="14" fillId="0" borderId="7" xfId="0" applyNumberFormat="1" applyFont="1" applyBorder="1"/>
    <xf numFmtId="169" fontId="6" fillId="0" borderId="10" xfId="0" applyNumberFormat="1" applyFont="1" applyBorder="1"/>
    <xf numFmtId="170" fontId="14" fillId="0" borderId="0" xfId="0" applyNumberFormat="1" applyFont="1"/>
    <xf numFmtId="173" fontId="6" fillId="0" borderId="10" xfId="0" applyNumberFormat="1" applyFont="1" applyBorder="1"/>
    <xf numFmtId="173" fontId="6" fillId="0" borderId="0" xfId="0" applyNumberFormat="1" applyFont="1" applyBorder="1"/>
    <xf numFmtId="169" fontId="14" fillId="0" borderId="10" xfId="0" applyNumberFormat="1" applyFont="1" applyBorder="1"/>
    <xf numFmtId="173" fontId="14" fillId="0" borderId="9" xfId="0" applyNumberFormat="1" applyFont="1" applyBorder="1"/>
    <xf numFmtId="169" fontId="11" fillId="2" borderId="0" xfId="0" applyNumberFormat="1" applyFont="1" applyFill="1" applyBorder="1"/>
    <xf numFmtId="0" fontId="16" fillId="0" borderId="0" xfId="0" applyFont="1" applyAlignment="1">
      <alignment horizontal="right"/>
    </xf>
    <xf numFmtId="165" fontId="6" fillId="0" borderId="10" xfId="0" applyNumberFormat="1" applyFont="1" applyBorder="1"/>
    <xf numFmtId="165" fontId="6" fillId="0" borderId="8" xfId="0" applyNumberFormat="1" applyFont="1" applyBorder="1"/>
    <xf numFmtId="165" fontId="6" fillId="0" borderId="9" xfId="0" applyNumberFormat="1" applyFont="1" applyBorder="1"/>
    <xf numFmtId="165" fontId="11" fillId="2" borderId="0" xfId="0" applyNumberFormat="1" applyFont="1" applyFill="1" applyBorder="1"/>
    <xf numFmtId="0" fontId="10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173" fontId="14" fillId="0" borderId="0" xfId="0" applyNumberFormat="1" applyFont="1"/>
    <xf numFmtId="167" fontId="6" fillId="0" borderId="3" xfId="0" applyNumberFormat="1" applyFont="1" applyBorder="1" applyAlignment="1">
      <alignment horizontal="center"/>
    </xf>
    <xf numFmtId="6" fontId="6" fillId="0" borderId="3" xfId="0" applyNumberFormat="1" applyFont="1" applyBorder="1" applyAlignment="1">
      <alignment horizontal="center"/>
    </xf>
    <xf numFmtId="6" fontId="6" fillId="0" borderId="0" xfId="0" applyNumberFormat="1" applyFont="1" applyBorder="1"/>
    <xf numFmtId="169" fontId="11" fillId="4" borderId="0" xfId="0" applyNumberFormat="1" applyFont="1" applyFill="1"/>
    <xf numFmtId="167" fontId="15" fillId="2" borderId="0" xfId="0" applyNumberFormat="1" applyFont="1" applyFill="1" applyAlignment="1">
      <alignment horizontal="center"/>
    </xf>
    <xf numFmtId="0" fontId="12" fillId="0" borderId="0" xfId="0" applyFont="1" applyBorder="1"/>
    <xf numFmtId="0" fontId="17" fillId="0" borderId="0" xfId="0" applyFont="1" applyAlignment="1">
      <alignment horizontal="center"/>
    </xf>
    <xf numFmtId="171" fontId="6" fillId="0" borderId="8" xfId="0" applyNumberFormat="1" applyFont="1" applyBorder="1" applyAlignment="1">
      <alignment horizontal="center"/>
    </xf>
    <xf numFmtId="171" fontId="6" fillId="0" borderId="9" xfId="0" applyNumberFormat="1" applyFont="1" applyBorder="1" applyAlignment="1">
      <alignment horizontal="center"/>
    </xf>
    <xf numFmtId="167" fontId="6" fillId="0" borderId="10" xfId="0" applyNumberFormat="1" applyFont="1" applyBorder="1"/>
    <xf numFmtId="172" fontId="6" fillId="0" borderId="8" xfId="0" applyNumberFormat="1" applyFont="1" applyBorder="1"/>
    <xf numFmtId="172" fontId="6" fillId="0" borderId="10" xfId="0" applyNumberFormat="1" applyFont="1" applyBorder="1"/>
    <xf numFmtId="167" fontId="6" fillId="0" borderId="8" xfId="0" applyNumberFormat="1" applyFont="1" applyBorder="1"/>
    <xf numFmtId="167" fontId="6" fillId="0" borderId="9" xfId="0" applyNumberFormat="1" applyFont="1" applyBorder="1"/>
    <xf numFmtId="166" fontId="6" fillId="0" borderId="10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9" fontId="6" fillId="0" borderId="10" xfId="0" applyNumberFormat="1" applyFont="1" applyBorder="1" applyAlignment="1">
      <alignment horizontal="center"/>
    </xf>
    <xf numFmtId="173" fontId="6" fillId="0" borderId="8" xfId="0" applyNumberFormat="1" applyFont="1" applyBorder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73" fontId="6" fillId="0" borderId="9" xfId="0" applyNumberFormat="1" applyFont="1" applyBorder="1" applyAlignment="1">
      <alignment horizontal="center"/>
    </xf>
    <xf numFmtId="39" fontId="6" fillId="0" borderId="0" xfId="0" applyNumberFormat="1" applyFont="1"/>
    <xf numFmtId="168" fontId="11" fillId="0" borderId="3" xfId="0" applyNumberFormat="1" applyFont="1" applyBorder="1" applyAlignment="1">
      <alignment horizontal="center"/>
    </xf>
    <xf numFmtId="177" fontId="6" fillId="0" borderId="10" xfId="0" applyNumberFormat="1" applyFont="1" applyBorder="1"/>
    <xf numFmtId="178" fontId="6" fillId="0" borderId="8" xfId="0" applyNumberFormat="1" applyFont="1" applyBorder="1"/>
    <xf numFmtId="178" fontId="6" fillId="0" borderId="9" xfId="0" applyNumberFormat="1" applyFont="1" applyBorder="1"/>
    <xf numFmtId="0" fontId="11" fillId="5" borderId="0" xfId="0" applyFont="1" applyFill="1"/>
    <xf numFmtId="169" fontId="11" fillId="5" borderId="0" xfId="0" applyNumberFormat="1" applyFont="1" applyFill="1"/>
    <xf numFmtId="170" fontId="6" fillId="0" borderId="3" xfId="0" applyNumberFormat="1" applyFont="1" applyBorder="1" applyAlignment="1">
      <alignment horizontal="center"/>
    </xf>
    <xf numFmtId="170" fontId="11" fillId="5" borderId="3" xfId="0" applyNumberFormat="1" applyFont="1" applyFill="1" applyBorder="1" applyAlignment="1">
      <alignment horizontal="center"/>
    </xf>
    <xf numFmtId="0" fontId="6" fillId="5" borderId="8" xfId="0" applyFont="1" applyFill="1" applyBorder="1"/>
    <xf numFmtId="169" fontId="6" fillId="0" borderId="3" xfId="0" applyNumberFormat="1" applyFont="1" applyBorder="1" applyAlignment="1">
      <alignment horizontal="center"/>
    </xf>
    <xf numFmtId="179" fontId="6" fillId="0" borderId="9" xfId="0" applyNumberFormat="1" applyFont="1" applyBorder="1"/>
    <xf numFmtId="177" fontId="6" fillId="0" borderId="0" xfId="0" applyNumberFormat="1" applyFont="1" applyAlignment="1">
      <alignment horizontal="center"/>
    </xf>
    <xf numFmtId="178" fontId="11" fillId="2" borderId="0" xfId="0" applyNumberFormat="1" applyFont="1" applyFill="1" applyAlignment="1">
      <alignment horizontal="center"/>
    </xf>
    <xf numFmtId="178" fontId="6" fillId="0" borderId="0" xfId="0" applyNumberFormat="1" applyFont="1" applyAlignment="1">
      <alignment horizontal="center"/>
    </xf>
    <xf numFmtId="181" fontId="11" fillId="0" borderId="5" xfId="0" applyNumberFormat="1" applyFont="1" applyBorder="1" applyAlignment="1">
      <alignment horizontal="center"/>
    </xf>
    <xf numFmtId="169" fontId="6" fillId="0" borderId="10" xfId="0" applyNumberFormat="1" applyFont="1" applyFill="1" applyBorder="1"/>
    <xf numFmtId="169" fontId="6" fillId="0" borderId="8" xfId="0" applyNumberFormat="1" applyFont="1" applyBorder="1"/>
    <xf numFmtId="177" fontId="6" fillId="0" borderId="0" xfId="0" applyNumberFormat="1" applyFont="1" applyBorder="1"/>
    <xf numFmtId="173" fontId="6" fillId="2" borderId="0" xfId="0" applyNumberFormat="1" applyFont="1" applyFill="1"/>
    <xf numFmtId="186" fontId="6" fillId="0" borderId="10" xfId="0" applyNumberFormat="1" applyFont="1" applyBorder="1"/>
    <xf numFmtId="164" fontId="6" fillId="5" borderId="8" xfId="0" applyNumberFormat="1" applyFont="1" applyFill="1" applyBorder="1"/>
  </cellXfs>
  <cellStyles count="5">
    <cellStyle name="Footnote" xfId="1" xr:uid="{00000000-0005-0000-0000-000000000000}"/>
    <cellStyle name="Normal" xfId="0" builtinId="0"/>
    <cellStyle name="Table Heading" xfId="2" xr:uid="{00000000-0005-0000-0000-000003000000}"/>
    <cellStyle name="Table Title" xfId="3" xr:uid="{00000000-0005-0000-0000-000004000000}"/>
    <cellStyle name="Table Units" xfId="4" xr:uid="{00000000-0005-0000-0000-000005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FF"/>
      <rgbColor rgb="0033CC33"/>
      <rgbColor rgb="00FFCC00"/>
      <rgbColor rgb="00D60047"/>
      <rgbColor rgb="0033CCCC"/>
      <rgbColor rgb="00008000"/>
      <rgbColor rgb="00800080"/>
      <rgbColor rgb="00FF6600"/>
      <rgbColor rgb="00FF0000"/>
      <rgbColor rgb="00FF00FF"/>
      <rgbColor rgb="00D1C2BA"/>
      <rgbColor rgb="00E8D9A8"/>
      <rgbColor rgb="00FFFFFF"/>
      <rgbColor rgb="00FFFFFF"/>
      <rgbColor rgb="006666FF"/>
      <rgbColor rgb="0033CC33"/>
      <rgbColor rgb="00FFCC00"/>
      <rgbColor rgb="00D60047"/>
      <rgbColor rgb="0033CCCC"/>
      <rgbColor rgb="00008000"/>
      <rgbColor rgb="00800080"/>
      <rgbColor rgb="00FF6600"/>
      <rgbColor rgb="006666FF"/>
      <rgbColor rgb="0033CC33"/>
      <rgbColor rgb="00FFCC00"/>
      <rgbColor rgb="00D60047"/>
      <rgbColor rgb="0033CCCC"/>
      <rgbColor rgb="00008000"/>
      <rgbColor rgb="00800080"/>
      <rgbColor rgb="00FF66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BA95-E096-4720-90E5-A1EF31AB1311}">
  <dimension ref="A1:X366"/>
  <sheetViews>
    <sheetView showGridLines="0" tabSelected="1" zoomScaleNormal="100" workbookViewId="0">
      <selection activeCell="A2" sqref="A2"/>
    </sheetView>
  </sheetViews>
  <sheetFormatPr defaultColWidth="8.83203125" defaultRowHeight="12.75" x14ac:dyDescent="0.2"/>
  <cols>
    <col min="1" max="4" width="3.33203125" style="3" customWidth="1"/>
    <col min="5" max="23" width="12.6640625" style="3" customWidth="1"/>
    <col min="24" max="24" width="3.6640625" style="3" customWidth="1"/>
    <col min="25" max="16384" width="8.83203125" style="3"/>
  </cols>
  <sheetData>
    <row r="1" spans="1:24" ht="27" thickBot="1" x14ac:dyDescent="0.45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.5" thickTop="1" x14ac:dyDescent="0.25">
      <c r="A2" s="4"/>
    </row>
    <row r="3" spans="1:24" x14ac:dyDescent="0.2">
      <c r="A3" s="3" t="s">
        <v>184</v>
      </c>
    </row>
    <row r="4" spans="1:24" x14ac:dyDescent="0.2">
      <c r="A4" s="5" t="s">
        <v>35</v>
      </c>
      <c r="B4" s="6" t="s">
        <v>36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">
      <c r="B5" s="8" t="s">
        <v>37</v>
      </c>
    </row>
    <row r="7" spans="1:24" x14ac:dyDescent="0.2">
      <c r="B7" s="6" t="s">
        <v>38</v>
      </c>
      <c r="C7" s="6"/>
      <c r="D7" s="6"/>
      <c r="E7" s="6"/>
      <c r="F7" s="6"/>
      <c r="G7" s="6"/>
      <c r="H7" s="6"/>
      <c r="J7" s="6" t="s">
        <v>36</v>
      </c>
      <c r="K7" s="6"/>
      <c r="L7" s="6"/>
      <c r="M7" s="6"/>
      <c r="O7" s="6" t="s">
        <v>66</v>
      </c>
      <c r="P7" s="6"/>
      <c r="Q7" s="6"/>
      <c r="R7" s="6"/>
      <c r="S7" s="6"/>
      <c r="T7" s="6"/>
      <c r="U7" s="6"/>
      <c r="V7" s="6"/>
      <c r="W7" s="6"/>
    </row>
    <row r="8" spans="1:24" x14ac:dyDescent="0.2">
      <c r="S8" s="25" t="s">
        <v>69</v>
      </c>
      <c r="T8" s="25" t="s">
        <v>69</v>
      </c>
      <c r="U8" s="25" t="s">
        <v>71</v>
      </c>
      <c r="V8" s="25"/>
      <c r="W8" s="25" t="s">
        <v>73</v>
      </c>
    </row>
    <row r="9" spans="1:24" x14ac:dyDescent="0.2">
      <c r="B9" s="10" t="s">
        <v>32</v>
      </c>
      <c r="C9" s="11"/>
      <c r="D9" s="11"/>
      <c r="E9" s="11"/>
      <c r="F9" s="12"/>
      <c r="G9" s="13" t="s">
        <v>39</v>
      </c>
      <c r="H9" s="13" t="s">
        <v>40</v>
      </c>
      <c r="J9" s="19" t="s">
        <v>53</v>
      </c>
      <c r="K9" s="19"/>
      <c r="L9" s="19"/>
      <c r="M9" s="82">
        <f>+I50</f>
        <v>90</v>
      </c>
      <c r="Q9" s="13" t="s">
        <v>13</v>
      </c>
      <c r="R9" s="13" t="s">
        <v>68</v>
      </c>
      <c r="S9" s="13" t="s">
        <v>70</v>
      </c>
      <c r="T9" s="13" t="s">
        <v>29</v>
      </c>
      <c r="U9" s="13" t="s">
        <v>72</v>
      </c>
      <c r="V9" s="13" t="s">
        <v>12</v>
      </c>
      <c r="W9" s="13" t="s">
        <v>27</v>
      </c>
    </row>
    <row r="10" spans="1:24" x14ac:dyDescent="0.2">
      <c r="B10" s="15" t="s">
        <v>41</v>
      </c>
      <c r="C10" s="15"/>
      <c r="D10" s="15"/>
      <c r="E10" s="15"/>
      <c r="F10" s="15"/>
      <c r="G10" s="81">
        <v>0</v>
      </c>
      <c r="H10" s="77">
        <f>IFERROR(G10/G$17,0)</f>
        <v>0</v>
      </c>
      <c r="J10" s="3" t="s">
        <v>54</v>
      </c>
      <c r="M10" s="83">
        <v>9</v>
      </c>
      <c r="O10" s="19" t="s">
        <v>21</v>
      </c>
      <c r="P10" s="19"/>
      <c r="Q10" s="26" t="s">
        <v>67</v>
      </c>
      <c r="R10" s="31">
        <v>5</v>
      </c>
      <c r="S10" s="34">
        <v>1</v>
      </c>
      <c r="T10" s="39">
        <v>0.02</v>
      </c>
      <c r="U10" s="26" t="s">
        <v>67</v>
      </c>
      <c r="V10" s="26" t="s">
        <v>67</v>
      </c>
      <c r="W10" s="45">
        <v>5.0000000000000001E-3</v>
      </c>
    </row>
    <row r="11" spans="1:24" x14ac:dyDescent="0.2">
      <c r="B11" s="16" t="s">
        <v>42</v>
      </c>
      <c r="C11" s="16"/>
      <c r="D11" s="16"/>
      <c r="E11" s="16"/>
      <c r="F11" s="16"/>
      <c r="G11" s="74">
        <v>0</v>
      </c>
      <c r="H11" s="78">
        <f t="shared" ref="H11:H17" si="0">IFERROR(G11/G$17,0)</f>
        <v>0</v>
      </c>
      <c r="J11" s="9" t="s">
        <v>55</v>
      </c>
      <c r="K11" s="14"/>
      <c r="L11" s="14"/>
      <c r="M11" s="51">
        <f>+M9*M10</f>
        <v>810</v>
      </c>
      <c r="O11" s="16" t="s">
        <v>20</v>
      </c>
      <c r="P11" s="16"/>
      <c r="Q11" s="32">
        <v>3</v>
      </c>
      <c r="R11" s="29">
        <v>6</v>
      </c>
      <c r="S11" s="35">
        <v>1</v>
      </c>
      <c r="T11" s="40">
        <v>0.03</v>
      </c>
      <c r="U11" s="43">
        <v>0.01</v>
      </c>
      <c r="V11" s="28" t="s">
        <v>67</v>
      </c>
      <c r="W11" s="46">
        <v>1.2500000000000001E-2</v>
      </c>
    </row>
    <row r="12" spans="1:24" x14ac:dyDescent="0.2">
      <c r="B12" s="16" t="s">
        <v>20</v>
      </c>
      <c r="C12" s="16"/>
      <c r="D12" s="16"/>
      <c r="E12" s="16"/>
      <c r="F12" s="16"/>
      <c r="G12" s="72">
        <f>+Q23</f>
        <v>275</v>
      </c>
      <c r="H12" s="78">
        <f t="shared" si="0"/>
        <v>0.32897196261682243</v>
      </c>
      <c r="J12" s="21" t="s">
        <v>56</v>
      </c>
      <c r="K12" s="19"/>
      <c r="L12" s="19"/>
      <c r="M12" s="84">
        <f>+G21</f>
        <v>0</v>
      </c>
      <c r="O12" s="16" t="s">
        <v>43</v>
      </c>
      <c r="P12" s="16"/>
      <c r="Q12" s="32">
        <v>2.5</v>
      </c>
      <c r="R12" s="29">
        <v>8</v>
      </c>
      <c r="S12" s="35">
        <v>0</v>
      </c>
      <c r="T12" s="41">
        <v>7.0000000000000007E-2</v>
      </c>
      <c r="U12" s="43">
        <v>0</v>
      </c>
      <c r="V12" s="29">
        <v>0</v>
      </c>
      <c r="W12" s="46">
        <v>0.02</v>
      </c>
    </row>
    <row r="13" spans="1:24" x14ac:dyDescent="0.2">
      <c r="B13" s="16" t="s">
        <v>43</v>
      </c>
      <c r="C13" s="16"/>
      <c r="D13" s="16"/>
      <c r="E13" s="16"/>
      <c r="F13" s="16"/>
      <c r="G13" s="72">
        <f>+Q25</f>
        <v>225</v>
      </c>
      <c r="H13" s="78">
        <f t="shared" si="0"/>
        <v>0.2691588785046729</v>
      </c>
      <c r="J13" s="20" t="s">
        <v>57</v>
      </c>
      <c r="M13" s="49">
        <f>+G10</f>
        <v>0</v>
      </c>
      <c r="O13" s="17" t="s">
        <v>44</v>
      </c>
      <c r="P13" s="17"/>
      <c r="Q13" s="33">
        <v>1</v>
      </c>
      <c r="R13" s="30">
        <v>10</v>
      </c>
      <c r="S13" s="36">
        <v>0</v>
      </c>
      <c r="T13" s="42">
        <v>8.5000000000000006E-2</v>
      </c>
      <c r="U13" s="44">
        <v>0</v>
      </c>
      <c r="V13" s="30">
        <v>3</v>
      </c>
      <c r="W13" s="47">
        <v>2.5000000000000001E-2</v>
      </c>
    </row>
    <row r="14" spans="1:24" x14ac:dyDescent="0.2">
      <c r="B14" s="16" t="s">
        <v>44</v>
      </c>
      <c r="C14" s="16"/>
      <c r="D14" s="16"/>
      <c r="E14" s="16"/>
      <c r="F14" s="16"/>
      <c r="G14" s="72">
        <f>+Q27</f>
        <v>100</v>
      </c>
      <c r="H14" s="78">
        <f t="shared" si="0"/>
        <v>0.11962616822429907</v>
      </c>
      <c r="J14" s="9" t="s">
        <v>19</v>
      </c>
      <c r="K14" s="14"/>
      <c r="L14" s="14"/>
      <c r="M14" s="51">
        <f>+M11-M12+M13</f>
        <v>810</v>
      </c>
    </row>
    <row r="15" spans="1:24" x14ac:dyDescent="0.2">
      <c r="B15" s="16" t="s">
        <v>45</v>
      </c>
      <c r="C15" s="16"/>
      <c r="D15" s="16"/>
      <c r="E15" s="16"/>
      <c r="F15" s="16"/>
      <c r="G15" s="72">
        <f>+M18</f>
        <v>81</v>
      </c>
      <c r="H15" s="78">
        <f t="shared" si="0"/>
        <v>9.6897196261682236E-2</v>
      </c>
      <c r="O15" s="19" t="s">
        <v>74</v>
      </c>
      <c r="P15" s="19"/>
      <c r="Q15" s="37">
        <v>100</v>
      </c>
    </row>
    <row r="16" spans="1:24" x14ac:dyDescent="0.2">
      <c r="B16" s="17" t="s">
        <v>25</v>
      </c>
      <c r="C16" s="17"/>
      <c r="D16" s="17"/>
      <c r="E16" s="17"/>
      <c r="F16" s="17"/>
      <c r="G16" s="73">
        <f>+G26-SUM(G12:G15)</f>
        <v>154.9375</v>
      </c>
      <c r="H16" s="79">
        <f t="shared" si="0"/>
        <v>0.18534579439252336</v>
      </c>
      <c r="J16" s="22" t="s">
        <v>58</v>
      </c>
      <c r="O16" s="3" t="s">
        <v>75</v>
      </c>
      <c r="Q16" s="38">
        <v>3.5000000000000001E-3</v>
      </c>
    </row>
    <row r="17" spans="1:20" x14ac:dyDescent="0.2">
      <c r="B17" s="9" t="s">
        <v>46</v>
      </c>
      <c r="C17" s="9"/>
      <c r="D17" s="9"/>
      <c r="E17" s="9"/>
      <c r="F17" s="9"/>
      <c r="G17" s="51">
        <f>SUM(G10:G16)</f>
        <v>835.9375</v>
      </c>
      <c r="H17" s="80">
        <f t="shared" si="0"/>
        <v>1</v>
      </c>
      <c r="J17" s="19" t="s">
        <v>59</v>
      </c>
      <c r="K17" s="19"/>
      <c r="L17" s="19"/>
      <c r="M17" s="65">
        <v>0.1</v>
      </c>
    </row>
    <row r="18" spans="1:20" x14ac:dyDescent="0.2">
      <c r="J18" s="3" t="s">
        <v>60</v>
      </c>
      <c r="M18" s="49">
        <f>+M14*M17</f>
        <v>81</v>
      </c>
    </row>
    <row r="19" spans="1:20" x14ac:dyDescent="0.2">
      <c r="B19" s="10" t="s">
        <v>30</v>
      </c>
      <c r="C19" s="11"/>
      <c r="D19" s="11"/>
      <c r="E19" s="11"/>
      <c r="F19" s="12"/>
      <c r="G19" s="13" t="s">
        <v>39</v>
      </c>
      <c r="H19" s="13" t="s">
        <v>40</v>
      </c>
      <c r="O19" s="6" t="s">
        <v>76</v>
      </c>
      <c r="P19" s="6"/>
      <c r="Q19" s="6"/>
      <c r="R19" s="6"/>
      <c r="S19" s="6"/>
      <c r="T19" s="6"/>
    </row>
    <row r="20" spans="1:20" x14ac:dyDescent="0.2">
      <c r="B20" s="15" t="s">
        <v>26</v>
      </c>
      <c r="C20" s="15"/>
      <c r="D20" s="15"/>
      <c r="E20" s="15"/>
      <c r="F20" s="15"/>
      <c r="G20" s="75">
        <f>+M14</f>
        <v>810</v>
      </c>
      <c r="H20" s="77">
        <f>IFERROR(G20/G$26,0)</f>
        <v>0.96897196261682239</v>
      </c>
      <c r="K20" s="3" t="s">
        <v>184</v>
      </c>
    </row>
    <row r="21" spans="1:20" x14ac:dyDescent="0.2">
      <c r="B21" s="16" t="s">
        <v>47</v>
      </c>
      <c r="C21" s="16"/>
      <c r="D21" s="16"/>
      <c r="E21" s="16"/>
      <c r="F21" s="16"/>
      <c r="G21" s="74">
        <v>0</v>
      </c>
      <c r="H21" s="78">
        <f t="shared" ref="H21:H26" si="1">IFERROR(G21/G$26,0)</f>
        <v>0</v>
      </c>
      <c r="J21" s="6" t="s">
        <v>61</v>
      </c>
      <c r="K21" s="6"/>
      <c r="L21" s="6"/>
      <c r="M21" s="6"/>
      <c r="Q21" s="48" t="s">
        <v>39</v>
      </c>
      <c r="R21" s="48" t="s">
        <v>13</v>
      </c>
      <c r="T21" s="48" t="s">
        <v>81</v>
      </c>
    </row>
    <row r="22" spans="1:20" x14ac:dyDescent="0.2">
      <c r="A22" s="3" t="s">
        <v>184</v>
      </c>
      <c r="B22" s="16" t="s">
        <v>51</v>
      </c>
      <c r="C22" s="16"/>
      <c r="D22" s="16"/>
      <c r="E22" s="16"/>
      <c r="F22" s="16"/>
      <c r="G22" s="74">
        <v>0</v>
      </c>
      <c r="H22" s="78">
        <f t="shared" si="1"/>
        <v>0</v>
      </c>
      <c r="O22" s="3" t="s">
        <v>21</v>
      </c>
      <c r="Q22" s="49">
        <f>+G11</f>
        <v>0</v>
      </c>
      <c r="T22" s="49">
        <f>+Q15*W10</f>
        <v>0.5</v>
      </c>
    </row>
    <row r="23" spans="1:20" x14ac:dyDescent="0.2">
      <c r="B23" s="16" t="s">
        <v>48</v>
      </c>
      <c r="C23" s="16"/>
      <c r="D23" s="16"/>
      <c r="E23" s="16"/>
      <c r="F23" s="16"/>
      <c r="G23" s="74">
        <v>0</v>
      </c>
      <c r="H23" s="78">
        <f t="shared" si="1"/>
        <v>0</v>
      </c>
      <c r="J23" s="19" t="s">
        <v>62</v>
      </c>
      <c r="K23" s="19"/>
      <c r="L23" s="19"/>
      <c r="M23" s="82">
        <f>+M14</f>
        <v>810</v>
      </c>
      <c r="O23" s="3" t="s">
        <v>20</v>
      </c>
      <c r="Q23" s="50">
        <f>+MROUND(Q11*I50,H33)</f>
        <v>275</v>
      </c>
      <c r="R23" s="130">
        <f>IFERROR(Q23/$M$9,0)</f>
        <v>3.0555555555555554</v>
      </c>
      <c r="T23" s="50">
        <f>+Q23*W11</f>
        <v>3.4375</v>
      </c>
    </row>
    <row r="24" spans="1:20" x14ac:dyDescent="0.2">
      <c r="B24" s="16" t="s">
        <v>49</v>
      </c>
      <c r="C24" s="16"/>
      <c r="D24" s="16"/>
      <c r="E24" s="16"/>
      <c r="F24" s="16"/>
      <c r="G24" s="72">
        <f>+H34</f>
        <v>15</v>
      </c>
      <c r="H24" s="78">
        <f t="shared" si="1"/>
        <v>1.794392523364486E-2</v>
      </c>
      <c r="J24" s="23" t="s">
        <v>65</v>
      </c>
      <c r="K24" s="16"/>
      <c r="L24" s="16"/>
      <c r="M24" s="72">
        <f>+H127-H125</f>
        <v>231</v>
      </c>
      <c r="O24" s="9" t="s">
        <v>77</v>
      </c>
      <c r="P24" s="9"/>
      <c r="Q24" s="51">
        <f>+SUM(Q23)</f>
        <v>275</v>
      </c>
      <c r="R24" s="131">
        <f t="shared" ref="R24:R28" si="2">IFERROR(Q24/$M$9,0)</f>
        <v>3.0555555555555554</v>
      </c>
      <c r="S24" s="9"/>
      <c r="T24" s="51"/>
    </row>
    <row r="25" spans="1:20" x14ac:dyDescent="0.2">
      <c r="B25" s="17" t="s">
        <v>31</v>
      </c>
      <c r="C25" s="17"/>
      <c r="D25" s="17"/>
      <c r="E25" s="17"/>
      <c r="F25" s="17"/>
      <c r="G25" s="73">
        <f>+T28</f>
        <v>10.9375</v>
      </c>
      <c r="H25" s="79">
        <f t="shared" si="1"/>
        <v>1.3084112149532711E-2</v>
      </c>
      <c r="J25" s="24" t="s">
        <v>64</v>
      </c>
      <c r="K25" s="17"/>
      <c r="L25" s="17"/>
      <c r="M25" s="73">
        <f>+H137</f>
        <v>91</v>
      </c>
      <c r="O25" s="3" t="s">
        <v>43</v>
      </c>
      <c r="Q25" s="50">
        <f>+MROUND(Q12*I50,H33)</f>
        <v>225</v>
      </c>
      <c r="R25" s="132">
        <f t="shared" si="2"/>
        <v>2.5</v>
      </c>
      <c r="T25" s="50">
        <f>+Q25*W12</f>
        <v>4.5</v>
      </c>
    </row>
    <row r="26" spans="1:20" x14ac:dyDescent="0.2">
      <c r="B26" s="9" t="s">
        <v>50</v>
      </c>
      <c r="C26" s="14"/>
      <c r="D26" s="14"/>
      <c r="E26" s="14"/>
      <c r="F26" s="14"/>
      <c r="G26" s="51">
        <f>SUM(G20:G25)</f>
        <v>835.9375</v>
      </c>
      <c r="H26" s="80">
        <f t="shared" si="1"/>
        <v>1</v>
      </c>
      <c r="J26" s="9" t="s">
        <v>63</v>
      </c>
      <c r="K26" s="9"/>
      <c r="L26" s="9"/>
      <c r="M26" s="51">
        <f>+M23-M24+M25</f>
        <v>670</v>
      </c>
      <c r="O26" s="9" t="s">
        <v>78</v>
      </c>
      <c r="P26" s="9"/>
      <c r="Q26" s="51">
        <f>+SUM(Q25)</f>
        <v>225</v>
      </c>
      <c r="R26" s="131">
        <f t="shared" si="2"/>
        <v>2.5</v>
      </c>
      <c r="S26" s="9"/>
      <c r="T26" s="51"/>
    </row>
    <row r="27" spans="1:20" x14ac:dyDescent="0.2">
      <c r="B27" s="3" t="s">
        <v>52</v>
      </c>
      <c r="G27" s="89" t="b">
        <f>ROUND(G26,3)=ROUND(G17,3)</f>
        <v>1</v>
      </c>
      <c r="O27" s="3" t="s">
        <v>44</v>
      </c>
      <c r="Q27" s="50">
        <f>+MROUND(Q13*I50,H33)</f>
        <v>100</v>
      </c>
      <c r="R27" s="132">
        <f t="shared" si="2"/>
        <v>1.1111111111111112</v>
      </c>
      <c r="T27" s="50">
        <f>+Q27*W13</f>
        <v>2.5</v>
      </c>
    </row>
    <row r="28" spans="1:20" x14ac:dyDescent="0.2">
      <c r="O28" s="9" t="s">
        <v>80</v>
      </c>
      <c r="P28" s="9"/>
      <c r="Q28" s="51">
        <f>+Q24+Q26+Q27</f>
        <v>600</v>
      </c>
      <c r="R28" s="131">
        <f t="shared" si="2"/>
        <v>6.666666666666667</v>
      </c>
      <c r="S28" s="9"/>
      <c r="T28" s="51">
        <f>SUM(T22:T27)</f>
        <v>10.9375</v>
      </c>
    </row>
    <row r="30" spans="1:20" x14ac:dyDescent="0.2">
      <c r="B30" s="6" t="s">
        <v>79</v>
      </c>
      <c r="C30" s="6"/>
      <c r="D30" s="6"/>
      <c r="E30" s="6"/>
      <c r="F30" s="6"/>
      <c r="G30" s="6"/>
      <c r="H30" s="6"/>
      <c r="J30" s="6" t="s">
        <v>181</v>
      </c>
      <c r="K30" s="6"/>
      <c r="L30" s="6"/>
      <c r="M30" s="6"/>
    </row>
    <row r="32" spans="1:20" x14ac:dyDescent="0.2">
      <c r="B32" s="19" t="s">
        <v>2</v>
      </c>
      <c r="C32" s="19"/>
      <c r="D32" s="19"/>
      <c r="E32" s="19"/>
      <c r="F32" s="19"/>
      <c r="G32" s="19"/>
      <c r="H32" s="27">
        <v>5</v>
      </c>
      <c r="J32" s="11" t="s">
        <v>182</v>
      </c>
      <c r="K32" s="11"/>
      <c r="L32" s="11"/>
      <c r="M32" s="10" t="b">
        <f ca="1">COUNTIF(H141:Q141,FALSE) = 0</f>
        <v>1</v>
      </c>
    </row>
    <row r="33" spans="1:24" x14ac:dyDescent="0.2">
      <c r="B33" s="19" t="s">
        <v>163</v>
      </c>
      <c r="C33" s="19"/>
      <c r="D33" s="19"/>
      <c r="E33" s="19"/>
      <c r="F33" s="19"/>
      <c r="G33" s="19"/>
      <c r="H33" s="71">
        <v>25</v>
      </c>
      <c r="J33" s="3" t="s">
        <v>183</v>
      </c>
      <c r="M33" s="18" t="b">
        <f>G27</f>
        <v>1</v>
      </c>
    </row>
    <row r="34" spans="1:24" x14ac:dyDescent="0.2">
      <c r="B34" s="19" t="s">
        <v>49</v>
      </c>
      <c r="C34" s="19"/>
      <c r="D34" s="19"/>
      <c r="E34" s="19"/>
      <c r="F34" s="19"/>
      <c r="G34" s="19"/>
      <c r="H34" s="71">
        <v>15</v>
      </c>
    </row>
    <row r="35" spans="1:24" x14ac:dyDescent="0.2">
      <c r="B35" s="19" t="s">
        <v>82</v>
      </c>
      <c r="C35" s="19"/>
      <c r="D35" s="19"/>
      <c r="E35" s="19"/>
      <c r="F35" s="19"/>
      <c r="G35" s="19"/>
      <c r="H35" s="45">
        <v>2.5000000000000001E-3</v>
      </c>
    </row>
    <row r="36" spans="1:24" x14ac:dyDescent="0.2">
      <c r="B36" s="3" t="s">
        <v>83</v>
      </c>
      <c r="H36" s="52">
        <v>0.35</v>
      </c>
    </row>
    <row r="37" spans="1:24" ht="13.5" thickBot="1" x14ac:dyDescent="0.25"/>
    <row r="38" spans="1:24" ht="13.5" thickBot="1" x14ac:dyDescent="0.25">
      <c r="B38" s="3" t="s">
        <v>94</v>
      </c>
      <c r="H38" s="55">
        <v>1</v>
      </c>
    </row>
    <row r="42" spans="1:24" x14ac:dyDescent="0.2">
      <c r="A42" s="5" t="s">
        <v>35</v>
      </c>
      <c r="B42" s="6" t="s">
        <v>84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">
      <c r="B43" s="8" t="s">
        <v>37</v>
      </c>
    </row>
    <row r="45" spans="1:24" x14ac:dyDescent="0.2">
      <c r="B45" s="8" t="s">
        <v>88</v>
      </c>
      <c r="H45" s="53">
        <v>42369</v>
      </c>
      <c r="I45" s="53">
        <v>42735</v>
      </c>
      <c r="J45" s="54">
        <v>43100</v>
      </c>
      <c r="K45" s="54">
        <v>43465</v>
      </c>
      <c r="L45" s="54">
        <v>43830</v>
      </c>
      <c r="M45" s="54">
        <v>44196</v>
      </c>
      <c r="N45" s="54">
        <v>44561</v>
      </c>
      <c r="O45" s="54">
        <v>44926</v>
      </c>
      <c r="P45" s="54">
        <v>45291</v>
      </c>
      <c r="Q45" s="54">
        <v>45657</v>
      </c>
    </row>
    <row r="46" spans="1:24" ht="3" customHeight="1" x14ac:dyDescent="0.2"/>
    <row r="47" spans="1:24" s="18" customFormat="1" x14ac:dyDescent="0.2">
      <c r="B47" s="9" t="s">
        <v>15</v>
      </c>
      <c r="C47" s="9"/>
      <c r="D47" s="9"/>
      <c r="E47" s="9"/>
      <c r="F47" s="9"/>
      <c r="G47" s="9"/>
      <c r="H47" s="56">
        <v>327</v>
      </c>
      <c r="I47" s="56">
        <v>342</v>
      </c>
      <c r="J47" s="51">
        <f>+I47*(1+J69)</f>
        <v>359.1</v>
      </c>
      <c r="K47" s="51">
        <f t="shared" ref="K47:Q47" si="3">+J47*(1+K69)</f>
        <v>380.64600000000002</v>
      </c>
      <c r="L47" s="51">
        <f t="shared" si="3"/>
        <v>407.29122000000007</v>
      </c>
      <c r="M47" s="51">
        <f t="shared" si="3"/>
        <v>431.72869320000007</v>
      </c>
      <c r="N47" s="51">
        <f t="shared" si="3"/>
        <v>453.31512786000008</v>
      </c>
      <c r="O47" s="51">
        <f t="shared" si="3"/>
        <v>471.44773297440008</v>
      </c>
      <c r="P47" s="51">
        <f t="shared" si="3"/>
        <v>490.30564229337608</v>
      </c>
      <c r="Q47" s="51">
        <f t="shared" si="3"/>
        <v>509.91786798511112</v>
      </c>
    </row>
    <row r="48" spans="1:24" x14ac:dyDescent="0.2">
      <c r="C48" s="8" t="s">
        <v>89</v>
      </c>
      <c r="I48" s="57">
        <f>IFERROR(I47/H47-1,0)</f>
        <v>4.587155963302747E-2</v>
      </c>
      <c r="J48" s="57">
        <f t="shared" ref="J48:Q48" si="4">IFERROR(J47/I47-1,0)</f>
        <v>5.0000000000000044E-2</v>
      </c>
      <c r="K48" s="57">
        <f t="shared" si="4"/>
        <v>6.0000000000000053E-2</v>
      </c>
      <c r="L48" s="57">
        <f t="shared" si="4"/>
        <v>7.0000000000000062E-2</v>
      </c>
      <c r="M48" s="57">
        <f t="shared" si="4"/>
        <v>6.0000000000000053E-2</v>
      </c>
      <c r="N48" s="57">
        <f t="shared" si="4"/>
        <v>5.0000000000000044E-2</v>
      </c>
      <c r="O48" s="57">
        <f t="shared" si="4"/>
        <v>4.0000000000000036E-2</v>
      </c>
      <c r="P48" s="57">
        <f t="shared" si="4"/>
        <v>4.0000000000000036E-2</v>
      </c>
      <c r="Q48" s="57">
        <f t="shared" si="4"/>
        <v>4.0000000000000036E-2</v>
      </c>
    </row>
    <row r="50" spans="2:17" s="18" customFormat="1" x14ac:dyDescent="0.2">
      <c r="B50" s="9" t="s">
        <v>90</v>
      </c>
      <c r="C50" s="9"/>
      <c r="D50" s="9"/>
      <c r="E50" s="9"/>
      <c r="F50" s="9"/>
      <c r="G50" s="9"/>
      <c r="H50" s="56">
        <v>85</v>
      </c>
      <c r="I50" s="56">
        <v>90</v>
      </c>
      <c r="J50" s="51">
        <f>+J47*J51</f>
        <v>94.5</v>
      </c>
      <c r="K50" s="51">
        <f t="shared" ref="K50:Q50" si="5">+K47*K51</f>
        <v>100.17</v>
      </c>
      <c r="L50" s="51">
        <f t="shared" si="5"/>
        <v>107.18190000000001</v>
      </c>
      <c r="M50" s="51">
        <f t="shared" si="5"/>
        <v>113.61281400000001</v>
      </c>
      <c r="N50" s="51">
        <f t="shared" si="5"/>
        <v>119.29345470000001</v>
      </c>
      <c r="O50" s="51">
        <f t="shared" si="5"/>
        <v>124.06519288800001</v>
      </c>
      <c r="P50" s="51">
        <f t="shared" si="5"/>
        <v>129.02780060352001</v>
      </c>
      <c r="Q50" s="51">
        <f t="shared" si="5"/>
        <v>134.18891262766081</v>
      </c>
    </row>
    <row r="51" spans="2:17" x14ac:dyDescent="0.2">
      <c r="C51" s="58" t="s">
        <v>17</v>
      </c>
      <c r="D51" s="19"/>
      <c r="E51" s="19"/>
      <c r="F51" s="19"/>
      <c r="G51" s="19"/>
      <c r="H51" s="59">
        <f>IFERROR(H50/H$47,0)</f>
        <v>0.25993883792048927</v>
      </c>
      <c r="I51" s="59">
        <f>IFERROR(I50/I$47,0)</f>
        <v>0.26315789473684209</v>
      </c>
      <c r="J51" s="59">
        <f>+J71</f>
        <v>0.26315789473684209</v>
      </c>
      <c r="K51" s="59">
        <f t="shared" ref="K51:Q51" si="6">+K71</f>
        <v>0.26315789473684209</v>
      </c>
      <c r="L51" s="59">
        <f t="shared" si="6"/>
        <v>0.26315789473684209</v>
      </c>
      <c r="M51" s="59">
        <f t="shared" si="6"/>
        <v>0.26315789473684209</v>
      </c>
      <c r="N51" s="59">
        <f t="shared" si="6"/>
        <v>0.26315789473684209</v>
      </c>
      <c r="O51" s="59">
        <f t="shared" si="6"/>
        <v>0.26315789473684209</v>
      </c>
      <c r="P51" s="59">
        <f t="shared" si="6"/>
        <v>0.26315789473684209</v>
      </c>
      <c r="Q51" s="59">
        <f t="shared" si="6"/>
        <v>0.26315789473684209</v>
      </c>
    </row>
    <row r="52" spans="2:17" x14ac:dyDescent="0.2">
      <c r="C52" s="8" t="s">
        <v>89</v>
      </c>
      <c r="I52" s="57">
        <f>IFERROR(I50/H50-1,0)</f>
        <v>5.8823529411764719E-2</v>
      </c>
      <c r="J52" s="57">
        <f t="shared" ref="J52:Q52" si="7">IFERROR(J50/I50-1,0)</f>
        <v>5.0000000000000044E-2</v>
      </c>
      <c r="K52" s="57">
        <f t="shared" si="7"/>
        <v>6.0000000000000053E-2</v>
      </c>
      <c r="L52" s="57">
        <f t="shared" si="7"/>
        <v>7.0000000000000062E-2</v>
      </c>
      <c r="M52" s="57">
        <f t="shared" si="7"/>
        <v>6.0000000000000053E-2</v>
      </c>
      <c r="N52" s="57">
        <f t="shared" si="7"/>
        <v>5.0000000000000044E-2</v>
      </c>
      <c r="O52" s="57">
        <f t="shared" si="7"/>
        <v>4.0000000000000036E-2</v>
      </c>
      <c r="P52" s="57">
        <f t="shared" si="7"/>
        <v>4.0000000000000036E-2</v>
      </c>
      <c r="Q52" s="57">
        <f t="shared" si="7"/>
        <v>4.0000000000000036E-2</v>
      </c>
    </row>
    <row r="54" spans="2:17" x14ac:dyDescent="0.2">
      <c r="B54" s="20" t="s">
        <v>91</v>
      </c>
      <c r="H54" s="60">
        <v>-15</v>
      </c>
      <c r="I54" s="60">
        <v>-17</v>
      </c>
      <c r="J54" s="49">
        <f>+J47*J56</f>
        <v>17.850000000000001</v>
      </c>
      <c r="K54" s="49">
        <f t="shared" ref="K54:Q54" si="8">+K47*K56</f>
        <v>18.920999999999999</v>
      </c>
      <c r="L54" s="49">
        <f t="shared" si="8"/>
        <v>20.245470000000001</v>
      </c>
      <c r="M54" s="49">
        <f t="shared" si="8"/>
        <v>21.460198200000001</v>
      </c>
      <c r="N54" s="49">
        <f t="shared" si="8"/>
        <v>22.533208110000004</v>
      </c>
      <c r="O54" s="49">
        <f t="shared" si="8"/>
        <v>23.434536434400002</v>
      </c>
      <c r="P54" s="49">
        <f t="shared" si="8"/>
        <v>24.371917891776004</v>
      </c>
      <c r="Q54" s="49">
        <f t="shared" si="8"/>
        <v>25.346794607447041</v>
      </c>
    </row>
    <row r="55" spans="2:17" s="18" customFormat="1" x14ac:dyDescent="0.2">
      <c r="B55" s="9" t="s">
        <v>92</v>
      </c>
      <c r="C55" s="9"/>
      <c r="D55" s="9"/>
      <c r="E55" s="9"/>
      <c r="F55" s="9"/>
      <c r="G55" s="9"/>
      <c r="H55" s="51">
        <f>H54+H50</f>
        <v>70</v>
      </c>
      <c r="I55" s="51">
        <f>I54+I50</f>
        <v>73</v>
      </c>
      <c r="J55" s="51">
        <f>+J50-J54</f>
        <v>76.650000000000006</v>
      </c>
      <c r="K55" s="51">
        <f t="shared" ref="K55:Q55" si="9">+K50-K54</f>
        <v>81.248999999999995</v>
      </c>
      <c r="L55" s="51">
        <f t="shared" si="9"/>
        <v>86.936430000000016</v>
      </c>
      <c r="M55" s="51">
        <f t="shared" si="9"/>
        <v>92.152615800000007</v>
      </c>
      <c r="N55" s="51">
        <f t="shared" si="9"/>
        <v>96.760246590000008</v>
      </c>
      <c r="O55" s="51">
        <f t="shared" si="9"/>
        <v>100.63065645360001</v>
      </c>
      <c r="P55" s="51">
        <f t="shared" si="9"/>
        <v>104.655882711744</v>
      </c>
      <c r="Q55" s="51">
        <f t="shared" si="9"/>
        <v>108.84211802021377</v>
      </c>
    </row>
    <row r="56" spans="2:17" x14ac:dyDescent="0.2">
      <c r="C56" s="58" t="s">
        <v>17</v>
      </c>
      <c r="D56" s="19"/>
      <c r="E56" s="19"/>
      <c r="F56" s="19"/>
      <c r="G56" s="19"/>
      <c r="H56" s="59">
        <f>IFERROR(H55/H$47,0)</f>
        <v>0.21406727828746178</v>
      </c>
      <c r="I56" s="59">
        <f>IFERROR(I55/I$47,0)</f>
        <v>0.21345029239766081</v>
      </c>
      <c r="J56" s="59">
        <f>+J72</f>
        <v>4.9707602339181284E-2</v>
      </c>
      <c r="K56" s="59">
        <f t="shared" ref="K56:Q56" si="10">+K72</f>
        <v>4.9707602339181284E-2</v>
      </c>
      <c r="L56" s="59">
        <f t="shared" si="10"/>
        <v>4.9707602339181284E-2</v>
      </c>
      <c r="M56" s="59">
        <f t="shared" si="10"/>
        <v>4.9707602339181284E-2</v>
      </c>
      <c r="N56" s="59">
        <f t="shared" si="10"/>
        <v>4.9707602339181284E-2</v>
      </c>
      <c r="O56" s="59">
        <f t="shared" si="10"/>
        <v>4.9707602339181284E-2</v>
      </c>
      <c r="P56" s="59">
        <f t="shared" si="10"/>
        <v>4.9707602339181284E-2</v>
      </c>
      <c r="Q56" s="59">
        <f t="shared" si="10"/>
        <v>4.9707602339181284E-2</v>
      </c>
    </row>
    <row r="57" spans="2:17" x14ac:dyDescent="0.2">
      <c r="C57" s="8" t="s">
        <v>89</v>
      </c>
      <c r="I57" s="57">
        <f>IFERROR(I55/H55-1,0)</f>
        <v>4.2857142857142927E-2</v>
      </c>
      <c r="J57" s="57">
        <f t="shared" ref="J57:Q57" si="11">IFERROR(J55/I55-1,0)</f>
        <v>5.0000000000000044E-2</v>
      </c>
      <c r="K57" s="57">
        <f t="shared" si="11"/>
        <v>5.9999999999999831E-2</v>
      </c>
      <c r="L57" s="57">
        <f t="shared" si="11"/>
        <v>7.0000000000000284E-2</v>
      </c>
      <c r="M57" s="57">
        <f t="shared" si="11"/>
        <v>5.9999999999999831E-2</v>
      </c>
      <c r="N57" s="57">
        <f t="shared" si="11"/>
        <v>5.0000000000000044E-2</v>
      </c>
      <c r="O57" s="57">
        <f t="shared" si="11"/>
        <v>4.0000000000000036E-2</v>
      </c>
      <c r="P57" s="57">
        <f t="shared" si="11"/>
        <v>3.9999999999999813E-2</v>
      </c>
      <c r="Q57" s="57">
        <f t="shared" si="11"/>
        <v>4.0000000000000258E-2</v>
      </c>
    </row>
    <row r="58" spans="2:17" x14ac:dyDescent="0.2">
      <c r="C58" s="8"/>
    </row>
    <row r="59" spans="2:17" x14ac:dyDescent="0.2">
      <c r="B59" s="20" t="s">
        <v>93</v>
      </c>
      <c r="G59" s="119">
        <f>H38</f>
        <v>1</v>
      </c>
      <c r="J59" s="49">
        <f ca="1">+IF(circ=1,-J263,0)</f>
        <v>-35.432942727800111</v>
      </c>
      <c r="K59" s="49">
        <f ca="1">+IF(circ=1,-K263,0)</f>
        <v>-36.223622407864426</v>
      </c>
      <c r="L59" s="49">
        <f ca="1">+IF(circ=1,-L263,0)</f>
        <v>-36.13585215441551</v>
      </c>
      <c r="M59" s="49">
        <f ca="1">+IF(circ=1,-M263,0)</f>
        <v>-35.765747586628784</v>
      </c>
      <c r="N59" s="49">
        <f ca="1">+IF(circ=1,-N263,0)</f>
        <v>-34.194475993736525</v>
      </c>
      <c r="O59" s="49">
        <f ca="1">+IF(circ=1,-O263,0)</f>
        <v>-32.103608393646638</v>
      </c>
      <c r="P59" s="49">
        <f ca="1">+IF(circ=1,-P263,0)</f>
        <v>-28.723717981911108</v>
      </c>
      <c r="Q59" s="49">
        <f ca="1">+IF(circ=1,-Q263,0)</f>
        <v>-25.386410697617112</v>
      </c>
    </row>
    <row r="60" spans="2:17" s="18" customFormat="1" x14ac:dyDescent="0.2">
      <c r="B60" s="9" t="s">
        <v>95</v>
      </c>
      <c r="C60" s="9"/>
      <c r="D60" s="9"/>
      <c r="E60" s="9"/>
      <c r="F60" s="9"/>
      <c r="G60" s="9"/>
      <c r="H60" s="9"/>
      <c r="I60" s="9"/>
      <c r="J60" s="51">
        <f ca="1">+J55+J59</f>
        <v>41.217057272199895</v>
      </c>
      <c r="K60" s="51">
        <f t="shared" ref="K60:Q60" ca="1" si="12">+K55+K59</f>
        <v>45.02537759213557</v>
      </c>
      <c r="L60" s="51">
        <f t="shared" ca="1" si="12"/>
        <v>50.800577845584506</v>
      </c>
      <c r="M60" s="51">
        <f t="shared" ca="1" si="12"/>
        <v>56.386868213371223</v>
      </c>
      <c r="N60" s="51">
        <f t="shared" ca="1" si="12"/>
        <v>62.565770596263484</v>
      </c>
      <c r="O60" s="51">
        <f t="shared" ca="1" si="12"/>
        <v>68.527048059953373</v>
      </c>
      <c r="P60" s="51">
        <f t="shared" ca="1" si="12"/>
        <v>75.932164729832891</v>
      </c>
      <c r="Q60" s="51">
        <f t="shared" ca="1" si="12"/>
        <v>83.455707322596666</v>
      </c>
    </row>
    <row r="61" spans="2:17" x14ac:dyDescent="0.2">
      <c r="B61" s="20"/>
    </row>
    <row r="62" spans="2:17" x14ac:dyDescent="0.2">
      <c r="B62" s="20" t="s">
        <v>96</v>
      </c>
      <c r="J62" s="49">
        <f ca="1">+-J60*$H$36</f>
        <v>-14.425970045269962</v>
      </c>
      <c r="K62" s="49">
        <f t="shared" ref="K62:Q62" ca="1" si="13">+-K60*$H$36</f>
        <v>-15.758882157247449</v>
      </c>
      <c r="L62" s="49">
        <f t="shared" ca="1" si="13"/>
        <v>-17.780202245954577</v>
      </c>
      <c r="M62" s="49">
        <f t="shared" ca="1" si="13"/>
        <v>-19.735403874679928</v>
      </c>
      <c r="N62" s="49">
        <f t="shared" ca="1" si="13"/>
        <v>-21.898019708692217</v>
      </c>
      <c r="O62" s="49">
        <f t="shared" ca="1" si="13"/>
        <v>-23.98446682098368</v>
      </c>
      <c r="P62" s="49">
        <f t="shared" ca="1" si="13"/>
        <v>-26.576257655441509</v>
      </c>
      <c r="Q62" s="49">
        <f t="shared" ca="1" si="13"/>
        <v>-29.20949756290883</v>
      </c>
    </row>
    <row r="63" spans="2:17" s="18" customFormat="1" x14ac:dyDescent="0.2">
      <c r="B63" s="9" t="s">
        <v>97</v>
      </c>
      <c r="C63" s="9"/>
      <c r="D63" s="9"/>
      <c r="E63" s="9"/>
      <c r="F63" s="9"/>
      <c r="G63" s="9"/>
      <c r="H63" s="9"/>
      <c r="I63" s="9"/>
      <c r="J63" s="51">
        <f ca="1">+J60+J62</f>
        <v>26.791087226929932</v>
      </c>
      <c r="K63" s="51">
        <f t="shared" ref="K63:Q63" ca="1" si="14">+K60+K62</f>
        <v>29.266495434888121</v>
      </c>
      <c r="L63" s="51">
        <f t="shared" ca="1" si="14"/>
        <v>33.020375599629929</v>
      </c>
      <c r="M63" s="51">
        <f t="shared" ca="1" si="14"/>
        <v>36.651464338691298</v>
      </c>
      <c r="N63" s="51">
        <f t="shared" ca="1" si="14"/>
        <v>40.667750887571266</v>
      </c>
      <c r="O63" s="51">
        <f t="shared" ca="1" si="14"/>
        <v>44.542581238969689</v>
      </c>
      <c r="P63" s="51">
        <f t="shared" ca="1" si="14"/>
        <v>49.355907074391382</v>
      </c>
      <c r="Q63" s="51">
        <f t="shared" ca="1" si="14"/>
        <v>54.246209759687837</v>
      </c>
    </row>
    <row r="64" spans="2:17" x14ac:dyDescent="0.2">
      <c r="C64" s="58" t="s">
        <v>17</v>
      </c>
      <c r="D64" s="19"/>
      <c r="E64" s="19"/>
      <c r="F64" s="19"/>
      <c r="G64" s="19"/>
      <c r="H64" s="59">
        <f>IFERROR(H63/H$47,0)</f>
        <v>0</v>
      </c>
      <c r="I64" s="59">
        <f>IFERROR(I63/I$47,0)</f>
        <v>0</v>
      </c>
      <c r="J64" s="59">
        <f t="shared" ref="J64:Q64" ca="1" si="15">IFERROR(J63/J$47,0)</f>
        <v>7.4606202247089748E-2</v>
      </c>
      <c r="K64" s="59">
        <f t="shared" ca="1" si="15"/>
        <v>7.6886386392837749E-2</v>
      </c>
      <c r="L64" s="59">
        <f t="shared" ca="1" si="15"/>
        <v>8.1073133861392657E-2</v>
      </c>
      <c r="M64" s="59">
        <f t="shared" ca="1" si="15"/>
        <v>8.4894668610113341E-2</v>
      </c>
      <c r="N64" s="59">
        <f t="shared" ca="1" si="15"/>
        <v>8.9711876767834056E-2</v>
      </c>
      <c r="O64" s="59">
        <f t="shared" ca="1" si="15"/>
        <v>9.4480423010939327E-2</v>
      </c>
      <c r="P64" s="59">
        <f t="shared" ca="1" si="15"/>
        <v>0.10066355109342001</v>
      </c>
      <c r="Q64" s="59">
        <f t="shared" ca="1" si="15"/>
        <v>0.10638224931014136</v>
      </c>
    </row>
    <row r="65" spans="1:24" x14ac:dyDescent="0.2">
      <c r="C65" s="8" t="s">
        <v>89</v>
      </c>
      <c r="I65" s="57">
        <f>IFERROR(I63/H63-1,0)</f>
        <v>0</v>
      </c>
      <c r="J65" s="57">
        <f t="shared" ref="J65:Q65" ca="1" si="16">IFERROR(J63/I63-1,0)</f>
        <v>0</v>
      </c>
      <c r="K65" s="57">
        <f t="shared" ca="1" si="16"/>
        <v>9.2396705926512501E-2</v>
      </c>
      <c r="L65" s="57">
        <f t="shared" ca="1" si="16"/>
        <v>0.12826544856022859</v>
      </c>
      <c r="M65" s="57">
        <f t="shared" ca="1" si="16"/>
        <v>0.10996509497917595</v>
      </c>
      <c r="N65" s="57">
        <f t="shared" ca="1" si="16"/>
        <v>0.10958052076080782</v>
      </c>
      <c r="O65" s="57">
        <f t="shared" ca="1" si="16"/>
        <v>9.5280173278100566E-2</v>
      </c>
      <c r="P65" s="57">
        <f t="shared" ca="1" si="16"/>
        <v>0.10806122369959525</v>
      </c>
      <c r="Q65" s="57">
        <f t="shared" ca="1" si="16"/>
        <v>9.9082419413862199E-2</v>
      </c>
    </row>
    <row r="68" spans="1:24" x14ac:dyDescent="0.2">
      <c r="B68" s="22" t="s">
        <v>98</v>
      </c>
      <c r="J68" s="63"/>
    </row>
    <row r="69" spans="1:24" x14ac:dyDescent="0.2">
      <c r="B69" s="19" t="s">
        <v>101</v>
      </c>
      <c r="C69" s="19"/>
      <c r="D69" s="19"/>
      <c r="E69" s="19"/>
      <c r="F69" s="19"/>
      <c r="G69" s="19"/>
      <c r="H69" s="19"/>
      <c r="I69" s="61">
        <f>I48</f>
        <v>4.587155963302747E-2</v>
      </c>
      <c r="J69" s="65">
        <v>0.05</v>
      </c>
      <c r="K69" s="65">
        <v>0.06</v>
      </c>
      <c r="L69" s="65">
        <v>7.0000000000000007E-2</v>
      </c>
      <c r="M69" s="65">
        <v>0.06</v>
      </c>
      <c r="N69" s="65">
        <v>0.05</v>
      </c>
      <c r="O69" s="65">
        <v>0.04</v>
      </c>
      <c r="P69" s="61">
        <f t="shared" ref="P69:Q69" si="17">O69</f>
        <v>0.04</v>
      </c>
      <c r="Q69" s="61">
        <f t="shared" si="17"/>
        <v>0.04</v>
      </c>
    </row>
    <row r="70" spans="1:24" x14ac:dyDescent="0.2">
      <c r="B70" s="19" t="s">
        <v>137</v>
      </c>
      <c r="C70" s="19"/>
      <c r="D70" s="19"/>
      <c r="E70" s="19"/>
      <c r="F70" s="19"/>
      <c r="G70" s="19"/>
      <c r="H70" s="65">
        <v>0.4</v>
      </c>
      <c r="I70" s="65">
        <v>0.4</v>
      </c>
      <c r="J70" s="61">
        <f>I70</f>
        <v>0.4</v>
      </c>
      <c r="K70" s="61">
        <f t="shared" ref="K70:Q73" si="18">J70</f>
        <v>0.4</v>
      </c>
      <c r="L70" s="61">
        <f t="shared" si="18"/>
        <v>0.4</v>
      </c>
      <c r="M70" s="61">
        <f t="shared" si="18"/>
        <v>0.4</v>
      </c>
      <c r="N70" s="61">
        <f t="shared" si="18"/>
        <v>0.4</v>
      </c>
      <c r="O70" s="61">
        <f t="shared" si="18"/>
        <v>0.4</v>
      </c>
      <c r="P70" s="61">
        <f t="shared" si="18"/>
        <v>0.4</v>
      </c>
      <c r="Q70" s="61">
        <f t="shared" si="18"/>
        <v>0.4</v>
      </c>
    </row>
    <row r="71" spans="1:24" x14ac:dyDescent="0.2">
      <c r="B71" s="16" t="s">
        <v>100</v>
      </c>
      <c r="C71" s="16"/>
      <c r="D71" s="16"/>
      <c r="E71" s="16"/>
      <c r="F71" s="16"/>
      <c r="G71" s="16"/>
      <c r="H71" s="62">
        <f>H51</f>
        <v>0.25993883792048927</v>
      </c>
      <c r="I71" s="62">
        <f>I51</f>
        <v>0.26315789473684209</v>
      </c>
      <c r="J71" s="62">
        <f>I71</f>
        <v>0.26315789473684209</v>
      </c>
      <c r="K71" s="62">
        <f t="shared" si="18"/>
        <v>0.26315789473684209</v>
      </c>
      <c r="L71" s="62">
        <f t="shared" si="18"/>
        <v>0.26315789473684209</v>
      </c>
      <c r="M71" s="62">
        <f t="shared" si="18"/>
        <v>0.26315789473684209</v>
      </c>
      <c r="N71" s="62">
        <f t="shared" si="18"/>
        <v>0.26315789473684209</v>
      </c>
      <c r="O71" s="62">
        <f t="shared" si="18"/>
        <v>0.26315789473684209</v>
      </c>
      <c r="P71" s="62">
        <f t="shared" si="18"/>
        <v>0.26315789473684209</v>
      </c>
      <c r="Q71" s="62">
        <f t="shared" si="18"/>
        <v>0.26315789473684209</v>
      </c>
    </row>
    <row r="72" spans="1:24" x14ac:dyDescent="0.2">
      <c r="B72" s="16" t="s">
        <v>99</v>
      </c>
      <c r="C72" s="16"/>
      <c r="D72" s="16"/>
      <c r="E72" s="16"/>
      <c r="F72" s="16"/>
      <c r="G72" s="16"/>
      <c r="H72" s="62">
        <f>-H54/H47</f>
        <v>4.5871559633027525E-2</v>
      </c>
      <c r="I72" s="62">
        <f>-I54/I47</f>
        <v>4.9707602339181284E-2</v>
      </c>
      <c r="J72" s="62">
        <f>I72</f>
        <v>4.9707602339181284E-2</v>
      </c>
      <c r="K72" s="62">
        <f t="shared" si="18"/>
        <v>4.9707602339181284E-2</v>
      </c>
      <c r="L72" s="62">
        <f t="shared" si="18"/>
        <v>4.9707602339181284E-2</v>
      </c>
      <c r="M72" s="62">
        <f t="shared" si="18"/>
        <v>4.9707602339181284E-2</v>
      </c>
      <c r="N72" s="62">
        <f t="shared" si="18"/>
        <v>4.9707602339181284E-2</v>
      </c>
      <c r="O72" s="62">
        <f t="shared" si="18"/>
        <v>4.9707602339181284E-2</v>
      </c>
      <c r="P72" s="62">
        <f t="shared" si="18"/>
        <v>4.9707602339181284E-2</v>
      </c>
      <c r="Q72" s="62">
        <f t="shared" si="18"/>
        <v>4.9707602339181284E-2</v>
      </c>
    </row>
    <row r="73" spans="1:24" x14ac:dyDescent="0.2">
      <c r="B73" s="17" t="s">
        <v>102</v>
      </c>
      <c r="C73" s="17"/>
      <c r="D73" s="17"/>
      <c r="E73" s="17"/>
      <c r="F73" s="17"/>
      <c r="G73" s="17"/>
      <c r="H73" s="76">
        <f>-H155/H47</f>
        <v>5.1999999999999991E-2</v>
      </c>
      <c r="I73" s="76">
        <f>-I155/I47</f>
        <v>4.9707602339181284E-2</v>
      </c>
      <c r="J73" s="76">
        <f>I73</f>
        <v>4.9707602339181284E-2</v>
      </c>
      <c r="K73" s="76">
        <f t="shared" si="18"/>
        <v>4.9707602339181284E-2</v>
      </c>
      <c r="L73" s="76">
        <f t="shared" si="18"/>
        <v>4.9707602339181284E-2</v>
      </c>
      <c r="M73" s="76">
        <f t="shared" si="18"/>
        <v>4.9707602339181284E-2</v>
      </c>
      <c r="N73" s="76">
        <f t="shared" si="18"/>
        <v>4.9707602339181284E-2</v>
      </c>
      <c r="O73" s="76">
        <f t="shared" si="18"/>
        <v>4.9707602339181284E-2</v>
      </c>
      <c r="P73" s="76">
        <f t="shared" si="18"/>
        <v>4.9707602339181284E-2</v>
      </c>
      <c r="Q73" s="76">
        <f t="shared" si="18"/>
        <v>4.9707602339181284E-2</v>
      </c>
    </row>
    <row r="74" spans="1:24" x14ac:dyDescent="0.2">
      <c r="H74" s="63"/>
      <c r="I74" s="63"/>
    </row>
    <row r="75" spans="1:24" x14ac:dyDescent="0.2">
      <c r="H75" s="63"/>
      <c r="I75" s="63"/>
    </row>
    <row r="76" spans="1:24" x14ac:dyDescent="0.2">
      <c r="H76" s="63"/>
      <c r="I76" s="63"/>
    </row>
    <row r="77" spans="1:24" x14ac:dyDescent="0.2">
      <c r="A77" s="5" t="s">
        <v>35</v>
      </c>
      <c r="B77" s="6" t="s">
        <v>185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x14ac:dyDescent="0.2">
      <c r="B78" s="8" t="s">
        <v>37</v>
      </c>
    </row>
    <row r="80" spans="1:24" x14ac:dyDescent="0.2">
      <c r="B80" s="8" t="s">
        <v>88</v>
      </c>
      <c r="I80" s="53">
        <v>42735</v>
      </c>
      <c r="J80" s="54">
        <v>43100</v>
      </c>
      <c r="K80" s="54">
        <v>43465</v>
      </c>
      <c r="L80" s="54">
        <v>43830</v>
      </c>
      <c r="M80" s="54">
        <v>44196</v>
      </c>
      <c r="N80" s="54">
        <v>44561</v>
      </c>
      <c r="O80" s="54">
        <v>44926</v>
      </c>
      <c r="P80" s="54">
        <v>45291</v>
      </c>
      <c r="Q80" s="54">
        <v>45657</v>
      </c>
    </row>
    <row r="81" spans="2:17" ht="3" customHeight="1" x14ac:dyDescent="0.2"/>
    <row r="83" spans="2:17" x14ac:dyDescent="0.2">
      <c r="B83" s="22" t="s">
        <v>98</v>
      </c>
    </row>
    <row r="84" spans="2:17" x14ac:dyDescent="0.2">
      <c r="B84" s="19" t="s">
        <v>138</v>
      </c>
      <c r="C84" s="19"/>
      <c r="D84" s="19"/>
      <c r="E84" s="19"/>
      <c r="F84" s="19"/>
      <c r="G84" s="19"/>
      <c r="H84" s="82"/>
      <c r="I84" s="82">
        <f>+I47</f>
        <v>342</v>
      </c>
      <c r="J84" s="82">
        <f t="shared" ref="J84:Q84" si="19">+J47</f>
        <v>359.1</v>
      </c>
      <c r="K84" s="82">
        <f t="shared" si="19"/>
        <v>380.64600000000002</v>
      </c>
      <c r="L84" s="82">
        <f t="shared" si="19"/>
        <v>407.29122000000007</v>
      </c>
      <c r="M84" s="82">
        <f t="shared" si="19"/>
        <v>431.72869320000007</v>
      </c>
      <c r="N84" s="82">
        <f t="shared" si="19"/>
        <v>453.31512786000008</v>
      </c>
      <c r="O84" s="82">
        <f t="shared" si="19"/>
        <v>471.44773297440008</v>
      </c>
      <c r="P84" s="82">
        <f t="shared" si="19"/>
        <v>490.30564229337608</v>
      </c>
      <c r="Q84" s="82">
        <f t="shared" si="19"/>
        <v>509.91786798511112</v>
      </c>
    </row>
    <row r="85" spans="2:17" x14ac:dyDescent="0.2">
      <c r="B85" s="17" t="s">
        <v>139</v>
      </c>
      <c r="C85" s="17"/>
      <c r="D85" s="17"/>
      <c r="E85" s="17"/>
      <c r="F85" s="17"/>
      <c r="G85" s="17"/>
      <c r="H85" s="85"/>
      <c r="I85" s="85">
        <f>+I47*I70</f>
        <v>136.80000000000001</v>
      </c>
      <c r="J85" s="85">
        <f t="shared" ref="J85:Q85" si="20">+J47*J70</f>
        <v>143.64000000000001</v>
      </c>
      <c r="K85" s="85">
        <f t="shared" si="20"/>
        <v>152.25840000000002</v>
      </c>
      <c r="L85" s="85">
        <f t="shared" si="20"/>
        <v>162.91648800000004</v>
      </c>
      <c r="M85" s="85">
        <f t="shared" si="20"/>
        <v>172.69147728000004</v>
      </c>
      <c r="N85" s="85">
        <f t="shared" si="20"/>
        <v>181.32605114400005</v>
      </c>
      <c r="O85" s="85">
        <f t="shared" si="20"/>
        <v>188.57909318976004</v>
      </c>
      <c r="P85" s="85">
        <f t="shared" si="20"/>
        <v>196.12225691735046</v>
      </c>
      <c r="Q85" s="85">
        <f t="shared" si="20"/>
        <v>203.96714719404446</v>
      </c>
    </row>
    <row r="86" spans="2:17" x14ac:dyDescent="0.2">
      <c r="B86" s="22"/>
      <c r="F86" s="94" t="s">
        <v>164</v>
      </c>
      <c r="H86" s="63"/>
    </row>
    <row r="87" spans="2:17" x14ac:dyDescent="0.2">
      <c r="B87" s="22" t="s">
        <v>141</v>
      </c>
      <c r="F87" s="95">
        <v>360</v>
      </c>
    </row>
    <row r="88" spans="2:17" x14ac:dyDescent="0.2">
      <c r="B88" s="19" t="s">
        <v>114</v>
      </c>
      <c r="C88" s="19"/>
      <c r="D88" s="19"/>
      <c r="E88" s="19"/>
      <c r="F88" s="19"/>
      <c r="G88" s="19"/>
      <c r="H88" s="19"/>
      <c r="I88" s="90">
        <f>+(I98/I84)*$F$87</f>
        <v>94.73684210526315</v>
      </c>
      <c r="J88" s="90">
        <v>94.73684210526315</v>
      </c>
      <c r="K88" s="90">
        <v>94.73684210526315</v>
      </c>
      <c r="L88" s="90">
        <v>94.73684210526315</v>
      </c>
      <c r="M88" s="90">
        <v>94.73684210526315</v>
      </c>
      <c r="N88" s="90">
        <v>94.73684210526315</v>
      </c>
      <c r="O88" s="90">
        <v>94.73684210526315</v>
      </c>
      <c r="P88" s="90">
        <v>94.73684210526315</v>
      </c>
      <c r="Q88" s="90">
        <v>94.73684210526315</v>
      </c>
    </row>
    <row r="89" spans="2:17" x14ac:dyDescent="0.2">
      <c r="B89" s="16" t="s">
        <v>115</v>
      </c>
      <c r="C89" s="16"/>
      <c r="D89" s="16"/>
      <c r="E89" s="16"/>
      <c r="F89" s="16"/>
      <c r="G89" s="16"/>
      <c r="H89" s="16"/>
      <c r="I89" s="91">
        <f>+(I99/I85)*$F$87</f>
        <v>118.42105263157893</v>
      </c>
      <c r="J89" s="91">
        <v>118.42105263157893</v>
      </c>
      <c r="K89" s="91">
        <v>118.42105263157893</v>
      </c>
      <c r="L89" s="91">
        <v>118.42105263157893</v>
      </c>
      <c r="M89" s="91">
        <v>118.42105263157893</v>
      </c>
      <c r="N89" s="91">
        <v>118.42105263157893</v>
      </c>
      <c r="O89" s="91">
        <v>118.42105263157893</v>
      </c>
      <c r="P89" s="91">
        <v>118.42105263157893</v>
      </c>
      <c r="Q89" s="91">
        <v>118.42105263157893</v>
      </c>
    </row>
    <row r="90" spans="2:17" x14ac:dyDescent="0.2">
      <c r="B90" s="17" t="s">
        <v>116</v>
      </c>
      <c r="C90" s="17"/>
      <c r="D90" s="17"/>
      <c r="E90" s="17"/>
      <c r="F90" s="17"/>
      <c r="G90" s="17"/>
      <c r="H90" s="17"/>
      <c r="I90" s="92">
        <f>+(I103/I85)*$F$87</f>
        <v>115.78947368421052</v>
      </c>
      <c r="J90" s="92">
        <v>115.78947368421052</v>
      </c>
      <c r="K90" s="92">
        <v>115.78947368421052</v>
      </c>
      <c r="L90" s="92">
        <v>115.78947368421052</v>
      </c>
      <c r="M90" s="92">
        <v>115.78947368421052</v>
      </c>
      <c r="N90" s="92">
        <v>115.78947368421052</v>
      </c>
      <c r="O90" s="92">
        <v>115.78947368421052</v>
      </c>
      <c r="P90" s="92">
        <v>115.78947368421052</v>
      </c>
      <c r="Q90" s="92">
        <v>115.78947368421052</v>
      </c>
    </row>
    <row r="91" spans="2:17" s="18" customFormat="1" x14ac:dyDescent="0.2">
      <c r="B91" s="66" t="s">
        <v>117</v>
      </c>
      <c r="C91" s="66"/>
      <c r="D91" s="66"/>
      <c r="E91" s="66"/>
      <c r="F91" s="66"/>
      <c r="G91" s="66"/>
      <c r="H91" s="66"/>
      <c r="I91" s="93">
        <f>+I88+I89-I90</f>
        <v>97.368421052631561</v>
      </c>
      <c r="J91" s="93">
        <v>98.720760233918114</v>
      </c>
      <c r="K91" s="93">
        <v>98.720760233918114</v>
      </c>
      <c r="L91" s="93">
        <v>98.720760233918114</v>
      </c>
      <c r="M91" s="93">
        <v>98.720760233918114</v>
      </c>
      <c r="N91" s="93">
        <v>98.720760233918114</v>
      </c>
      <c r="O91" s="93">
        <v>98.720760233918114</v>
      </c>
      <c r="P91" s="93">
        <v>98.720760233918114</v>
      </c>
      <c r="Q91" s="93">
        <v>98.720760233918114</v>
      </c>
    </row>
    <row r="93" spans="2:17" x14ac:dyDescent="0.2">
      <c r="B93" s="19" t="s">
        <v>118</v>
      </c>
      <c r="C93" s="19"/>
      <c r="D93" s="19"/>
      <c r="E93" s="19"/>
      <c r="F93" s="19"/>
      <c r="G93" s="19"/>
      <c r="H93" s="19"/>
      <c r="I93" s="61">
        <f>+$I$100/$I$84</f>
        <v>2.046783625730994E-2</v>
      </c>
      <c r="J93" s="61">
        <f t="shared" ref="J93:Q93" si="21">+$I$100/$I$84</f>
        <v>2.046783625730994E-2</v>
      </c>
      <c r="K93" s="61">
        <f t="shared" si="21"/>
        <v>2.046783625730994E-2</v>
      </c>
      <c r="L93" s="61">
        <f t="shared" si="21"/>
        <v>2.046783625730994E-2</v>
      </c>
      <c r="M93" s="61">
        <f t="shared" si="21"/>
        <v>2.046783625730994E-2</v>
      </c>
      <c r="N93" s="61">
        <f t="shared" si="21"/>
        <v>2.046783625730994E-2</v>
      </c>
      <c r="O93" s="61">
        <f t="shared" si="21"/>
        <v>2.046783625730994E-2</v>
      </c>
      <c r="P93" s="61">
        <f t="shared" si="21"/>
        <v>2.046783625730994E-2</v>
      </c>
      <c r="Q93" s="61">
        <f t="shared" si="21"/>
        <v>2.046783625730994E-2</v>
      </c>
    </row>
    <row r="94" spans="2:17" x14ac:dyDescent="0.2">
      <c r="B94" s="16" t="s">
        <v>119</v>
      </c>
      <c r="C94" s="16"/>
      <c r="D94" s="16"/>
      <c r="E94" s="17"/>
      <c r="F94" s="16"/>
      <c r="G94" s="16"/>
      <c r="H94" s="16"/>
      <c r="I94" s="62">
        <f>+$I$104/$I$84</f>
        <v>0.10818713450292397</v>
      </c>
      <c r="J94" s="62">
        <f t="shared" ref="J94:Q94" si="22">+$I$104/$I$84</f>
        <v>0.10818713450292397</v>
      </c>
      <c r="K94" s="62">
        <f t="shared" si="22"/>
        <v>0.10818713450292397</v>
      </c>
      <c r="L94" s="62">
        <f t="shared" si="22"/>
        <v>0.10818713450292397</v>
      </c>
      <c r="M94" s="62">
        <f t="shared" si="22"/>
        <v>0.10818713450292397</v>
      </c>
      <c r="N94" s="62">
        <f t="shared" si="22"/>
        <v>0.10818713450292397</v>
      </c>
      <c r="O94" s="62">
        <f t="shared" si="22"/>
        <v>0.10818713450292397</v>
      </c>
      <c r="P94" s="62">
        <f t="shared" si="22"/>
        <v>0.10818713450292397</v>
      </c>
      <c r="Q94" s="62">
        <f t="shared" si="22"/>
        <v>0.10818713450292397</v>
      </c>
    </row>
    <row r="95" spans="2:17" x14ac:dyDescent="0.2">
      <c r="B95" s="17" t="s">
        <v>120</v>
      </c>
      <c r="C95" s="17"/>
      <c r="D95" s="17"/>
      <c r="F95" s="17"/>
      <c r="G95" s="17"/>
      <c r="H95" s="17"/>
      <c r="I95" s="76">
        <f>+$I$105/$I$84</f>
        <v>8.771929824561403E-3</v>
      </c>
      <c r="J95" s="76">
        <f t="shared" ref="J95:Q95" si="23">+$I$105/$I$84</f>
        <v>8.771929824561403E-3</v>
      </c>
      <c r="K95" s="76">
        <f t="shared" si="23"/>
        <v>8.771929824561403E-3</v>
      </c>
      <c r="L95" s="76">
        <f t="shared" si="23"/>
        <v>8.771929824561403E-3</v>
      </c>
      <c r="M95" s="76">
        <f t="shared" si="23"/>
        <v>8.771929824561403E-3</v>
      </c>
      <c r="N95" s="76">
        <f t="shared" si="23"/>
        <v>8.771929824561403E-3</v>
      </c>
      <c r="O95" s="76">
        <f t="shared" si="23"/>
        <v>8.771929824561403E-3</v>
      </c>
      <c r="P95" s="76">
        <f t="shared" si="23"/>
        <v>8.771929824561403E-3</v>
      </c>
      <c r="Q95" s="76">
        <f t="shared" si="23"/>
        <v>8.771929824561403E-3</v>
      </c>
    </row>
    <row r="97" spans="2:17" x14ac:dyDescent="0.2">
      <c r="B97" s="22" t="s">
        <v>140</v>
      </c>
    </row>
    <row r="98" spans="2:17" x14ac:dyDescent="0.2">
      <c r="B98" s="19" t="s">
        <v>106</v>
      </c>
      <c r="C98" s="19"/>
      <c r="D98" s="19"/>
      <c r="E98" s="19"/>
      <c r="F98" s="19"/>
      <c r="G98" s="19"/>
      <c r="H98" s="19"/>
      <c r="I98" s="82">
        <f>+H120</f>
        <v>90</v>
      </c>
      <c r="J98" s="82">
        <f>+(J88/$F$87)*J84</f>
        <v>94.5</v>
      </c>
      <c r="K98" s="82">
        <f t="shared" ref="K98:Q98" si="24">+(K88/$F$87)*K84</f>
        <v>100.17</v>
      </c>
      <c r="L98" s="82">
        <f t="shared" si="24"/>
        <v>107.18190000000001</v>
      </c>
      <c r="M98" s="82">
        <f t="shared" si="24"/>
        <v>113.61281400000001</v>
      </c>
      <c r="N98" s="82">
        <f t="shared" si="24"/>
        <v>119.29345470000001</v>
      </c>
      <c r="O98" s="82">
        <f t="shared" si="24"/>
        <v>124.06519288800001</v>
      </c>
      <c r="P98" s="82">
        <f t="shared" si="24"/>
        <v>129.02780060352001</v>
      </c>
      <c r="Q98" s="82">
        <f t="shared" si="24"/>
        <v>134.18891262766081</v>
      </c>
    </row>
    <row r="99" spans="2:17" x14ac:dyDescent="0.2">
      <c r="B99" s="16" t="s">
        <v>6</v>
      </c>
      <c r="C99" s="16"/>
      <c r="D99" s="16"/>
      <c r="E99" s="16"/>
      <c r="F99" s="16"/>
      <c r="G99" s="16"/>
      <c r="H99" s="16"/>
      <c r="I99" s="72">
        <f>+H121</f>
        <v>45</v>
      </c>
      <c r="J99" s="72">
        <f>+(J89/$F$87)*J85</f>
        <v>47.25</v>
      </c>
      <c r="K99" s="72">
        <f t="shared" ref="K99:Q99" si="25">+(K89/$F$87)*K85</f>
        <v>50.085000000000001</v>
      </c>
      <c r="L99" s="72">
        <f t="shared" si="25"/>
        <v>53.590950000000007</v>
      </c>
      <c r="M99" s="72">
        <f t="shared" si="25"/>
        <v>56.806407000000007</v>
      </c>
      <c r="N99" s="72">
        <f t="shared" si="25"/>
        <v>59.646727350000006</v>
      </c>
      <c r="O99" s="72">
        <f t="shared" si="25"/>
        <v>62.032596444000006</v>
      </c>
      <c r="P99" s="72">
        <f t="shared" si="25"/>
        <v>64.513900301760017</v>
      </c>
      <c r="Q99" s="72">
        <f t="shared" si="25"/>
        <v>67.094456313830406</v>
      </c>
    </row>
    <row r="100" spans="2:17" x14ac:dyDescent="0.2">
      <c r="B100" s="17" t="s">
        <v>7</v>
      </c>
      <c r="C100" s="17"/>
      <c r="D100" s="17"/>
      <c r="E100" s="17"/>
      <c r="F100" s="17"/>
      <c r="G100" s="17"/>
      <c r="H100" s="17"/>
      <c r="I100" s="73">
        <f>+H122</f>
        <v>7</v>
      </c>
      <c r="J100" s="73">
        <f>+J93*J84</f>
        <v>7.35</v>
      </c>
      <c r="K100" s="73">
        <f t="shared" ref="K100:Q100" si="26">+K93*K84</f>
        <v>7.7909999999999995</v>
      </c>
      <c r="L100" s="73">
        <f t="shared" si="26"/>
        <v>8.3363700000000005</v>
      </c>
      <c r="M100" s="73">
        <f t="shared" si="26"/>
        <v>8.8365522000000016</v>
      </c>
      <c r="N100" s="73">
        <f t="shared" si="26"/>
        <v>9.2783798100000006</v>
      </c>
      <c r="O100" s="73">
        <f t="shared" si="26"/>
        <v>9.6495150024000012</v>
      </c>
      <c r="P100" s="73">
        <f t="shared" si="26"/>
        <v>10.035495602496001</v>
      </c>
      <c r="Q100" s="73">
        <f t="shared" si="26"/>
        <v>10.43691542659584</v>
      </c>
    </row>
    <row r="101" spans="2:17" s="18" customFormat="1" x14ac:dyDescent="0.2">
      <c r="B101" s="9" t="s">
        <v>122</v>
      </c>
      <c r="C101" s="9"/>
      <c r="D101" s="9"/>
      <c r="E101" s="9"/>
      <c r="F101" s="9"/>
      <c r="G101" s="9"/>
      <c r="H101" s="9"/>
      <c r="I101" s="51">
        <f>+SUM(I98:I100)</f>
        <v>142</v>
      </c>
      <c r="J101" s="51">
        <f t="shared" ref="J101:Q101" si="27">+SUM(J98:J100)</f>
        <v>149.1</v>
      </c>
      <c r="K101" s="51">
        <f t="shared" si="27"/>
        <v>158.04599999999999</v>
      </c>
      <c r="L101" s="51">
        <f t="shared" si="27"/>
        <v>169.10921999999999</v>
      </c>
      <c r="M101" s="51">
        <f t="shared" si="27"/>
        <v>179.25577320000002</v>
      </c>
      <c r="N101" s="51">
        <f t="shared" si="27"/>
        <v>188.21856186000002</v>
      </c>
      <c r="O101" s="51">
        <f t="shared" si="27"/>
        <v>195.74730433440001</v>
      </c>
      <c r="P101" s="51">
        <f t="shared" si="27"/>
        <v>203.57719650777605</v>
      </c>
      <c r="Q101" s="51">
        <f t="shared" si="27"/>
        <v>211.72028436808708</v>
      </c>
    </row>
    <row r="103" spans="2:17" x14ac:dyDescent="0.2">
      <c r="B103" s="19" t="s">
        <v>8</v>
      </c>
      <c r="C103" s="19"/>
      <c r="D103" s="19"/>
      <c r="E103" s="19"/>
      <c r="F103" s="19"/>
      <c r="G103" s="19"/>
      <c r="H103" s="19"/>
      <c r="I103" s="82">
        <f>+H130</f>
        <v>44</v>
      </c>
      <c r="J103" s="82">
        <f>+(J90/$F$87)*J85</f>
        <v>46.2</v>
      </c>
      <c r="K103" s="82">
        <f t="shared" ref="K103:Q103" si="28">+(K90/$F$87)*K85</f>
        <v>48.972000000000001</v>
      </c>
      <c r="L103" s="82">
        <f t="shared" si="28"/>
        <v>52.400040000000011</v>
      </c>
      <c r="M103" s="82">
        <f t="shared" si="28"/>
        <v>55.544042400000009</v>
      </c>
      <c r="N103" s="82">
        <f t="shared" si="28"/>
        <v>58.321244520000015</v>
      </c>
      <c r="O103" s="82">
        <f t="shared" si="28"/>
        <v>60.654094300800011</v>
      </c>
      <c r="P103" s="82">
        <f t="shared" si="28"/>
        <v>63.080258072832017</v>
      </c>
      <c r="Q103" s="82">
        <f t="shared" si="28"/>
        <v>65.603468395745296</v>
      </c>
    </row>
    <row r="104" spans="2:17" x14ac:dyDescent="0.2">
      <c r="B104" s="16" t="s">
        <v>108</v>
      </c>
      <c r="C104" s="16"/>
      <c r="D104" s="16"/>
      <c r="E104" s="16"/>
      <c r="F104" s="16"/>
      <c r="G104" s="16"/>
      <c r="H104" s="16"/>
      <c r="I104" s="72">
        <f>+H131</f>
        <v>37</v>
      </c>
      <c r="J104" s="72">
        <f>+J94*J84</f>
        <v>38.85</v>
      </c>
      <c r="K104" s="72">
        <f t="shared" ref="K104:Q104" si="29">+K94*K84</f>
        <v>41.180999999999997</v>
      </c>
      <c r="L104" s="72">
        <f t="shared" si="29"/>
        <v>44.063670000000002</v>
      </c>
      <c r="M104" s="72">
        <f t="shared" si="29"/>
        <v>46.707490200000002</v>
      </c>
      <c r="N104" s="72">
        <f t="shared" si="29"/>
        <v>49.042864710000003</v>
      </c>
      <c r="O104" s="72">
        <f t="shared" si="29"/>
        <v>51.004579298400003</v>
      </c>
      <c r="P104" s="72">
        <f t="shared" si="29"/>
        <v>53.044762470336003</v>
      </c>
      <c r="Q104" s="72">
        <f t="shared" si="29"/>
        <v>55.166552969149443</v>
      </c>
    </row>
    <row r="105" spans="2:17" x14ac:dyDescent="0.2">
      <c r="B105" s="17" t="s">
        <v>121</v>
      </c>
      <c r="C105" s="17"/>
      <c r="D105" s="17"/>
      <c r="E105" s="17"/>
      <c r="F105" s="17"/>
      <c r="G105" s="17"/>
      <c r="H105" s="17"/>
      <c r="I105" s="73">
        <f>+H132</f>
        <v>3</v>
      </c>
      <c r="J105" s="73">
        <f>+J95*J84</f>
        <v>3.15</v>
      </c>
      <c r="K105" s="73">
        <f t="shared" ref="K105:Q105" si="30">+K95*K84</f>
        <v>3.339</v>
      </c>
      <c r="L105" s="73">
        <f t="shared" si="30"/>
        <v>3.5727300000000004</v>
      </c>
      <c r="M105" s="73">
        <f t="shared" si="30"/>
        <v>3.7870938000000005</v>
      </c>
      <c r="N105" s="73">
        <f t="shared" si="30"/>
        <v>3.9764484900000006</v>
      </c>
      <c r="O105" s="73">
        <f t="shared" si="30"/>
        <v>4.1355064296000004</v>
      </c>
      <c r="P105" s="73">
        <f t="shared" si="30"/>
        <v>4.3009266867840008</v>
      </c>
      <c r="Q105" s="73">
        <f t="shared" si="30"/>
        <v>4.4729637542553604</v>
      </c>
    </row>
    <row r="106" spans="2:17" s="18" customFormat="1" x14ac:dyDescent="0.2">
      <c r="B106" s="9" t="s">
        <v>123</v>
      </c>
      <c r="C106" s="9"/>
      <c r="D106" s="9"/>
      <c r="E106" s="9"/>
      <c r="F106" s="9"/>
      <c r="G106" s="9"/>
      <c r="H106" s="9"/>
      <c r="I106" s="51">
        <f>SUM(I103:I105)</f>
        <v>84</v>
      </c>
      <c r="J106" s="51">
        <f t="shared" ref="J106:Q106" si="31">SUM(J103:J105)</f>
        <v>88.200000000000017</v>
      </c>
      <c r="K106" s="51">
        <f t="shared" si="31"/>
        <v>93.49199999999999</v>
      </c>
      <c r="L106" s="51">
        <f t="shared" si="31"/>
        <v>100.03644000000003</v>
      </c>
      <c r="M106" s="51">
        <f t="shared" si="31"/>
        <v>106.03862640000001</v>
      </c>
      <c r="N106" s="51">
        <f t="shared" si="31"/>
        <v>111.34055772000002</v>
      </c>
      <c r="O106" s="51">
        <f t="shared" si="31"/>
        <v>115.79418002880001</v>
      </c>
      <c r="P106" s="51">
        <f t="shared" si="31"/>
        <v>120.42594722995202</v>
      </c>
      <c r="Q106" s="51">
        <f t="shared" si="31"/>
        <v>125.24298511915011</v>
      </c>
    </row>
    <row r="108" spans="2:17" s="18" customFormat="1" x14ac:dyDescent="0.2">
      <c r="B108" s="9" t="s">
        <v>125</v>
      </c>
      <c r="C108" s="9"/>
      <c r="D108" s="9"/>
      <c r="E108" s="9"/>
      <c r="F108" s="9"/>
      <c r="G108" s="9"/>
      <c r="H108" s="9"/>
      <c r="I108" s="51">
        <f>+I101-I106</f>
        <v>58</v>
      </c>
      <c r="J108" s="51">
        <f t="shared" ref="J108:Q108" si="32">+J101-J106</f>
        <v>60.899999999999977</v>
      </c>
      <c r="K108" s="51">
        <f t="shared" si="32"/>
        <v>64.554000000000002</v>
      </c>
      <c r="L108" s="51">
        <f t="shared" si="32"/>
        <v>69.072779999999966</v>
      </c>
      <c r="M108" s="51">
        <f t="shared" si="32"/>
        <v>73.217146800000009</v>
      </c>
      <c r="N108" s="51">
        <f t="shared" si="32"/>
        <v>76.878004140000002</v>
      </c>
      <c r="O108" s="51">
        <f t="shared" si="32"/>
        <v>79.953124305599999</v>
      </c>
      <c r="P108" s="51">
        <f t="shared" si="32"/>
        <v>83.151249277824036</v>
      </c>
      <c r="Q108" s="51">
        <f t="shared" si="32"/>
        <v>86.477299248936973</v>
      </c>
    </row>
    <row r="109" spans="2:17" x14ac:dyDescent="0.2">
      <c r="C109" s="3" t="s">
        <v>124</v>
      </c>
      <c r="J109" s="49">
        <f>+I108-J108</f>
        <v>-2.8999999999999773</v>
      </c>
      <c r="K109" s="49">
        <f t="shared" ref="K109:Q109" si="33">+J108-K108</f>
        <v>-3.6540000000000248</v>
      </c>
      <c r="L109" s="49">
        <f t="shared" si="33"/>
        <v>-4.518779999999964</v>
      </c>
      <c r="M109" s="49">
        <f t="shared" si="33"/>
        <v>-4.1443668000000429</v>
      </c>
      <c r="N109" s="49">
        <f t="shared" si="33"/>
        <v>-3.6608573399999926</v>
      </c>
      <c r="O109" s="49">
        <f t="shared" si="33"/>
        <v>-3.0751201655999978</v>
      </c>
      <c r="P109" s="49">
        <f t="shared" si="33"/>
        <v>-3.1981249722240364</v>
      </c>
      <c r="Q109" s="49">
        <f t="shared" si="33"/>
        <v>-3.326049971112937</v>
      </c>
    </row>
    <row r="113" spans="1:24" x14ac:dyDescent="0.2">
      <c r="A113" s="5" t="s">
        <v>35</v>
      </c>
      <c r="B113" s="6" t="s">
        <v>85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B114" s="8" t="s">
        <v>37</v>
      </c>
    </row>
    <row r="116" spans="1:24" x14ac:dyDescent="0.2">
      <c r="B116" s="8" t="s">
        <v>88</v>
      </c>
      <c r="H116" s="53">
        <v>42735</v>
      </c>
      <c r="I116" s="133">
        <v>42735</v>
      </c>
      <c r="J116" s="54">
        <v>43100</v>
      </c>
      <c r="K116" s="54">
        <v>43465</v>
      </c>
      <c r="L116" s="54">
        <v>43830</v>
      </c>
      <c r="M116" s="54">
        <v>44196</v>
      </c>
      <c r="N116" s="54">
        <v>44561</v>
      </c>
      <c r="O116" s="54">
        <v>44926</v>
      </c>
      <c r="P116" s="54">
        <v>45291</v>
      </c>
      <c r="Q116" s="54">
        <v>45657</v>
      </c>
    </row>
    <row r="117" spans="1:24" ht="3" customHeight="1" x14ac:dyDescent="0.2"/>
    <row r="118" spans="1:24" x14ac:dyDescent="0.2">
      <c r="B118" s="22" t="s">
        <v>103</v>
      </c>
    </row>
    <row r="119" spans="1:24" x14ac:dyDescent="0.2">
      <c r="B119" s="19" t="s">
        <v>3</v>
      </c>
      <c r="C119" s="19"/>
      <c r="D119" s="19"/>
      <c r="E119" s="19"/>
      <c r="F119" s="19"/>
      <c r="G119" s="19"/>
      <c r="H119" s="86">
        <v>5</v>
      </c>
      <c r="I119" s="82">
        <f>+H119</f>
        <v>5</v>
      </c>
      <c r="J119" s="82">
        <f>+J166</f>
        <v>5</v>
      </c>
      <c r="K119" s="82">
        <f t="shared" ref="K119:Q119" si="34">+K166</f>
        <v>5</v>
      </c>
      <c r="L119" s="82">
        <f t="shared" si="34"/>
        <v>5</v>
      </c>
      <c r="M119" s="82">
        <f t="shared" si="34"/>
        <v>5</v>
      </c>
      <c r="N119" s="82">
        <f t="shared" si="34"/>
        <v>5</v>
      </c>
      <c r="O119" s="82">
        <f t="shared" si="34"/>
        <v>5</v>
      </c>
      <c r="P119" s="82">
        <f t="shared" si="34"/>
        <v>5</v>
      </c>
      <c r="Q119" s="82">
        <f t="shared" si="34"/>
        <v>5</v>
      </c>
    </row>
    <row r="120" spans="1:24" x14ac:dyDescent="0.2">
      <c r="B120" s="16" t="s">
        <v>106</v>
      </c>
      <c r="C120" s="16"/>
      <c r="D120" s="16"/>
      <c r="E120" s="16"/>
      <c r="F120" s="16"/>
      <c r="G120" s="16"/>
      <c r="H120" s="74">
        <f>90</f>
        <v>90</v>
      </c>
      <c r="I120" s="72">
        <f>+H120</f>
        <v>90</v>
      </c>
      <c r="J120" s="72">
        <f>+J98</f>
        <v>94.5</v>
      </c>
      <c r="K120" s="72">
        <f t="shared" ref="K120:Q120" si="35">+K98</f>
        <v>100.17</v>
      </c>
      <c r="L120" s="72">
        <f t="shared" si="35"/>
        <v>107.18190000000001</v>
      </c>
      <c r="M120" s="72">
        <f t="shared" si="35"/>
        <v>113.61281400000001</v>
      </c>
      <c r="N120" s="72">
        <f t="shared" si="35"/>
        <v>119.29345470000001</v>
      </c>
      <c r="O120" s="72">
        <f t="shared" si="35"/>
        <v>124.06519288800001</v>
      </c>
      <c r="P120" s="72">
        <f t="shared" si="35"/>
        <v>129.02780060352001</v>
      </c>
      <c r="Q120" s="72">
        <f t="shared" si="35"/>
        <v>134.18891262766081</v>
      </c>
    </row>
    <row r="121" spans="1:24" x14ac:dyDescent="0.2">
      <c r="B121" s="16" t="s">
        <v>6</v>
      </c>
      <c r="C121" s="16"/>
      <c r="D121" s="16"/>
      <c r="E121" s="16"/>
      <c r="F121" s="16"/>
      <c r="G121" s="16"/>
      <c r="H121" s="74">
        <v>45</v>
      </c>
      <c r="I121" s="72">
        <f>+H121</f>
        <v>45</v>
      </c>
      <c r="J121" s="72">
        <f>+J99</f>
        <v>47.25</v>
      </c>
      <c r="K121" s="72">
        <f t="shared" ref="K121:Q121" si="36">+K99</f>
        <v>50.085000000000001</v>
      </c>
      <c r="L121" s="72">
        <f t="shared" si="36"/>
        <v>53.590950000000007</v>
      </c>
      <c r="M121" s="72">
        <f t="shared" si="36"/>
        <v>56.806407000000007</v>
      </c>
      <c r="N121" s="72">
        <f t="shared" si="36"/>
        <v>59.646727350000006</v>
      </c>
      <c r="O121" s="72">
        <f t="shared" si="36"/>
        <v>62.032596444000006</v>
      </c>
      <c r="P121" s="72">
        <f t="shared" si="36"/>
        <v>64.513900301760017</v>
      </c>
      <c r="Q121" s="72">
        <f t="shared" si="36"/>
        <v>67.094456313830406</v>
      </c>
    </row>
    <row r="122" spans="1:24" x14ac:dyDescent="0.2">
      <c r="B122" s="17" t="s">
        <v>7</v>
      </c>
      <c r="C122" s="17"/>
      <c r="D122" s="17"/>
      <c r="E122" s="17"/>
      <c r="F122" s="17"/>
      <c r="G122" s="17"/>
      <c r="H122" s="87">
        <v>7</v>
      </c>
      <c r="I122" s="73">
        <f>+H122</f>
        <v>7</v>
      </c>
      <c r="J122" s="72">
        <f t="shared" ref="J122:Q122" si="37">+J100</f>
        <v>7.35</v>
      </c>
      <c r="K122" s="72">
        <f t="shared" si="37"/>
        <v>7.7909999999999995</v>
      </c>
      <c r="L122" s="72">
        <f t="shared" si="37"/>
        <v>8.3363700000000005</v>
      </c>
      <c r="M122" s="72">
        <f t="shared" si="37"/>
        <v>8.8365522000000016</v>
      </c>
      <c r="N122" s="72">
        <f t="shared" si="37"/>
        <v>9.2783798100000006</v>
      </c>
      <c r="O122" s="72">
        <f t="shared" si="37"/>
        <v>9.6495150024000012</v>
      </c>
      <c r="P122" s="72">
        <f t="shared" si="37"/>
        <v>10.035495602496001</v>
      </c>
      <c r="Q122" s="72">
        <f t="shared" si="37"/>
        <v>10.43691542659584</v>
      </c>
    </row>
    <row r="123" spans="1:24" s="18" customFormat="1" x14ac:dyDescent="0.2">
      <c r="B123" s="9" t="s">
        <v>186</v>
      </c>
      <c r="C123" s="9"/>
      <c r="D123" s="9"/>
      <c r="E123" s="9"/>
      <c r="F123" s="9"/>
      <c r="G123" s="9"/>
      <c r="H123" s="51">
        <f>SUM(H119:H122)</f>
        <v>147</v>
      </c>
      <c r="I123" s="51">
        <f t="shared" ref="I123:Q123" si="38">SUM(I119:I122)</f>
        <v>147</v>
      </c>
      <c r="J123" s="51">
        <f t="shared" si="38"/>
        <v>154.1</v>
      </c>
      <c r="K123" s="51">
        <f t="shared" si="38"/>
        <v>163.04599999999999</v>
      </c>
      <c r="L123" s="51">
        <f t="shared" si="38"/>
        <v>174.10921999999999</v>
      </c>
      <c r="M123" s="51">
        <f t="shared" si="38"/>
        <v>184.25577320000002</v>
      </c>
      <c r="N123" s="51">
        <f t="shared" si="38"/>
        <v>193.21856186000002</v>
      </c>
      <c r="O123" s="51">
        <f t="shared" si="38"/>
        <v>200.74730433440001</v>
      </c>
      <c r="P123" s="51">
        <f t="shared" si="38"/>
        <v>208.57719650777605</v>
      </c>
      <c r="Q123" s="51">
        <f t="shared" si="38"/>
        <v>216.72028436808708</v>
      </c>
    </row>
    <row r="124" spans="1:24" x14ac:dyDescent="0.2">
      <c r="B124" s="19" t="s">
        <v>104</v>
      </c>
      <c r="C124" s="19"/>
      <c r="D124" s="19"/>
      <c r="E124" s="19"/>
      <c r="F124" s="19"/>
      <c r="G124" s="19"/>
      <c r="H124" s="74">
        <v>78</v>
      </c>
      <c r="I124" s="72">
        <f>+H124</f>
        <v>78</v>
      </c>
      <c r="J124" s="72">
        <f>+(I124-J155)-J151</f>
        <v>78</v>
      </c>
      <c r="K124" s="72">
        <f t="shared" ref="K124:Q124" si="39">+(J124-K155)-K151</f>
        <v>78</v>
      </c>
      <c r="L124" s="72">
        <f t="shared" si="39"/>
        <v>78</v>
      </c>
      <c r="M124" s="72">
        <f t="shared" si="39"/>
        <v>78</v>
      </c>
      <c r="N124" s="72">
        <f t="shared" si="39"/>
        <v>78</v>
      </c>
      <c r="O124" s="72">
        <f t="shared" si="39"/>
        <v>78</v>
      </c>
      <c r="P124" s="72">
        <f t="shared" si="39"/>
        <v>78</v>
      </c>
      <c r="Q124" s="72">
        <f t="shared" si="39"/>
        <v>78</v>
      </c>
    </row>
    <row r="125" spans="1:24" x14ac:dyDescent="0.2">
      <c r="B125" s="16" t="s">
        <v>22</v>
      </c>
      <c r="C125" s="16"/>
      <c r="D125" s="16"/>
      <c r="E125" s="16"/>
      <c r="F125" s="16"/>
      <c r="G125" s="16"/>
      <c r="H125" s="74">
        <v>20</v>
      </c>
      <c r="I125" s="72">
        <f>+$M$26</f>
        <v>670</v>
      </c>
      <c r="J125" s="72">
        <f t="shared" ref="J125:Q125" si="40">+$M$26</f>
        <v>670</v>
      </c>
      <c r="K125" s="72">
        <f t="shared" si="40"/>
        <v>670</v>
      </c>
      <c r="L125" s="72">
        <f t="shared" si="40"/>
        <v>670</v>
      </c>
      <c r="M125" s="72">
        <f t="shared" si="40"/>
        <v>670</v>
      </c>
      <c r="N125" s="72">
        <f t="shared" si="40"/>
        <v>670</v>
      </c>
      <c r="O125" s="72">
        <f t="shared" si="40"/>
        <v>670</v>
      </c>
      <c r="P125" s="72">
        <f t="shared" si="40"/>
        <v>670</v>
      </c>
      <c r="Q125" s="72">
        <f t="shared" si="40"/>
        <v>670</v>
      </c>
    </row>
    <row r="126" spans="1:24" x14ac:dyDescent="0.2">
      <c r="B126" s="17" t="s">
        <v>105</v>
      </c>
      <c r="C126" s="17"/>
      <c r="D126" s="17"/>
      <c r="E126" s="17"/>
      <c r="F126" s="17"/>
      <c r="G126" s="17"/>
      <c r="H126" s="87">
        <v>6</v>
      </c>
      <c r="I126" s="73">
        <f>+H126+T28</f>
        <v>16.9375</v>
      </c>
      <c r="J126" s="73">
        <f>+I126-J256</f>
        <v>15.452083333333334</v>
      </c>
      <c r="K126" s="73">
        <f t="shared" ref="K126:Q126" si="41">+J126-K256</f>
        <v>13.966666666666669</v>
      </c>
      <c r="L126" s="73">
        <f t="shared" si="41"/>
        <v>12.481250000000003</v>
      </c>
      <c r="M126" s="73">
        <f t="shared" si="41"/>
        <v>10.995833333333337</v>
      </c>
      <c r="N126" s="73">
        <f t="shared" si="41"/>
        <v>9.5104166666666714</v>
      </c>
      <c r="O126" s="73">
        <f t="shared" si="41"/>
        <v>8.1250000000000053</v>
      </c>
      <c r="P126" s="73">
        <f t="shared" si="41"/>
        <v>7.3125000000000053</v>
      </c>
      <c r="Q126" s="73">
        <f t="shared" si="41"/>
        <v>6.5000000000000053</v>
      </c>
    </row>
    <row r="127" spans="1:24" s="18" customFormat="1" x14ac:dyDescent="0.2">
      <c r="B127" s="9" t="s">
        <v>4</v>
      </c>
      <c r="C127" s="9"/>
      <c r="D127" s="9"/>
      <c r="E127" s="9"/>
      <c r="F127" s="9"/>
      <c r="G127" s="9"/>
      <c r="H127" s="51">
        <f>SUM(H123:H126)</f>
        <v>251</v>
      </c>
      <c r="I127" s="51">
        <f t="shared" ref="I127:Q127" si="42">SUM(I123:I126)</f>
        <v>911.9375</v>
      </c>
      <c r="J127" s="51">
        <f t="shared" si="42"/>
        <v>917.55208333333337</v>
      </c>
      <c r="K127" s="51">
        <f t="shared" si="42"/>
        <v>925.01266666666675</v>
      </c>
      <c r="L127" s="51">
        <f t="shared" si="42"/>
        <v>934.5904700000001</v>
      </c>
      <c r="M127" s="51">
        <f t="shared" si="42"/>
        <v>943.25160653333342</v>
      </c>
      <c r="N127" s="51">
        <f t="shared" si="42"/>
        <v>950.72897852666665</v>
      </c>
      <c r="O127" s="51">
        <f t="shared" si="42"/>
        <v>956.87230433440004</v>
      </c>
      <c r="P127" s="51">
        <f t="shared" si="42"/>
        <v>963.88969650777608</v>
      </c>
      <c r="Q127" s="51">
        <f t="shared" si="42"/>
        <v>971.22028436808705</v>
      </c>
    </row>
    <row r="129" spans="1:24" x14ac:dyDescent="0.2">
      <c r="B129" s="22" t="s">
        <v>107</v>
      </c>
    </row>
    <row r="130" spans="1:24" x14ac:dyDescent="0.2">
      <c r="B130" s="19" t="s">
        <v>8</v>
      </c>
      <c r="C130" s="19"/>
      <c r="D130" s="19"/>
      <c r="E130" s="19"/>
      <c r="F130" s="19"/>
      <c r="G130" s="19"/>
      <c r="H130" s="86">
        <v>44</v>
      </c>
      <c r="I130" s="82">
        <f>+H130</f>
        <v>44</v>
      </c>
      <c r="J130" s="82">
        <f>+J103</f>
        <v>46.2</v>
      </c>
      <c r="K130" s="82">
        <f t="shared" ref="K130:Q130" si="43">+K103</f>
        <v>48.972000000000001</v>
      </c>
      <c r="L130" s="82">
        <f t="shared" si="43"/>
        <v>52.400040000000011</v>
      </c>
      <c r="M130" s="82">
        <f t="shared" si="43"/>
        <v>55.544042400000009</v>
      </c>
      <c r="N130" s="82">
        <f t="shared" si="43"/>
        <v>58.321244520000015</v>
      </c>
      <c r="O130" s="82">
        <f t="shared" si="43"/>
        <v>60.654094300800011</v>
      </c>
      <c r="P130" s="82">
        <f t="shared" si="43"/>
        <v>63.080258072832017</v>
      </c>
      <c r="Q130" s="82">
        <f t="shared" si="43"/>
        <v>65.603468395745296</v>
      </c>
    </row>
    <row r="131" spans="1:24" x14ac:dyDescent="0.2">
      <c r="B131" s="16" t="s">
        <v>108</v>
      </c>
      <c r="C131" s="16"/>
      <c r="D131" s="16"/>
      <c r="E131" s="16"/>
      <c r="F131" s="16"/>
      <c r="G131" s="16"/>
      <c r="H131" s="74">
        <v>37</v>
      </c>
      <c r="I131" s="72">
        <f>+H131</f>
        <v>37</v>
      </c>
      <c r="J131" s="82">
        <f t="shared" ref="J131:Q132" si="44">+J104</f>
        <v>38.85</v>
      </c>
      <c r="K131" s="82">
        <f t="shared" si="44"/>
        <v>41.180999999999997</v>
      </c>
      <c r="L131" s="82">
        <f t="shared" si="44"/>
        <v>44.063670000000002</v>
      </c>
      <c r="M131" s="82">
        <f t="shared" si="44"/>
        <v>46.707490200000002</v>
      </c>
      <c r="N131" s="82">
        <f t="shared" si="44"/>
        <v>49.042864710000003</v>
      </c>
      <c r="O131" s="82">
        <f t="shared" si="44"/>
        <v>51.004579298400003</v>
      </c>
      <c r="P131" s="82">
        <f t="shared" si="44"/>
        <v>53.044762470336003</v>
      </c>
      <c r="Q131" s="82">
        <f t="shared" si="44"/>
        <v>55.166552969149443</v>
      </c>
    </row>
    <row r="132" spans="1:24" x14ac:dyDescent="0.2">
      <c r="B132" s="17" t="s">
        <v>9</v>
      </c>
      <c r="C132" s="17"/>
      <c r="D132" s="17"/>
      <c r="E132" s="17"/>
      <c r="F132" s="17"/>
      <c r="G132" s="17"/>
      <c r="H132" s="87">
        <v>3</v>
      </c>
      <c r="I132" s="73">
        <f>+H132</f>
        <v>3</v>
      </c>
      <c r="J132" s="82">
        <f t="shared" si="44"/>
        <v>3.15</v>
      </c>
      <c r="K132" s="82">
        <f t="shared" si="44"/>
        <v>3.339</v>
      </c>
      <c r="L132" s="82">
        <f t="shared" si="44"/>
        <v>3.5727300000000004</v>
      </c>
      <c r="M132" s="82">
        <f t="shared" si="44"/>
        <v>3.7870938000000005</v>
      </c>
      <c r="N132" s="82">
        <f t="shared" si="44"/>
        <v>3.9764484900000006</v>
      </c>
      <c r="O132" s="82">
        <f t="shared" si="44"/>
        <v>4.1355064296000004</v>
      </c>
      <c r="P132" s="82">
        <f t="shared" si="44"/>
        <v>4.3009266867840008</v>
      </c>
      <c r="Q132" s="82">
        <f t="shared" si="44"/>
        <v>4.4729637542553604</v>
      </c>
    </row>
    <row r="133" spans="1:24" s="18" customFormat="1" x14ac:dyDescent="0.2">
      <c r="B133" s="9" t="s">
        <v>109</v>
      </c>
      <c r="C133" s="9"/>
      <c r="D133" s="9"/>
      <c r="E133" s="9"/>
      <c r="F133" s="9"/>
      <c r="G133" s="9"/>
      <c r="H133" s="51">
        <f>SUM(H130:H132)</f>
        <v>84</v>
      </c>
      <c r="I133" s="51">
        <f t="shared" ref="I133:Q133" si="45">SUM(I130:I132)</f>
        <v>84</v>
      </c>
      <c r="J133" s="51">
        <f t="shared" si="45"/>
        <v>88.200000000000017</v>
      </c>
      <c r="K133" s="51">
        <f t="shared" si="45"/>
        <v>93.49199999999999</v>
      </c>
      <c r="L133" s="51">
        <f t="shared" si="45"/>
        <v>100.03644000000003</v>
      </c>
      <c r="M133" s="51">
        <f t="shared" si="45"/>
        <v>106.03862640000001</v>
      </c>
      <c r="N133" s="51">
        <f t="shared" si="45"/>
        <v>111.34055772000002</v>
      </c>
      <c r="O133" s="51">
        <f t="shared" si="45"/>
        <v>115.79418002880001</v>
      </c>
      <c r="P133" s="51">
        <f t="shared" si="45"/>
        <v>120.42594722995202</v>
      </c>
      <c r="Q133" s="51">
        <f t="shared" si="45"/>
        <v>125.24298511915011</v>
      </c>
    </row>
    <row r="135" spans="1:24" x14ac:dyDescent="0.2">
      <c r="B135" s="19" t="s">
        <v>33</v>
      </c>
      <c r="C135" s="19"/>
      <c r="D135" s="19"/>
      <c r="E135" s="19"/>
      <c r="F135" s="19"/>
      <c r="G135" s="19"/>
      <c r="H135" s="86">
        <v>0</v>
      </c>
      <c r="I135" s="82">
        <f>+Q28</f>
        <v>600</v>
      </c>
      <c r="J135" s="82">
        <f ca="1">+J185</f>
        <v>574.62349610640342</v>
      </c>
      <c r="K135" s="82">
        <f t="shared" ref="K135:Q135" ca="1" si="46">+K185</f>
        <v>547.52558400484861</v>
      </c>
      <c r="L135" s="82">
        <f t="shared" ca="1" si="46"/>
        <v>517.53857173855204</v>
      </c>
      <c r="M135" s="82">
        <f t="shared" ca="1" si="46"/>
        <v>483.54605753319413</v>
      </c>
      <c r="N135" s="82">
        <f t="shared" ca="1" si="46"/>
        <v>445.0537473189562</v>
      </c>
      <c r="O135" s="82">
        <f t="shared" ca="1" si="46"/>
        <v>402.20086957891976</v>
      </c>
      <c r="P135" s="82">
        <f t="shared" ca="1" si="46"/>
        <v>355.23058747675248</v>
      </c>
      <c r="Q135" s="82">
        <f t="shared" ca="1" si="46"/>
        <v>303.49792768817758</v>
      </c>
    </row>
    <row r="136" spans="1:24" x14ac:dyDescent="0.2">
      <c r="B136" s="17" t="s">
        <v>110</v>
      </c>
      <c r="C136" s="17"/>
      <c r="D136" s="17"/>
      <c r="E136" s="17"/>
      <c r="F136" s="17"/>
      <c r="G136" s="17"/>
      <c r="H136" s="87">
        <v>7</v>
      </c>
      <c r="I136" s="73">
        <f>+H136</f>
        <v>7</v>
      </c>
      <c r="J136" s="73">
        <f>+I136</f>
        <v>7</v>
      </c>
      <c r="K136" s="73">
        <f t="shared" ref="K136:Q136" si="47">+J136</f>
        <v>7</v>
      </c>
      <c r="L136" s="73">
        <f t="shared" si="47"/>
        <v>7</v>
      </c>
      <c r="M136" s="73">
        <f t="shared" si="47"/>
        <v>7</v>
      </c>
      <c r="N136" s="73">
        <f t="shared" si="47"/>
        <v>7</v>
      </c>
      <c r="O136" s="73">
        <f t="shared" si="47"/>
        <v>7</v>
      </c>
      <c r="P136" s="73">
        <f t="shared" si="47"/>
        <v>7</v>
      </c>
      <c r="Q136" s="73">
        <f t="shared" si="47"/>
        <v>7</v>
      </c>
    </row>
    <row r="137" spans="1:24" s="18" customFormat="1" x14ac:dyDescent="0.2">
      <c r="B137" s="9" t="s">
        <v>111</v>
      </c>
      <c r="C137" s="9"/>
      <c r="D137" s="9"/>
      <c r="E137" s="9"/>
      <c r="F137" s="9"/>
      <c r="G137" s="9"/>
      <c r="H137" s="88">
        <f>SUM(H135:H136,H133)</f>
        <v>91</v>
      </c>
      <c r="I137" s="88">
        <f t="shared" ref="I137:Q137" si="48">SUM(I135:I136,I133)</f>
        <v>691</v>
      </c>
      <c r="J137" s="88">
        <f t="shared" ca="1" si="48"/>
        <v>669.82349610640347</v>
      </c>
      <c r="K137" s="88">
        <f t="shared" ref="K137:Q137" ca="1" si="49">SUM(K135:K136,K133)</f>
        <v>648.01758400484857</v>
      </c>
      <c r="L137" s="88">
        <f t="shared" ca="1" si="49"/>
        <v>624.57501173855212</v>
      </c>
      <c r="M137" s="88">
        <f t="shared" ca="1" si="49"/>
        <v>596.58468393319413</v>
      </c>
      <c r="N137" s="88">
        <f t="shared" ca="1" si="49"/>
        <v>563.39430503895619</v>
      </c>
      <c r="O137" s="88">
        <f t="shared" ca="1" si="49"/>
        <v>524.99504960771981</v>
      </c>
      <c r="P137" s="88">
        <f t="shared" ca="1" si="49"/>
        <v>482.65653470670452</v>
      </c>
      <c r="Q137" s="88">
        <f t="shared" ca="1" si="49"/>
        <v>435.74091280732767</v>
      </c>
    </row>
    <row r="139" spans="1:24" x14ac:dyDescent="0.2">
      <c r="B139" s="3" t="s">
        <v>112</v>
      </c>
      <c r="H139" s="60">
        <v>160</v>
      </c>
      <c r="I139" s="49">
        <f>+I127-I137</f>
        <v>220.9375</v>
      </c>
      <c r="J139" s="49">
        <f ca="1">+I139+J150</f>
        <v>247.72858722692993</v>
      </c>
      <c r="K139" s="49">
        <f t="shared" ref="K139:Q139" ca="1" si="50">+J139+K150</f>
        <v>276.99508266181806</v>
      </c>
      <c r="L139" s="49">
        <f t="shared" ca="1" si="50"/>
        <v>310.01545826144798</v>
      </c>
      <c r="M139" s="49">
        <f t="shared" ca="1" si="50"/>
        <v>346.66692260013929</v>
      </c>
      <c r="N139" s="49">
        <f t="shared" ca="1" si="50"/>
        <v>387.33467348771057</v>
      </c>
      <c r="O139" s="49">
        <f t="shared" ca="1" si="50"/>
        <v>431.87725472668023</v>
      </c>
      <c r="P139" s="49">
        <f t="shared" ca="1" si="50"/>
        <v>481.23316180107162</v>
      </c>
      <c r="Q139" s="49">
        <f t="shared" ca="1" si="50"/>
        <v>535.47937156075943</v>
      </c>
    </row>
    <row r="140" spans="1:24" s="18" customFormat="1" x14ac:dyDescent="0.2">
      <c r="B140" s="9" t="s">
        <v>113</v>
      </c>
      <c r="C140" s="9"/>
      <c r="D140" s="9"/>
      <c r="E140" s="9"/>
      <c r="F140" s="9"/>
      <c r="G140" s="9"/>
      <c r="H140" s="51">
        <f>H137+H139</f>
        <v>251</v>
      </c>
      <c r="I140" s="51">
        <f>+I139+I137</f>
        <v>911.9375</v>
      </c>
      <c r="J140" s="51">
        <f t="shared" ref="J140:Q140" ca="1" si="51">+J139+J137</f>
        <v>917.55208333333337</v>
      </c>
      <c r="K140" s="51">
        <f t="shared" ref="K140" ca="1" si="52">+K139+K137</f>
        <v>925.01266666666663</v>
      </c>
      <c r="L140" s="51">
        <f t="shared" ref="L140" ca="1" si="53">+L139+L137</f>
        <v>934.5904700000001</v>
      </c>
      <c r="M140" s="51">
        <f t="shared" ref="M140" ca="1" si="54">+M139+M137</f>
        <v>943.25160653333342</v>
      </c>
      <c r="N140" s="51">
        <f t="shared" ref="N140" ca="1" si="55">+N139+N137</f>
        <v>950.72897852666676</v>
      </c>
      <c r="O140" s="51">
        <f t="shared" ref="O140" ca="1" si="56">+O139+O137</f>
        <v>956.87230433440004</v>
      </c>
      <c r="P140" s="51">
        <f t="shared" ref="P140" ca="1" si="57">+P139+P137</f>
        <v>963.88969650777608</v>
      </c>
      <c r="Q140" s="51">
        <f t="shared" ref="Q140" ca="1" si="58">+Q139+Q137</f>
        <v>971.22028436808705</v>
      </c>
    </row>
    <row r="141" spans="1:24" x14ac:dyDescent="0.2">
      <c r="B141" s="3" t="s">
        <v>52</v>
      </c>
      <c r="H141" s="89" t="b">
        <f>ROUND(H140,3) = ROUND(H127,3)</f>
        <v>1</v>
      </c>
      <c r="I141" s="89" t="b">
        <f>ROUND(I140,3) = ROUND(I127,3)</f>
        <v>1</v>
      </c>
      <c r="J141" s="89" t="b">
        <f t="shared" ref="J141:Q141" ca="1" si="59">ROUND(J140,3) = ROUND(J127,3)</f>
        <v>1</v>
      </c>
      <c r="K141" s="89" t="b">
        <f t="shared" ca="1" si="59"/>
        <v>1</v>
      </c>
      <c r="L141" s="89" t="b">
        <f t="shared" ca="1" si="59"/>
        <v>1</v>
      </c>
      <c r="M141" s="89" t="b">
        <f t="shared" ca="1" si="59"/>
        <v>1</v>
      </c>
      <c r="N141" s="89" t="b">
        <f t="shared" ca="1" si="59"/>
        <v>1</v>
      </c>
      <c r="O141" s="89" t="b">
        <f t="shared" ca="1" si="59"/>
        <v>1</v>
      </c>
      <c r="P141" s="89" t="b">
        <f t="shared" ca="1" si="59"/>
        <v>1</v>
      </c>
      <c r="Q141" s="89" t="b">
        <f t="shared" ca="1" si="59"/>
        <v>1</v>
      </c>
    </row>
    <row r="142" spans="1:24" x14ac:dyDescent="0.2">
      <c r="J142" s="118"/>
      <c r="K142" s="118"/>
      <c r="L142" s="118"/>
      <c r="M142" s="118"/>
      <c r="N142" s="118"/>
      <c r="O142" s="118"/>
      <c r="P142" s="118"/>
      <c r="Q142" s="118"/>
    </row>
    <row r="144" spans="1:24" x14ac:dyDescent="0.2">
      <c r="A144" s="5" t="s">
        <v>35</v>
      </c>
      <c r="B144" s="6" t="s">
        <v>86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2:17" x14ac:dyDescent="0.2">
      <c r="B145" s="8" t="s">
        <v>37</v>
      </c>
    </row>
    <row r="147" spans="2:17" x14ac:dyDescent="0.2">
      <c r="B147" s="8" t="s">
        <v>88</v>
      </c>
      <c r="H147" s="53">
        <v>42369</v>
      </c>
      <c r="I147" s="53">
        <v>42735</v>
      </c>
      <c r="J147" s="54">
        <v>43100</v>
      </c>
      <c r="K147" s="54">
        <v>43465</v>
      </c>
      <c r="L147" s="54">
        <v>43830</v>
      </c>
      <c r="M147" s="54">
        <v>44196</v>
      </c>
      <c r="N147" s="54">
        <v>44561</v>
      </c>
      <c r="O147" s="54">
        <v>44926</v>
      </c>
      <c r="P147" s="54">
        <v>45291</v>
      </c>
      <c r="Q147" s="54">
        <v>45657</v>
      </c>
    </row>
    <row r="148" spans="2:17" ht="3" customHeight="1" x14ac:dyDescent="0.2"/>
    <row r="149" spans="2:17" x14ac:dyDescent="0.2">
      <c r="B149" s="22" t="s">
        <v>126</v>
      </c>
    </row>
    <row r="150" spans="2:17" x14ac:dyDescent="0.2">
      <c r="B150" s="19" t="s">
        <v>28</v>
      </c>
      <c r="C150" s="19"/>
      <c r="D150" s="19"/>
      <c r="E150" s="19"/>
      <c r="F150" s="19"/>
      <c r="G150" s="19"/>
      <c r="H150" s="19"/>
      <c r="I150" s="19"/>
      <c r="J150" s="82">
        <f ca="1">+J63</f>
        <v>26.791087226929932</v>
      </c>
      <c r="K150" s="82">
        <f t="shared" ref="K150:Q150" ca="1" si="60">+K63</f>
        <v>29.266495434888121</v>
      </c>
      <c r="L150" s="82">
        <f t="shared" ca="1" si="60"/>
        <v>33.020375599629929</v>
      </c>
      <c r="M150" s="82">
        <f t="shared" ca="1" si="60"/>
        <v>36.651464338691298</v>
      </c>
      <c r="N150" s="82">
        <f t="shared" ca="1" si="60"/>
        <v>40.667750887571266</v>
      </c>
      <c r="O150" s="82">
        <f t="shared" ca="1" si="60"/>
        <v>44.542581238969689</v>
      </c>
      <c r="P150" s="82">
        <f t="shared" ca="1" si="60"/>
        <v>49.355907074391382</v>
      </c>
      <c r="Q150" s="82">
        <f t="shared" ca="1" si="60"/>
        <v>54.246209759687837</v>
      </c>
    </row>
    <row r="151" spans="2:17" x14ac:dyDescent="0.2">
      <c r="B151" s="23" t="s">
        <v>127</v>
      </c>
      <c r="C151" s="16"/>
      <c r="D151" s="16"/>
      <c r="E151" s="16"/>
      <c r="F151" s="16"/>
      <c r="G151" s="16"/>
      <c r="H151" s="16"/>
      <c r="I151" s="16"/>
      <c r="J151" s="72">
        <f>+J54</f>
        <v>17.850000000000001</v>
      </c>
      <c r="K151" s="72">
        <f t="shared" ref="K151:Q151" si="61">+K54</f>
        <v>18.920999999999999</v>
      </c>
      <c r="L151" s="72">
        <f t="shared" si="61"/>
        <v>20.245470000000001</v>
      </c>
      <c r="M151" s="72">
        <f t="shared" si="61"/>
        <v>21.460198200000001</v>
      </c>
      <c r="N151" s="72">
        <f t="shared" si="61"/>
        <v>22.533208110000004</v>
      </c>
      <c r="O151" s="72">
        <f t="shared" si="61"/>
        <v>23.434536434400002</v>
      </c>
      <c r="P151" s="72">
        <f t="shared" si="61"/>
        <v>24.371917891776004</v>
      </c>
      <c r="Q151" s="72">
        <f t="shared" si="61"/>
        <v>25.346794607447041</v>
      </c>
    </row>
    <row r="152" spans="2:17" x14ac:dyDescent="0.2">
      <c r="B152" s="23" t="s">
        <v>128</v>
      </c>
      <c r="C152" s="16"/>
      <c r="D152" s="16"/>
      <c r="E152" s="16"/>
      <c r="F152" s="16"/>
      <c r="G152" s="16"/>
      <c r="H152" s="16"/>
      <c r="I152" s="16"/>
      <c r="J152" s="72">
        <f ca="1">+J268</f>
        <v>10.362701261966929</v>
      </c>
      <c r="K152" s="72">
        <f t="shared" ref="K152:Q152" ca="1" si="62">+K268</f>
        <v>11.150763079826483</v>
      </c>
      <c r="L152" s="72">
        <f t="shared" ca="1" si="62"/>
        <v>12.008783388044325</v>
      </c>
      <c r="M152" s="72">
        <f t="shared" si="62"/>
        <v>1.4854166666666666</v>
      </c>
      <c r="N152" s="72">
        <f t="shared" si="62"/>
        <v>1.4854166666666666</v>
      </c>
      <c r="O152" s="72">
        <f t="shared" si="62"/>
        <v>1.3854166666666665</v>
      </c>
      <c r="P152" s="72">
        <f t="shared" si="62"/>
        <v>0.81250000000000044</v>
      </c>
      <c r="Q152" s="72">
        <f t="shared" si="62"/>
        <v>0.8125</v>
      </c>
    </row>
    <row r="153" spans="2:17" x14ac:dyDescent="0.2">
      <c r="B153" s="24" t="s">
        <v>129</v>
      </c>
      <c r="C153" s="17"/>
      <c r="D153" s="17"/>
      <c r="E153" s="17"/>
      <c r="F153" s="17"/>
      <c r="G153" s="17"/>
      <c r="H153" s="17"/>
      <c r="I153" s="17"/>
      <c r="J153" s="73">
        <f>+J109</f>
        <v>-2.8999999999999773</v>
      </c>
      <c r="K153" s="73">
        <f t="shared" ref="K153:Q153" si="63">+K109</f>
        <v>-3.6540000000000248</v>
      </c>
      <c r="L153" s="73">
        <f t="shared" si="63"/>
        <v>-4.518779999999964</v>
      </c>
      <c r="M153" s="73">
        <f t="shared" si="63"/>
        <v>-4.1443668000000429</v>
      </c>
      <c r="N153" s="73">
        <f t="shared" si="63"/>
        <v>-3.6608573399999926</v>
      </c>
      <c r="O153" s="73">
        <f t="shared" si="63"/>
        <v>-3.0751201655999978</v>
      </c>
      <c r="P153" s="73">
        <f t="shared" si="63"/>
        <v>-3.1981249722240364</v>
      </c>
      <c r="Q153" s="73">
        <f t="shared" si="63"/>
        <v>-3.326049971112937</v>
      </c>
    </row>
    <row r="154" spans="2:17" x14ac:dyDescent="0.2">
      <c r="B154" s="64" t="s">
        <v>126</v>
      </c>
      <c r="C154" s="14"/>
      <c r="D154" s="14"/>
      <c r="E154" s="14"/>
      <c r="F154" s="14"/>
      <c r="G154" s="14"/>
      <c r="H154" s="14"/>
      <c r="I154" s="14"/>
      <c r="J154" s="51">
        <f ca="1">+SUM(J150:J153)</f>
        <v>52.103788488896882</v>
      </c>
      <c r="K154" s="51">
        <f t="shared" ref="K154:Q154" ca="1" si="64">+SUM(K150:K153)</f>
        <v>55.684258514714578</v>
      </c>
      <c r="L154" s="51">
        <f t="shared" ca="1" si="64"/>
        <v>60.755848987674284</v>
      </c>
      <c r="M154" s="51">
        <f t="shared" ca="1" si="64"/>
        <v>55.452712405357921</v>
      </c>
      <c r="N154" s="51">
        <f t="shared" ca="1" si="64"/>
        <v>61.02551832423795</v>
      </c>
      <c r="O154" s="51">
        <f t="shared" ca="1" si="64"/>
        <v>66.287414174436364</v>
      </c>
      <c r="P154" s="51">
        <f t="shared" ca="1" si="64"/>
        <v>71.342199993943353</v>
      </c>
      <c r="Q154" s="51">
        <f t="shared" ca="1" si="64"/>
        <v>77.079454396021944</v>
      </c>
    </row>
    <row r="155" spans="2:17" x14ac:dyDescent="0.2">
      <c r="B155" s="20" t="s">
        <v>130</v>
      </c>
      <c r="H155" s="96">
        <v>-17.003999999999998</v>
      </c>
      <c r="I155" s="96">
        <v>-17</v>
      </c>
      <c r="J155" s="50">
        <f>+-(J73*J47)</f>
        <v>-17.850000000000001</v>
      </c>
      <c r="K155" s="50">
        <f t="shared" ref="K155:Q155" si="65">+-(K73*K47)</f>
        <v>-18.920999999999999</v>
      </c>
      <c r="L155" s="50">
        <f t="shared" si="65"/>
        <v>-20.245470000000001</v>
      </c>
      <c r="M155" s="50">
        <f t="shared" si="65"/>
        <v>-21.460198200000001</v>
      </c>
      <c r="N155" s="50">
        <f t="shared" si="65"/>
        <v>-22.533208110000004</v>
      </c>
      <c r="O155" s="50">
        <f t="shared" si="65"/>
        <v>-23.434536434400002</v>
      </c>
      <c r="P155" s="50">
        <f t="shared" si="65"/>
        <v>-24.371917891776004</v>
      </c>
      <c r="Q155" s="50">
        <f t="shared" si="65"/>
        <v>-25.346794607447041</v>
      </c>
    </row>
    <row r="156" spans="2:17" x14ac:dyDescent="0.2">
      <c r="B156" s="64" t="s">
        <v>131</v>
      </c>
      <c r="C156" s="14"/>
      <c r="D156" s="14"/>
      <c r="E156" s="14"/>
      <c r="F156" s="14"/>
      <c r="G156" s="14"/>
      <c r="H156" s="14"/>
      <c r="I156" s="14"/>
      <c r="J156" s="51">
        <f ca="1">+J154+J155</f>
        <v>34.25378848889688</v>
      </c>
      <c r="K156" s="51">
        <f t="shared" ref="K156:Q156" ca="1" si="66">+K154+K155</f>
        <v>36.763258514714579</v>
      </c>
      <c r="L156" s="51">
        <f t="shared" ca="1" si="66"/>
        <v>40.510378987674287</v>
      </c>
      <c r="M156" s="51">
        <f t="shared" ca="1" si="66"/>
        <v>33.992514205357921</v>
      </c>
      <c r="N156" s="51">
        <f t="shared" ca="1" si="66"/>
        <v>38.492310214237946</v>
      </c>
      <c r="O156" s="51">
        <f t="shared" ca="1" si="66"/>
        <v>42.852877740036362</v>
      </c>
      <c r="P156" s="51">
        <f t="shared" ca="1" si="66"/>
        <v>46.970282102167346</v>
      </c>
      <c r="Q156" s="51">
        <f t="shared" ca="1" si="66"/>
        <v>51.732659788574907</v>
      </c>
    </row>
    <row r="157" spans="2:17" x14ac:dyDescent="0.2">
      <c r="B157" s="20"/>
    </row>
    <row r="158" spans="2:17" x14ac:dyDescent="0.2">
      <c r="B158" s="21" t="s">
        <v>10</v>
      </c>
      <c r="C158" s="19"/>
      <c r="D158" s="19"/>
      <c r="E158" s="19"/>
      <c r="F158" s="19"/>
      <c r="G158" s="19"/>
      <c r="H158" s="19"/>
      <c r="I158" s="19"/>
      <c r="J158" s="82">
        <f>+I119</f>
        <v>5</v>
      </c>
      <c r="K158" s="82">
        <f ca="1">+J167</f>
        <v>39.25378848889688</v>
      </c>
      <c r="L158" s="82">
        <f t="shared" ref="L158:Q158" ca="1" si="67">+K167</f>
        <v>76.017047003611452</v>
      </c>
      <c r="M158" s="82">
        <f t="shared" ca="1" si="67"/>
        <v>116.52742599128574</v>
      </c>
      <c r="N158" s="82">
        <f t="shared" ca="1" si="67"/>
        <v>150.51994019664366</v>
      </c>
      <c r="O158" s="82">
        <f t="shared" ca="1" si="67"/>
        <v>189.01225041088162</v>
      </c>
      <c r="P158" s="82">
        <f t="shared" ca="1" si="67"/>
        <v>231.865128150918</v>
      </c>
      <c r="Q158" s="82">
        <f t="shared" ca="1" si="67"/>
        <v>278.83541025308534</v>
      </c>
    </row>
    <row r="159" spans="2:17" x14ac:dyDescent="0.2">
      <c r="B159" s="23" t="s">
        <v>132</v>
      </c>
      <c r="C159" s="16"/>
      <c r="D159" s="16"/>
      <c r="E159" s="16"/>
      <c r="F159" s="16"/>
      <c r="G159" s="16"/>
      <c r="H159" s="16"/>
      <c r="I159" s="16"/>
      <c r="J159" s="72">
        <f ca="1">+J156</f>
        <v>34.25378848889688</v>
      </c>
      <c r="K159" s="72">
        <f t="shared" ref="K159:Q159" ca="1" si="68">+K156</f>
        <v>36.763258514714579</v>
      </c>
      <c r="L159" s="72">
        <f t="shared" ca="1" si="68"/>
        <v>40.510378987674287</v>
      </c>
      <c r="M159" s="72">
        <f t="shared" ca="1" si="68"/>
        <v>33.992514205357921</v>
      </c>
      <c r="N159" s="72">
        <f t="shared" ca="1" si="68"/>
        <v>38.492310214237946</v>
      </c>
      <c r="O159" s="72">
        <f t="shared" ca="1" si="68"/>
        <v>42.852877740036362</v>
      </c>
      <c r="P159" s="72">
        <f t="shared" ca="1" si="68"/>
        <v>46.970282102167346</v>
      </c>
      <c r="Q159" s="72">
        <f t="shared" ca="1" si="68"/>
        <v>51.732659788574907</v>
      </c>
    </row>
    <row r="160" spans="2:17" x14ac:dyDescent="0.2">
      <c r="B160" s="24" t="s">
        <v>133</v>
      </c>
      <c r="C160" s="17"/>
      <c r="D160" s="17"/>
      <c r="E160" s="17"/>
      <c r="F160" s="17"/>
      <c r="G160" s="17"/>
      <c r="H160" s="17"/>
      <c r="I160" s="17"/>
      <c r="J160" s="73">
        <f>+-$H$32</f>
        <v>-5</v>
      </c>
      <c r="K160" s="73">
        <f t="shared" ref="K160:Q160" si="69">+-$H$32</f>
        <v>-5</v>
      </c>
      <c r="L160" s="73">
        <f t="shared" si="69"/>
        <v>-5</v>
      </c>
      <c r="M160" s="73">
        <f t="shared" si="69"/>
        <v>-5</v>
      </c>
      <c r="N160" s="73">
        <f t="shared" si="69"/>
        <v>-5</v>
      </c>
      <c r="O160" s="73">
        <f t="shared" si="69"/>
        <v>-5</v>
      </c>
      <c r="P160" s="73">
        <f t="shared" si="69"/>
        <v>-5</v>
      </c>
      <c r="Q160" s="73">
        <f t="shared" si="69"/>
        <v>-5</v>
      </c>
    </row>
    <row r="161" spans="1:24" x14ac:dyDescent="0.2">
      <c r="B161" s="64" t="s">
        <v>134</v>
      </c>
      <c r="C161" s="14"/>
      <c r="D161" s="14"/>
      <c r="E161" s="14"/>
      <c r="F161" s="14"/>
      <c r="G161" s="14"/>
      <c r="H161" s="14"/>
      <c r="I161" s="14"/>
      <c r="J161" s="51">
        <f ca="1">+J158+J159+J160</f>
        <v>34.25378848889688</v>
      </c>
      <c r="K161" s="51">
        <f t="shared" ref="K161:Q161" ca="1" si="70">+K158+K159+K160</f>
        <v>71.017047003611452</v>
      </c>
      <c r="L161" s="51">
        <f t="shared" ca="1" si="70"/>
        <v>111.52742599128574</v>
      </c>
      <c r="M161" s="51">
        <f t="shared" ca="1" si="70"/>
        <v>145.51994019664366</v>
      </c>
      <c r="N161" s="51">
        <f t="shared" ca="1" si="70"/>
        <v>184.01225041088162</v>
      </c>
      <c r="O161" s="51">
        <f t="shared" ca="1" si="70"/>
        <v>226.865128150918</v>
      </c>
      <c r="P161" s="51">
        <f t="shared" ca="1" si="70"/>
        <v>273.83541025308534</v>
      </c>
      <c r="Q161" s="51">
        <f t="shared" ca="1" si="70"/>
        <v>325.56807004166023</v>
      </c>
    </row>
    <row r="162" spans="1:24" x14ac:dyDescent="0.2">
      <c r="B162" s="20"/>
    </row>
    <row r="163" spans="1:24" x14ac:dyDescent="0.2">
      <c r="B163" s="21" t="s">
        <v>135</v>
      </c>
      <c r="C163" s="19"/>
      <c r="D163" s="19"/>
      <c r="E163" s="19"/>
      <c r="F163" s="19"/>
      <c r="G163" s="19"/>
      <c r="H163" s="19"/>
      <c r="I163" s="19"/>
      <c r="J163" s="82"/>
      <c r="K163" s="82"/>
      <c r="L163" s="82"/>
      <c r="M163" s="82"/>
      <c r="N163" s="82"/>
      <c r="O163" s="82"/>
      <c r="P163" s="82"/>
      <c r="Q163" s="82"/>
    </row>
    <row r="164" spans="1:24" x14ac:dyDescent="0.2">
      <c r="B164" s="20" t="s">
        <v>136</v>
      </c>
      <c r="J164" s="50"/>
      <c r="K164" s="50"/>
      <c r="L164" s="50"/>
      <c r="M164" s="50"/>
      <c r="N164" s="50"/>
      <c r="O164" s="50"/>
      <c r="P164" s="50"/>
      <c r="Q164" s="50"/>
    </row>
    <row r="165" spans="1:24" x14ac:dyDescent="0.2">
      <c r="B165" s="20"/>
    </row>
    <row r="166" spans="1:24" x14ac:dyDescent="0.2">
      <c r="B166" s="20" t="s">
        <v>142</v>
      </c>
      <c r="J166" s="49">
        <f>+$H$32</f>
        <v>5</v>
      </c>
      <c r="K166" s="49">
        <f t="shared" ref="K166:Q166" si="71">+$H$32</f>
        <v>5</v>
      </c>
      <c r="L166" s="49">
        <f t="shared" si="71"/>
        <v>5</v>
      </c>
      <c r="M166" s="49">
        <f t="shared" si="71"/>
        <v>5</v>
      </c>
      <c r="N166" s="49">
        <f t="shared" si="71"/>
        <v>5</v>
      </c>
      <c r="O166" s="49">
        <f t="shared" si="71"/>
        <v>5</v>
      </c>
      <c r="P166" s="49">
        <f t="shared" si="71"/>
        <v>5</v>
      </c>
      <c r="Q166" s="49">
        <f t="shared" si="71"/>
        <v>5</v>
      </c>
    </row>
    <row r="167" spans="1:24" x14ac:dyDescent="0.2">
      <c r="B167" s="64" t="s">
        <v>16</v>
      </c>
      <c r="C167" s="14"/>
      <c r="D167" s="14"/>
      <c r="E167" s="14"/>
      <c r="F167" s="14"/>
      <c r="G167" s="14"/>
      <c r="H167" s="14"/>
      <c r="I167" s="51">
        <f>+I119</f>
        <v>5</v>
      </c>
      <c r="J167" s="51">
        <f ca="1">+J161+J166</f>
        <v>39.25378848889688</v>
      </c>
      <c r="K167" s="51">
        <f t="shared" ref="K167:Q167" ca="1" si="72">+K161+K166</f>
        <v>76.017047003611452</v>
      </c>
      <c r="L167" s="51">
        <f t="shared" ca="1" si="72"/>
        <v>116.52742599128574</v>
      </c>
      <c r="M167" s="51">
        <f t="shared" ca="1" si="72"/>
        <v>150.51994019664366</v>
      </c>
      <c r="N167" s="51">
        <f t="shared" ca="1" si="72"/>
        <v>189.01225041088162</v>
      </c>
      <c r="O167" s="51">
        <f t="shared" ca="1" si="72"/>
        <v>231.865128150918</v>
      </c>
      <c r="P167" s="51">
        <f t="shared" ca="1" si="72"/>
        <v>278.83541025308534</v>
      </c>
      <c r="Q167" s="51">
        <f t="shared" ca="1" si="72"/>
        <v>330.56807004166023</v>
      </c>
    </row>
    <row r="168" spans="1:24" x14ac:dyDescent="0.2">
      <c r="B168" s="67"/>
    </row>
    <row r="169" spans="1:24" x14ac:dyDescent="0.2">
      <c r="B169" s="68" t="s">
        <v>98</v>
      </c>
    </row>
    <row r="170" spans="1:24" x14ac:dyDescent="0.2">
      <c r="B170" s="21" t="s">
        <v>143</v>
      </c>
      <c r="C170" s="19"/>
      <c r="D170" s="19"/>
      <c r="E170" s="19"/>
      <c r="F170" s="19"/>
      <c r="G170" s="63"/>
      <c r="H170" s="19"/>
      <c r="I170" s="19"/>
      <c r="J170" s="82">
        <f ca="1">+IF($H$38=1,AVERAGE(J158,J167),J158)</f>
        <v>22.12689424444844</v>
      </c>
      <c r="K170" s="82">
        <f t="shared" ref="K170:Q170" ca="1" si="73">+IF($H$38=1,AVERAGE(K158,K167),K158)</f>
        <v>57.635417746254163</v>
      </c>
      <c r="L170" s="82">
        <f t="shared" ca="1" si="73"/>
        <v>96.272236497448603</v>
      </c>
      <c r="M170" s="82">
        <f t="shared" ca="1" si="73"/>
        <v>133.52368309396471</v>
      </c>
      <c r="N170" s="82">
        <f t="shared" ca="1" si="73"/>
        <v>169.76609530376265</v>
      </c>
      <c r="O170" s="82">
        <f t="shared" ca="1" si="73"/>
        <v>210.43868928089981</v>
      </c>
      <c r="P170" s="82">
        <f t="shared" ca="1" si="73"/>
        <v>255.35026920200167</v>
      </c>
      <c r="Q170" s="82">
        <f t="shared" ca="1" si="73"/>
        <v>304.70174014737279</v>
      </c>
    </row>
    <row r="171" spans="1:24" x14ac:dyDescent="0.2">
      <c r="B171" s="20" t="s">
        <v>144</v>
      </c>
      <c r="G171" s="97">
        <f>H35</f>
        <v>2.5000000000000001E-3</v>
      </c>
      <c r="J171" s="50">
        <f ca="1">+J170*$G$171</f>
        <v>5.5317235611121104E-2</v>
      </c>
      <c r="K171" s="50">
        <f t="shared" ref="K171:Q171" ca="1" si="74">+K170*$G$171</f>
        <v>0.14408854436563542</v>
      </c>
      <c r="L171" s="50">
        <f t="shared" ca="1" si="74"/>
        <v>0.24068059124362151</v>
      </c>
      <c r="M171" s="50">
        <f t="shared" ca="1" si="74"/>
        <v>0.33380920773491179</v>
      </c>
      <c r="N171" s="50">
        <f t="shared" ca="1" si="74"/>
        <v>0.42441523825940664</v>
      </c>
      <c r="O171" s="50">
        <f t="shared" ca="1" si="74"/>
        <v>0.52609672320224954</v>
      </c>
      <c r="P171" s="50">
        <f t="shared" ca="1" si="74"/>
        <v>0.6383756730050042</v>
      </c>
      <c r="Q171" s="50">
        <f t="shared" ca="1" si="74"/>
        <v>0.76175435036843198</v>
      </c>
    </row>
    <row r="172" spans="1:24" x14ac:dyDescent="0.2">
      <c r="B172" s="20"/>
    </row>
    <row r="174" spans="1:24" x14ac:dyDescent="0.2">
      <c r="A174" s="5" t="s">
        <v>35</v>
      </c>
      <c r="B174" s="6" t="s">
        <v>87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">
      <c r="B175" s="8" t="s">
        <v>37</v>
      </c>
    </row>
    <row r="177" spans="2:17" x14ac:dyDescent="0.2">
      <c r="B177" s="8" t="s">
        <v>88</v>
      </c>
      <c r="I177" s="133">
        <f>I$116</f>
        <v>42735</v>
      </c>
      <c r="J177" s="54">
        <f t="shared" ref="J177:Q177" si="75">J$116</f>
        <v>43100</v>
      </c>
      <c r="K177" s="54">
        <f t="shared" si="75"/>
        <v>43465</v>
      </c>
      <c r="L177" s="54">
        <f t="shared" si="75"/>
        <v>43830</v>
      </c>
      <c r="M177" s="54">
        <f t="shared" si="75"/>
        <v>44196</v>
      </c>
      <c r="N177" s="54">
        <f t="shared" si="75"/>
        <v>44561</v>
      </c>
      <c r="O177" s="54">
        <f t="shared" si="75"/>
        <v>44926</v>
      </c>
      <c r="P177" s="54">
        <f t="shared" si="75"/>
        <v>45291</v>
      </c>
      <c r="Q177" s="54">
        <f t="shared" si="75"/>
        <v>45657</v>
      </c>
    </row>
    <row r="178" spans="2:17" ht="3" customHeight="1" x14ac:dyDescent="0.2"/>
    <row r="180" spans="2:17" x14ac:dyDescent="0.2">
      <c r="B180" s="22" t="s">
        <v>145</v>
      </c>
    </row>
    <row r="181" spans="2:17" x14ac:dyDescent="0.2">
      <c r="B181" s="19" t="s">
        <v>21</v>
      </c>
      <c r="C181" s="19"/>
      <c r="D181" s="19"/>
      <c r="E181" s="19"/>
      <c r="F181" s="19"/>
      <c r="G181" s="19"/>
      <c r="H181" s="19"/>
      <c r="I181" s="82">
        <f>+G11</f>
        <v>0</v>
      </c>
      <c r="J181" s="82">
        <f ca="1">+MAX(0,H181+J200+J209)</f>
        <v>0</v>
      </c>
      <c r="K181" s="82">
        <f t="shared" ref="K181:Q181" ca="1" si="76">+MAX(0,I181+K200+K209)</f>
        <v>0</v>
      </c>
      <c r="L181" s="82">
        <f t="shared" ca="1" si="76"/>
        <v>0</v>
      </c>
      <c r="M181" s="82">
        <f t="shared" ca="1" si="76"/>
        <v>0</v>
      </c>
      <c r="N181" s="82">
        <f t="shared" ca="1" si="76"/>
        <v>0</v>
      </c>
      <c r="O181" s="82">
        <f t="shared" ca="1" si="76"/>
        <v>0</v>
      </c>
      <c r="P181" s="82">
        <f t="shared" ca="1" si="76"/>
        <v>0</v>
      </c>
      <c r="Q181" s="82">
        <f t="shared" ca="1" si="76"/>
        <v>0</v>
      </c>
    </row>
    <row r="182" spans="2:17" x14ac:dyDescent="0.2">
      <c r="B182" s="16" t="s">
        <v>20</v>
      </c>
      <c r="C182" s="16"/>
      <c r="D182" s="16"/>
      <c r="E182" s="16"/>
      <c r="F182" s="16"/>
      <c r="G182" s="16"/>
      <c r="H182" s="16"/>
      <c r="I182" s="82">
        <f t="shared" ref="I182:I184" si="77">+G12</f>
        <v>275</v>
      </c>
      <c r="J182" s="72">
        <f ca="1">+MAX(0,I182+J201+J210)</f>
        <v>240.74621151110313</v>
      </c>
      <c r="K182" s="72">
        <f t="shared" ref="K182:Q184" ca="1" si="78">+MAX(0,J182+K201+K210)</f>
        <v>203.98295299638855</v>
      </c>
      <c r="L182" s="72">
        <f t="shared" ca="1" si="78"/>
        <v>163.47257400871428</v>
      </c>
      <c r="M182" s="72">
        <f t="shared" ca="1" si="78"/>
        <v>129.48005980335637</v>
      </c>
      <c r="N182" s="72">
        <f t="shared" ca="1" si="78"/>
        <v>90.987749589118422</v>
      </c>
      <c r="O182" s="72">
        <f t="shared" ca="1" si="78"/>
        <v>48.13487184908206</v>
      </c>
      <c r="P182" s="72">
        <f t="shared" ca="1" si="78"/>
        <v>1.1645897469147144</v>
      </c>
      <c r="Q182" s="72">
        <f t="shared" ca="1" si="78"/>
        <v>0</v>
      </c>
    </row>
    <row r="183" spans="2:17" x14ac:dyDescent="0.2">
      <c r="B183" s="16" t="s">
        <v>43</v>
      </c>
      <c r="C183" s="16"/>
      <c r="D183" s="16"/>
      <c r="E183" s="16"/>
      <c r="F183" s="16"/>
      <c r="G183" s="16"/>
      <c r="H183" s="16"/>
      <c r="I183" s="82">
        <f t="shared" si="77"/>
        <v>225</v>
      </c>
      <c r="J183" s="82">
        <f ca="1">+MAX(0,I183+J202+J211+J247)</f>
        <v>225</v>
      </c>
      <c r="K183" s="82">
        <f t="shared" ref="K183:Q183" ca="1" si="79">+MAX(0,J183+K202+K211+K247)</f>
        <v>225</v>
      </c>
      <c r="L183" s="82">
        <f t="shared" ca="1" si="79"/>
        <v>225</v>
      </c>
      <c r="M183" s="82">
        <f t="shared" ca="1" si="79"/>
        <v>225</v>
      </c>
      <c r="N183" s="82">
        <f t="shared" ca="1" si="79"/>
        <v>225</v>
      </c>
      <c r="O183" s="82">
        <f t="shared" ca="1" si="79"/>
        <v>225</v>
      </c>
      <c r="P183" s="82">
        <f t="shared" ca="1" si="79"/>
        <v>225</v>
      </c>
      <c r="Q183" s="82">
        <f t="shared" ca="1" si="79"/>
        <v>174.43192995833982</v>
      </c>
    </row>
    <row r="184" spans="2:17" x14ac:dyDescent="0.2">
      <c r="B184" s="17" t="s">
        <v>44</v>
      </c>
      <c r="C184" s="17"/>
      <c r="D184" s="17"/>
      <c r="E184" s="17"/>
      <c r="F184" s="17"/>
      <c r="G184" s="17"/>
      <c r="H184" s="17"/>
      <c r="I184" s="82">
        <f t="shared" si="77"/>
        <v>100</v>
      </c>
      <c r="J184" s="82">
        <f ca="1">+MAX(0,I184+J203+J212+J248)</f>
        <v>108.87728459530027</v>
      </c>
      <c r="K184" s="82">
        <f t="shared" ref="K184:Q184" ca="1" si="80">+MAX(0,J184+K203+K212+K248)</f>
        <v>118.54263100846008</v>
      </c>
      <c r="L184" s="82">
        <f t="shared" ca="1" si="80"/>
        <v>129.06599772983773</v>
      </c>
      <c r="M184" s="82">
        <f t="shared" ca="1" si="80"/>
        <v>129.06599772983773</v>
      </c>
      <c r="N184" s="82">
        <f t="shared" ca="1" si="80"/>
        <v>129.06599772983773</v>
      </c>
      <c r="O184" s="82">
        <f t="shared" ca="1" si="80"/>
        <v>129.06599772983773</v>
      </c>
      <c r="P184" s="82">
        <f t="shared" ca="1" si="80"/>
        <v>129.06599772983773</v>
      </c>
      <c r="Q184" s="82">
        <f t="shared" ca="1" si="80"/>
        <v>129.06599772983773</v>
      </c>
    </row>
    <row r="185" spans="2:17" s="18" customFormat="1" x14ac:dyDescent="0.2">
      <c r="B185" s="9" t="s">
        <v>80</v>
      </c>
      <c r="C185" s="9"/>
      <c r="D185" s="9"/>
      <c r="E185" s="9"/>
      <c r="F185" s="9"/>
      <c r="G185" s="9"/>
      <c r="H185" s="9"/>
      <c r="I185" s="51">
        <f>SUM(I181:I184)</f>
        <v>600</v>
      </c>
      <c r="J185" s="51">
        <f ca="1">SUM(J181:J184)</f>
        <v>574.62349610640342</v>
      </c>
      <c r="K185" s="51">
        <f t="shared" ref="K185:Q185" ca="1" si="81">SUM(K181:K184)</f>
        <v>547.52558400484861</v>
      </c>
      <c r="L185" s="51">
        <f t="shared" ca="1" si="81"/>
        <v>517.53857173855204</v>
      </c>
      <c r="M185" s="51">
        <f t="shared" ca="1" si="81"/>
        <v>483.54605753319413</v>
      </c>
      <c r="N185" s="51">
        <f t="shared" ca="1" si="81"/>
        <v>445.0537473189562</v>
      </c>
      <c r="O185" s="51">
        <f t="shared" ca="1" si="81"/>
        <v>402.20086957891976</v>
      </c>
      <c r="P185" s="51">
        <f t="shared" ca="1" si="81"/>
        <v>355.23058747675248</v>
      </c>
      <c r="Q185" s="51">
        <f t="shared" ca="1" si="81"/>
        <v>303.49792768817758</v>
      </c>
    </row>
    <row r="186" spans="2:17" x14ac:dyDescent="0.2">
      <c r="C186" s="8" t="s">
        <v>167</v>
      </c>
      <c r="J186" s="57">
        <f ca="1">IFERROR(J185/$I185,0)</f>
        <v>0.95770582684400574</v>
      </c>
      <c r="K186" s="57">
        <f t="shared" ref="K186:Q186" ca="1" si="82">IFERROR(K185/$I185,0)</f>
        <v>0.91254264000808105</v>
      </c>
      <c r="L186" s="57">
        <f t="shared" ca="1" si="82"/>
        <v>0.86256428623092007</v>
      </c>
      <c r="M186" s="57">
        <f t="shared" ca="1" si="82"/>
        <v>0.80591009588865692</v>
      </c>
      <c r="N186" s="57">
        <f t="shared" ca="1" si="82"/>
        <v>0.74175624553159369</v>
      </c>
      <c r="O186" s="57">
        <f t="shared" ca="1" si="82"/>
        <v>0.6703347826315329</v>
      </c>
      <c r="P186" s="57">
        <f t="shared" ca="1" si="82"/>
        <v>0.59205097912792082</v>
      </c>
      <c r="Q186" s="57">
        <f t="shared" ca="1" si="82"/>
        <v>0.50582987948029601</v>
      </c>
    </row>
    <row r="188" spans="2:17" x14ac:dyDescent="0.2">
      <c r="B188" s="22" t="s">
        <v>98</v>
      </c>
    </row>
    <row r="189" spans="2:17" x14ac:dyDescent="0.2">
      <c r="B189" s="63" t="s">
        <v>146</v>
      </c>
      <c r="C189" s="63"/>
      <c r="D189" s="63"/>
      <c r="E189" s="63"/>
      <c r="F189" s="63"/>
      <c r="G189" s="98">
        <f>Q15</f>
        <v>100</v>
      </c>
      <c r="H189" s="63"/>
      <c r="I189" s="99">
        <f>+MAX(0,$Q$15-$G$11)</f>
        <v>100</v>
      </c>
      <c r="J189" s="99">
        <f t="shared" ref="J189:Q189" si="83">+MAX(0,$Q$15-$G$11)</f>
        <v>100</v>
      </c>
      <c r="K189" s="99">
        <f t="shared" si="83"/>
        <v>100</v>
      </c>
      <c r="L189" s="99">
        <f t="shared" si="83"/>
        <v>100</v>
      </c>
      <c r="M189" s="99">
        <f t="shared" si="83"/>
        <v>100</v>
      </c>
      <c r="N189" s="99">
        <f t="shared" si="83"/>
        <v>100</v>
      </c>
      <c r="O189" s="99">
        <f t="shared" si="83"/>
        <v>100</v>
      </c>
      <c r="P189" s="99">
        <f t="shared" si="83"/>
        <v>100</v>
      </c>
      <c r="Q189" s="99">
        <f t="shared" si="83"/>
        <v>100</v>
      </c>
    </row>
    <row r="191" spans="2:17" x14ac:dyDescent="0.2">
      <c r="B191" s="69" t="s">
        <v>147</v>
      </c>
      <c r="C191" s="69"/>
      <c r="D191" s="69"/>
      <c r="E191" s="69"/>
      <c r="F191" s="69"/>
      <c r="G191" s="69"/>
      <c r="H191" s="69"/>
      <c r="I191" s="69"/>
      <c r="J191" s="100">
        <f ca="1">+J156</f>
        <v>34.25378848889688</v>
      </c>
      <c r="K191" s="100">
        <f t="shared" ref="K191:Q191" ca="1" si="84">+K156</f>
        <v>36.763258514714579</v>
      </c>
      <c r="L191" s="100">
        <f t="shared" ca="1" si="84"/>
        <v>40.510378987674287</v>
      </c>
      <c r="M191" s="100">
        <f t="shared" ca="1" si="84"/>
        <v>33.992514205357921</v>
      </c>
      <c r="N191" s="100">
        <f t="shared" ca="1" si="84"/>
        <v>38.492310214237946</v>
      </c>
      <c r="O191" s="100">
        <f t="shared" ca="1" si="84"/>
        <v>42.852877740036362</v>
      </c>
      <c r="P191" s="100">
        <f t="shared" ca="1" si="84"/>
        <v>46.970282102167346</v>
      </c>
      <c r="Q191" s="100">
        <f t="shared" ca="1" si="84"/>
        <v>51.732659788574907</v>
      </c>
    </row>
    <row r="193" spans="2:17" x14ac:dyDescent="0.2">
      <c r="B193" s="22" t="s">
        <v>148</v>
      </c>
    </row>
    <row r="194" spans="2:17" x14ac:dyDescent="0.2">
      <c r="B194" s="19" t="s">
        <v>21</v>
      </c>
      <c r="C194" s="19"/>
      <c r="D194" s="19"/>
      <c r="E194" s="19"/>
      <c r="F194" s="19"/>
      <c r="G194" s="19"/>
      <c r="H194" s="19"/>
      <c r="I194" s="19"/>
      <c r="J194" s="65">
        <v>0</v>
      </c>
      <c r="K194" s="61">
        <f>J194</f>
        <v>0</v>
      </c>
      <c r="L194" s="61">
        <f t="shared" ref="L194:Q194" si="85">K194</f>
        <v>0</v>
      </c>
      <c r="M194" s="61">
        <f t="shared" si="85"/>
        <v>0</v>
      </c>
      <c r="N194" s="61">
        <f t="shared" si="85"/>
        <v>0</v>
      </c>
      <c r="O194" s="61">
        <f t="shared" si="85"/>
        <v>0</v>
      </c>
      <c r="P194" s="61">
        <f t="shared" si="85"/>
        <v>0</v>
      </c>
      <c r="Q194" s="61">
        <f t="shared" si="85"/>
        <v>0</v>
      </c>
    </row>
    <row r="195" spans="2:17" x14ac:dyDescent="0.2">
      <c r="B195" s="16" t="s">
        <v>20</v>
      </c>
      <c r="C195" s="16"/>
      <c r="D195" s="16"/>
      <c r="E195" s="16"/>
      <c r="F195" s="16"/>
      <c r="G195" s="16"/>
      <c r="H195" s="16"/>
      <c r="I195" s="16"/>
      <c r="J195" s="62">
        <f>U11</f>
        <v>0.01</v>
      </c>
      <c r="K195" s="62">
        <f t="shared" ref="K195:Q197" si="86">J195</f>
        <v>0.01</v>
      </c>
      <c r="L195" s="62">
        <f t="shared" si="86"/>
        <v>0.01</v>
      </c>
      <c r="M195" s="62">
        <f t="shared" si="86"/>
        <v>0.01</v>
      </c>
      <c r="N195" s="62">
        <f t="shared" si="86"/>
        <v>0.01</v>
      </c>
      <c r="O195" s="62">
        <f t="shared" si="86"/>
        <v>0.01</v>
      </c>
      <c r="P195" s="62">
        <f t="shared" si="86"/>
        <v>0.01</v>
      </c>
      <c r="Q195" s="62">
        <f t="shared" si="86"/>
        <v>0.01</v>
      </c>
    </row>
    <row r="196" spans="2:17" x14ac:dyDescent="0.2">
      <c r="B196" s="16" t="s">
        <v>43</v>
      </c>
      <c r="C196" s="16"/>
      <c r="D196" s="16"/>
      <c r="E196" s="16"/>
      <c r="F196" s="16"/>
      <c r="G196" s="16"/>
      <c r="H196" s="16"/>
      <c r="I196" s="16"/>
      <c r="J196" s="62">
        <f>U12</f>
        <v>0</v>
      </c>
      <c r="K196" s="62">
        <f t="shared" si="86"/>
        <v>0</v>
      </c>
      <c r="L196" s="62">
        <f t="shared" si="86"/>
        <v>0</v>
      </c>
      <c r="M196" s="62">
        <f t="shared" si="86"/>
        <v>0</v>
      </c>
      <c r="N196" s="62">
        <f t="shared" si="86"/>
        <v>0</v>
      </c>
      <c r="O196" s="62">
        <f t="shared" si="86"/>
        <v>0</v>
      </c>
      <c r="P196" s="62">
        <f t="shared" si="86"/>
        <v>0</v>
      </c>
      <c r="Q196" s="62">
        <f t="shared" si="86"/>
        <v>0</v>
      </c>
    </row>
    <row r="197" spans="2:17" x14ac:dyDescent="0.2">
      <c r="B197" s="17" t="s">
        <v>44</v>
      </c>
      <c r="C197" s="17"/>
      <c r="D197" s="17"/>
      <c r="E197" s="17"/>
      <c r="F197" s="17"/>
      <c r="G197" s="17"/>
      <c r="H197" s="17"/>
      <c r="I197" s="17"/>
      <c r="J197" s="76">
        <f>U13</f>
        <v>0</v>
      </c>
      <c r="K197" s="76">
        <f t="shared" si="86"/>
        <v>0</v>
      </c>
      <c r="L197" s="76">
        <f t="shared" si="86"/>
        <v>0</v>
      </c>
      <c r="M197" s="76">
        <f t="shared" si="86"/>
        <v>0</v>
      </c>
      <c r="N197" s="76">
        <f t="shared" si="86"/>
        <v>0</v>
      </c>
      <c r="O197" s="76">
        <f t="shared" si="86"/>
        <v>0</v>
      </c>
      <c r="P197" s="76">
        <f t="shared" si="86"/>
        <v>0</v>
      </c>
      <c r="Q197" s="76">
        <f t="shared" si="86"/>
        <v>0</v>
      </c>
    </row>
    <row r="199" spans="2:17" x14ac:dyDescent="0.2">
      <c r="B199" s="22" t="s">
        <v>11</v>
      </c>
    </row>
    <row r="200" spans="2:17" x14ac:dyDescent="0.2">
      <c r="B200" s="19" t="s">
        <v>21</v>
      </c>
      <c r="C200" s="19"/>
      <c r="D200" s="19"/>
      <c r="E200" s="19"/>
      <c r="F200" s="19"/>
      <c r="G200" s="19"/>
      <c r="H200" s="19"/>
      <c r="I200" s="19"/>
      <c r="J200" s="82"/>
      <c r="K200" s="82"/>
      <c r="L200" s="82"/>
      <c r="M200" s="82"/>
      <c r="N200" s="82"/>
      <c r="O200" s="82"/>
      <c r="P200" s="82"/>
      <c r="Q200" s="82"/>
    </row>
    <row r="201" spans="2:17" x14ac:dyDescent="0.2">
      <c r="B201" s="16" t="s">
        <v>20</v>
      </c>
      <c r="C201" s="16"/>
      <c r="D201" s="16"/>
      <c r="E201" s="16"/>
      <c r="F201" s="16"/>
      <c r="G201" s="16"/>
      <c r="H201" s="16"/>
      <c r="I201" s="16"/>
      <c r="J201" s="72">
        <f>+-MAX(0,MIN($I$182*J195,I182))</f>
        <v>-2.75</v>
      </c>
      <c r="K201" s="72">
        <f t="shared" ref="K201:Q201" ca="1" si="87">+-MAX(0,MIN($I$182*K195,J182))</f>
        <v>-2.75</v>
      </c>
      <c r="L201" s="72">
        <f t="shared" ca="1" si="87"/>
        <v>-2.75</v>
      </c>
      <c r="M201" s="72">
        <f t="shared" ca="1" si="87"/>
        <v>-2.75</v>
      </c>
      <c r="N201" s="72">
        <f t="shared" ca="1" si="87"/>
        <v>-2.75</v>
      </c>
      <c r="O201" s="72">
        <f t="shared" ca="1" si="87"/>
        <v>-2.75</v>
      </c>
      <c r="P201" s="72">
        <f t="shared" ca="1" si="87"/>
        <v>-2.75</v>
      </c>
      <c r="Q201" s="72">
        <f t="shared" ca="1" si="87"/>
        <v>-1.1645897469147144</v>
      </c>
    </row>
    <row r="202" spans="2:17" x14ac:dyDescent="0.2">
      <c r="B202" s="16" t="s">
        <v>43</v>
      </c>
      <c r="C202" s="16"/>
      <c r="D202" s="16"/>
      <c r="E202" s="16"/>
      <c r="F202" s="16"/>
      <c r="G202" s="16"/>
      <c r="H202" s="16"/>
      <c r="I202" s="16"/>
      <c r="J202" s="72"/>
      <c r="K202" s="72"/>
      <c r="L202" s="72"/>
      <c r="M202" s="72"/>
      <c r="N202" s="72"/>
      <c r="O202" s="72"/>
      <c r="P202" s="72"/>
      <c r="Q202" s="72"/>
    </row>
    <row r="203" spans="2:17" x14ac:dyDescent="0.2">
      <c r="B203" s="17" t="s">
        <v>44</v>
      </c>
      <c r="C203" s="17"/>
      <c r="D203" s="17"/>
      <c r="E203" s="17"/>
      <c r="F203" s="17"/>
      <c r="G203" s="17"/>
      <c r="H203" s="17"/>
      <c r="I203" s="17"/>
      <c r="J203" s="73"/>
      <c r="K203" s="73"/>
      <c r="L203" s="73"/>
      <c r="M203" s="73"/>
      <c r="N203" s="73"/>
      <c r="O203" s="73"/>
      <c r="P203" s="73"/>
      <c r="Q203" s="73"/>
    </row>
    <row r="204" spans="2:17" s="18" customFormat="1" x14ac:dyDescent="0.2">
      <c r="B204" s="9" t="s">
        <v>80</v>
      </c>
      <c r="C204" s="9"/>
      <c r="D204" s="9"/>
      <c r="E204" s="9"/>
      <c r="F204" s="9"/>
      <c r="G204" s="9"/>
      <c r="H204" s="9"/>
      <c r="I204" s="9"/>
      <c r="J204" s="51">
        <f>SUM(J201:J203)</f>
        <v>-2.75</v>
      </c>
      <c r="K204" s="51">
        <f t="shared" ref="K204:Q204" ca="1" si="88">SUM(K201:K203)</f>
        <v>-2.75</v>
      </c>
      <c r="L204" s="51">
        <f t="shared" ca="1" si="88"/>
        <v>-2.75</v>
      </c>
      <c r="M204" s="51">
        <f t="shared" ca="1" si="88"/>
        <v>-2.75</v>
      </c>
      <c r="N204" s="51">
        <f t="shared" ca="1" si="88"/>
        <v>-2.75</v>
      </c>
      <c r="O204" s="51">
        <f t="shared" ca="1" si="88"/>
        <v>-2.75</v>
      </c>
      <c r="P204" s="51">
        <f t="shared" ca="1" si="88"/>
        <v>-2.75</v>
      </c>
      <c r="Q204" s="51">
        <f t="shared" ca="1" si="88"/>
        <v>-1.1645897469147144</v>
      </c>
    </row>
    <row r="205" spans="2:17" s="70" customFormat="1" x14ac:dyDescent="0.2"/>
    <row r="206" spans="2:17" x14ac:dyDescent="0.2">
      <c r="B206" s="69" t="s">
        <v>149</v>
      </c>
      <c r="C206" s="69"/>
      <c r="D206" s="69"/>
      <c r="E206" s="69"/>
      <c r="F206" s="69"/>
      <c r="G206" s="69"/>
      <c r="H206" s="69"/>
      <c r="I206" s="69"/>
      <c r="J206" s="100">
        <f ca="1">+J191+J204</f>
        <v>31.50378848889688</v>
      </c>
      <c r="K206" s="100">
        <f t="shared" ref="K206:Q206" ca="1" si="89">+K191+K204</f>
        <v>34.013258514714579</v>
      </c>
      <c r="L206" s="100">
        <f t="shared" ca="1" si="89"/>
        <v>37.760378987674287</v>
      </c>
      <c r="M206" s="100">
        <f t="shared" ca="1" si="89"/>
        <v>31.242514205357921</v>
      </c>
      <c r="N206" s="100">
        <f t="shared" ca="1" si="89"/>
        <v>35.742310214237946</v>
      </c>
      <c r="O206" s="100">
        <f t="shared" ca="1" si="89"/>
        <v>40.102877740036362</v>
      </c>
      <c r="P206" s="100">
        <f t="shared" ca="1" si="89"/>
        <v>44.220282102167346</v>
      </c>
      <c r="Q206" s="100">
        <f t="shared" ca="1" si="89"/>
        <v>50.568070041660192</v>
      </c>
    </row>
    <row r="207" spans="2:17" s="70" customFormat="1" x14ac:dyDescent="0.2"/>
    <row r="208" spans="2:17" x14ac:dyDescent="0.2">
      <c r="B208" s="22" t="s">
        <v>150</v>
      </c>
    </row>
    <row r="209" spans="1:24" x14ac:dyDescent="0.2">
      <c r="B209" s="19" t="s">
        <v>21</v>
      </c>
      <c r="C209" s="19"/>
      <c r="D209" s="19"/>
      <c r="E209" s="19"/>
      <c r="F209" s="19"/>
      <c r="G209" s="19"/>
      <c r="H209" s="19"/>
      <c r="I209" s="19"/>
      <c r="J209" s="82">
        <f ca="1">+IF(J206&gt;0,-MAX(0,MIN(I181,J206)),-MIN(0,J206))</f>
        <v>0</v>
      </c>
      <c r="K209" s="82">
        <f t="shared" ref="K209:Q209" ca="1" si="90">+IF(K206&gt;0,-MAX(0,MIN(J181,K206)),-MIN(0,K206))</f>
        <v>0</v>
      </c>
      <c r="L209" s="82">
        <f t="shared" ca="1" si="90"/>
        <v>0</v>
      </c>
      <c r="M209" s="82">
        <f t="shared" ca="1" si="90"/>
        <v>0</v>
      </c>
      <c r="N209" s="82">
        <f t="shared" ca="1" si="90"/>
        <v>0</v>
      </c>
      <c r="O209" s="82">
        <f t="shared" ca="1" si="90"/>
        <v>0</v>
      </c>
      <c r="P209" s="82">
        <f t="shared" ca="1" si="90"/>
        <v>0</v>
      </c>
      <c r="Q209" s="82">
        <f t="shared" ca="1" si="90"/>
        <v>0</v>
      </c>
    </row>
    <row r="210" spans="1:24" x14ac:dyDescent="0.2">
      <c r="B210" s="16" t="s">
        <v>20</v>
      </c>
      <c r="C210" s="16"/>
      <c r="D210" s="16"/>
      <c r="E210" s="16"/>
      <c r="F210" s="16"/>
      <c r="G210" s="16"/>
      <c r="H210" s="16"/>
      <c r="I210" s="16"/>
      <c r="J210" s="72">
        <f ca="1">+-MAX(0,MIN(SUM(J$206,J$209:J209),J201+I182))</f>
        <v>-31.50378848889688</v>
      </c>
      <c r="K210" s="72">
        <f t="shared" ref="K210:Q210" ca="1" si="91">+-MAX(0,MIN(J182+K201,K206-K209))</f>
        <v>-34.013258514714579</v>
      </c>
      <c r="L210" s="72">
        <f t="shared" ca="1" si="91"/>
        <v>-37.760378987674287</v>
      </c>
      <c r="M210" s="72">
        <f t="shared" ca="1" si="91"/>
        <v>-31.242514205357921</v>
      </c>
      <c r="N210" s="72">
        <f t="shared" ca="1" si="91"/>
        <v>-35.742310214237946</v>
      </c>
      <c r="O210" s="72">
        <f t="shared" ca="1" si="91"/>
        <v>-40.102877740036362</v>
      </c>
      <c r="P210" s="72">
        <f t="shared" ca="1" si="91"/>
        <v>-44.220282102167346</v>
      </c>
      <c r="Q210" s="72">
        <f t="shared" ca="1" si="91"/>
        <v>0</v>
      </c>
    </row>
    <row r="211" spans="1:24" x14ac:dyDescent="0.2">
      <c r="B211" s="16" t="s">
        <v>43</v>
      </c>
      <c r="C211" s="16"/>
      <c r="D211" s="16"/>
      <c r="E211" s="16"/>
      <c r="F211" s="16"/>
      <c r="G211" s="16"/>
      <c r="H211" s="16"/>
      <c r="I211" s="16"/>
      <c r="J211" s="72">
        <f ca="1">+-MAX(0,MIN(I183+J202,J206+SUM(J209:J210)))</f>
        <v>0</v>
      </c>
      <c r="K211" s="72">
        <f t="shared" ref="K211:Q211" ca="1" si="92">+-MAX(0,MIN(J183+K202,K206+SUM(K209:K210)))</f>
        <v>0</v>
      </c>
      <c r="L211" s="72">
        <f t="shared" ca="1" si="92"/>
        <v>0</v>
      </c>
      <c r="M211" s="72">
        <f t="shared" ca="1" si="92"/>
        <v>0</v>
      </c>
      <c r="N211" s="72">
        <f t="shared" ca="1" si="92"/>
        <v>0</v>
      </c>
      <c r="O211" s="72">
        <f t="shared" ca="1" si="92"/>
        <v>0</v>
      </c>
      <c r="P211" s="72">
        <f t="shared" ca="1" si="92"/>
        <v>0</v>
      </c>
      <c r="Q211" s="72">
        <f t="shared" ca="1" si="92"/>
        <v>-50.568070041660192</v>
      </c>
    </row>
    <row r="212" spans="1:24" x14ac:dyDescent="0.2">
      <c r="B212" s="17" t="s">
        <v>44</v>
      </c>
      <c r="C212" s="17"/>
      <c r="D212" s="17"/>
      <c r="E212" s="17"/>
      <c r="F212" s="17"/>
      <c r="G212" s="17"/>
      <c r="H212" s="17"/>
      <c r="I212" s="17"/>
      <c r="J212" s="72">
        <f ca="1">+-MAX(0,MIN(I184+J203,J206+SUM(J209:J211)))</f>
        <v>0</v>
      </c>
      <c r="K212" s="72">
        <f t="shared" ref="K212:Q212" ca="1" si="93">+-MAX(0,MIN(J184+K203,K206+SUM(K209:K211)))</f>
        <v>0</v>
      </c>
      <c r="L212" s="72">
        <f t="shared" ca="1" si="93"/>
        <v>0</v>
      </c>
      <c r="M212" s="72">
        <f t="shared" ca="1" si="93"/>
        <v>0</v>
      </c>
      <c r="N212" s="72">
        <f t="shared" ca="1" si="93"/>
        <v>0</v>
      </c>
      <c r="O212" s="72">
        <f t="shared" ca="1" si="93"/>
        <v>0</v>
      </c>
      <c r="P212" s="72">
        <f t="shared" ca="1" si="93"/>
        <v>0</v>
      </c>
      <c r="Q212" s="72">
        <f t="shared" ca="1" si="93"/>
        <v>0</v>
      </c>
    </row>
    <row r="213" spans="1:24" s="18" customFormat="1" x14ac:dyDescent="0.2">
      <c r="B213" s="9" t="s">
        <v>80</v>
      </c>
      <c r="C213" s="9"/>
      <c r="D213" s="9"/>
      <c r="E213" s="9"/>
      <c r="F213" s="9"/>
      <c r="G213" s="9"/>
      <c r="H213" s="9"/>
      <c r="I213" s="9"/>
      <c r="J213" s="51">
        <f ca="1">SUM(J209:J212)</f>
        <v>-31.50378848889688</v>
      </c>
      <c r="K213" s="51">
        <f t="shared" ref="K213:Q213" ca="1" si="94">SUM(K209:K212)</f>
        <v>-34.013258514714579</v>
      </c>
      <c r="L213" s="51">
        <f t="shared" ca="1" si="94"/>
        <v>-37.760378987674287</v>
      </c>
      <c r="M213" s="51">
        <f t="shared" ca="1" si="94"/>
        <v>-31.242514205357921</v>
      </c>
      <c r="N213" s="51">
        <f t="shared" ca="1" si="94"/>
        <v>-35.742310214237946</v>
      </c>
      <c r="O213" s="51">
        <f t="shared" ca="1" si="94"/>
        <v>-40.102877740036362</v>
      </c>
      <c r="P213" s="51">
        <f t="shared" ca="1" si="94"/>
        <v>-44.220282102167346</v>
      </c>
      <c r="Q213" s="51">
        <f t="shared" ca="1" si="94"/>
        <v>-50.568070041660192</v>
      </c>
    </row>
    <row r="216" spans="1:24" x14ac:dyDescent="0.2">
      <c r="A216" s="5" t="s">
        <v>35</v>
      </c>
      <c r="B216" s="6" t="s">
        <v>151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x14ac:dyDescent="0.2">
      <c r="B217" s="8" t="s">
        <v>37</v>
      </c>
    </row>
    <row r="219" spans="1:24" x14ac:dyDescent="0.2">
      <c r="B219" s="8" t="s">
        <v>88</v>
      </c>
      <c r="J219" s="54">
        <f t="shared" ref="J219:Q219" si="95">J$116</f>
        <v>43100</v>
      </c>
      <c r="K219" s="54">
        <f t="shared" si="95"/>
        <v>43465</v>
      </c>
      <c r="L219" s="54">
        <f t="shared" si="95"/>
        <v>43830</v>
      </c>
      <c r="M219" s="54">
        <f t="shared" si="95"/>
        <v>44196</v>
      </c>
      <c r="N219" s="54">
        <f t="shared" si="95"/>
        <v>44561</v>
      </c>
      <c r="O219" s="54">
        <f t="shared" si="95"/>
        <v>44926</v>
      </c>
      <c r="P219" s="54">
        <f t="shared" si="95"/>
        <v>45291</v>
      </c>
      <c r="Q219" s="54">
        <f t="shared" si="95"/>
        <v>45657</v>
      </c>
    </row>
    <row r="220" spans="1:24" ht="3" customHeight="1" x14ac:dyDescent="0.2"/>
    <row r="222" spans="1:24" x14ac:dyDescent="0.2">
      <c r="B222" s="9" t="s">
        <v>0</v>
      </c>
      <c r="C222" s="14"/>
      <c r="D222" s="14"/>
      <c r="E222" s="14"/>
      <c r="F222" s="14"/>
      <c r="G222" s="14"/>
      <c r="H222" s="14"/>
      <c r="I222" s="14"/>
      <c r="J222" s="101">
        <v>5.0000000000000001E-3</v>
      </c>
      <c r="K222" s="101">
        <v>1.0999999999999999E-2</v>
      </c>
      <c r="L222" s="101">
        <v>1.4999999999999999E-2</v>
      </c>
      <c r="M222" s="101">
        <v>2.1499999999999998E-2</v>
      </c>
      <c r="N222" s="101">
        <v>2.5000000000000001E-2</v>
      </c>
      <c r="O222" s="101">
        <v>0.03</v>
      </c>
      <c r="P222" s="101">
        <v>0.03</v>
      </c>
      <c r="Q222" s="101">
        <v>0.03</v>
      </c>
    </row>
    <row r="224" spans="1:24" x14ac:dyDescent="0.2">
      <c r="B224" s="22" t="s">
        <v>153</v>
      </c>
    </row>
    <row r="225" spans="2:17" x14ac:dyDescent="0.2">
      <c r="B225" s="19" t="s">
        <v>165</v>
      </c>
      <c r="C225" s="19"/>
      <c r="D225" s="19"/>
      <c r="E225" s="19"/>
      <c r="F225" s="19"/>
      <c r="G225" s="19"/>
      <c r="H225" s="19"/>
      <c r="I225" s="19"/>
      <c r="J225" s="82">
        <f>+J189</f>
        <v>100</v>
      </c>
      <c r="K225" s="82">
        <f t="shared" ref="K225:Q225" si="96">+K189</f>
        <v>100</v>
      </c>
      <c r="L225" s="82">
        <f t="shared" si="96"/>
        <v>100</v>
      </c>
      <c r="M225" s="82">
        <f t="shared" si="96"/>
        <v>100</v>
      </c>
      <c r="N225" s="82">
        <f t="shared" si="96"/>
        <v>100</v>
      </c>
      <c r="O225" s="82">
        <f t="shared" si="96"/>
        <v>100</v>
      </c>
      <c r="P225" s="82">
        <f t="shared" si="96"/>
        <v>100</v>
      </c>
      <c r="Q225" s="82">
        <f t="shared" si="96"/>
        <v>100</v>
      </c>
    </row>
    <row r="226" spans="2:17" x14ac:dyDescent="0.2">
      <c r="B226" s="16" t="s">
        <v>21</v>
      </c>
      <c r="C226" s="16"/>
      <c r="D226" s="16"/>
      <c r="E226" s="16"/>
      <c r="F226" s="16"/>
      <c r="G226" s="16"/>
      <c r="H226" s="16"/>
      <c r="I226" s="16"/>
      <c r="J226" s="72">
        <f ca="1">+IF(H38=1,AVERAGE(I181,J181),I181)</f>
        <v>0</v>
      </c>
      <c r="K226" s="72">
        <f t="shared" ref="K226:Q226" ca="1" si="97">+IF(I38=1,AVERAGE(J181,K181),J181)</f>
        <v>0</v>
      </c>
      <c r="L226" s="72">
        <f t="shared" ca="1" si="97"/>
        <v>0</v>
      </c>
      <c r="M226" s="72">
        <f t="shared" ca="1" si="97"/>
        <v>0</v>
      </c>
      <c r="N226" s="72">
        <f t="shared" ca="1" si="97"/>
        <v>0</v>
      </c>
      <c r="O226" s="72">
        <f t="shared" ca="1" si="97"/>
        <v>0</v>
      </c>
      <c r="P226" s="72">
        <f t="shared" ca="1" si="97"/>
        <v>0</v>
      </c>
      <c r="Q226" s="72">
        <f t="shared" ca="1" si="97"/>
        <v>0</v>
      </c>
    </row>
    <row r="227" spans="2:17" x14ac:dyDescent="0.2">
      <c r="B227" s="16" t="s">
        <v>20</v>
      </c>
      <c r="C227" s="16"/>
      <c r="D227" s="16"/>
      <c r="E227" s="16"/>
      <c r="F227" s="16"/>
      <c r="G227" s="16"/>
      <c r="H227" s="16"/>
      <c r="I227" s="16"/>
      <c r="J227" s="72">
        <f t="shared" ref="J227:Q229" ca="1" si="98">+IF(circ=1,AVERAGE(I182,J182),I182)</f>
        <v>257.87310575555159</v>
      </c>
      <c r="K227" s="72">
        <f t="shared" ca="1" si="98"/>
        <v>222.36458225374582</v>
      </c>
      <c r="L227" s="72">
        <f t="shared" ca="1" si="98"/>
        <v>183.7277635025514</v>
      </c>
      <c r="M227" s="72">
        <f t="shared" ca="1" si="98"/>
        <v>146.47631690603532</v>
      </c>
      <c r="N227" s="72">
        <f t="shared" ca="1" si="98"/>
        <v>110.2339046962374</v>
      </c>
      <c r="O227" s="72">
        <f t="shared" ca="1" si="98"/>
        <v>69.561310719100248</v>
      </c>
      <c r="P227" s="72">
        <f t="shared" ca="1" si="98"/>
        <v>24.649730797998387</v>
      </c>
      <c r="Q227" s="72">
        <f t="shared" ca="1" si="98"/>
        <v>0.5822948734573572</v>
      </c>
    </row>
    <row r="228" spans="2:17" x14ac:dyDescent="0.2">
      <c r="B228" s="16" t="s">
        <v>43</v>
      </c>
      <c r="C228" s="16"/>
      <c r="D228" s="16"/>
      <c r="E228" s="16"/>
      <c r="F228" s="16"/>
      <c r="G228" s="16"/>
      <c r="H228" s="16"/>
      <c r="I228" s="16"/>
      <c r="J228" s="72">
        <f t="shared" ca="1" si="98"/>
        <v>225</v>
      </c>
      <c r="K228" s="72">
        <f t="shared" ca="1" si="98"/>
        <v>225</v>
      </c>
      <c r="L228" s="72">
        <f t="shared" ca="1" si="98"/>
        <v>225</v>
      </c>
      <c r="M228" s="72">
        <f t="shared" ca="1" si="98"/>
        <v>225</v>
      </c>
      <c r="N228" s="72">
        <f t="shared" ca="1" si="98"/>
        <v>225</v>
      </c>
      <c r="O228" s="72">
        <f t="shared" ca="1" si="98"/>
        <v>225</v>
      </c>
      <c r="P228" s="72">
        <f t="shared" ca="1" si="98"/>
        <v>225</v>
      </c>
      <c r="Q228" s="72">
        <f t="shared" ca="1" si="98"/>
        <v>199.71596497916991</v>
      </c>
    </row>
    <row r="229" spans="2:17" x14ac:dyDescent="0.2">
      <c r="B229" s="17" t="s">
        <v>44</v>
      </c>
      <c r="C229" s="17"/>
      <c r="D229" s="17"/>
      <c r="E229" s="17"/>
      <c r="F229" s="17"/>
      <c r="G229" s="17"/>
      <c r="H229" s="17"/>
      <c r="I229" s="17"/>
      <c r="J229" s="73">
        <f t="shared" ca="1" si="98"/>
        <v>104.43864229765013</v>
      </c>
      <c r="K229" s="73">
        <f t="shared" ca="1" si="98"/>
        <v>113.70995780188017</v>
      </c>
      <c r="L229" s="73">
        <f t="shared" ca="1" si="98"/>
        <v>123.8043143691489</v>
      </c>
      <c r="M229" s="73">
        <f t="shared" ca="1" si="98"/>
        <v>129.06599772983773</v>
      </c>
      <c r="N229" s="73">
        <f t="shared" ca="1" si="98"/>
        <v>129.06599772983773</v>
      </c>
      <c r="O229" s="73">
        <f t="shared" ca="1" si="98"/>
        <v>129.06599772983773</v>
      </c>
      <c r="P229" s="73">
        <f t="shared" ca="1" si="98"/>
        <v>129.06599772983773</v>
      </c>
      <c r="Q229" s="73">
        <f t="shared" ca="1" si="98"/>
        <v>129.06599772983773</v>
      </c>
    </row>
    <row r="230" spans="2:17" s="63" customFormat="1" x14ac:dyDescent="0.2"/>
    <row r="231" spans="2:17" x14ac:dyDescent="0.2">
      <c r="B231" s="22" t="s">
        <v>152</v>
      </c>
      <c r="G231" s="103" t="s">
        <v>70</v>
      </c>
      <c r="H231" s="103" t="s">
        <v>29</v>
      </c>
    </row>
    <row r="232" spans="2:17" x14ac:dyDescent="0.2">
      <c r="B232" s="19" t="s">
        <v>165</v>
      </c>
      <c r="C232" s="19"/>
      <c r="D232" s="19"/>
      <c r="E232" s="19"/>
      <c r="F232" s="19"/>
      <c r="G232" s="34">
        <v>0</v>
      </c>
      <c r="H232" s="106">
        <f>Q16</f>
        <v>3.5000000000000001E-3</v>
      </c>
      <c r="I232" s="19"/>
      <c r="J232" s="106">
        <f>+$H$232</f>
        <v>3.5000000000000001E-3</v>
      </c>
      <c r="K232" s="106">
        <f t="shared" ref="K232:Q232" si="99">+$H$232</f>
        <v>3.5000000000000001E-3</v>
      </c>
      <c r="L232" s="106">
        <f t="shared" si="99"/>
        <v>3.5000000000000001E-3</v>
      </c>
      <c r="M232" s="106">
        <f t="shared" si="99"/>
        <v>3.5000000000000001E-3</v>
      </c>
      <c r="N232" s="106">
        <f t="shared" si="99"/>
        <v>3.5000000000000001E-3</v>
      </c>
      <c r="O232" s="106">
        <f t="shared" si="99"/>
        <v>3.5000000000000001E-3</v>
      </c>
      <c r="P232" s="106">
        <f t="shared" si="99"/>
        <v>3.5000000000000001E-3</v>
      </c>
      <c r="Q232" s="106">
        <f t="shared" si="99"/>
        <v>3.5000000000000001E-3</v>
      </c>
    </row>
    <row r="233" spans="2:17" x14ac:dyDescent="0.2">
      <c r="B233" s="16" t="s">
        <v>21</v>
      </c>
      <c r="C233" s="16"/>
      <c r="D233" s="16"/>
      <c r="E233" s="16"/>
      <c r="F233" s="16"/>
      <c r="G233" s="104">
        <f t="shared" ref="G233:H236" si="100">S10</f>
        <v>1</v>
      </c>
      <c r="H233" s="108">
        <f t="shared" si="100"/>
        <v>0.02</v>
      </c>
      <c r="I233" s="16"/>
      <c r="J233" s="109">
        <f>+J222+0.02</f>
        <v>2.5000000000000001E-2</v>
      </c>
      <c r="K233" s="109">
        <f t="shared" ref="K233:Q233" si="101">+K222+0.02</f>
        <v>3.1E-2</v>
      </c>
      <c r="L233" s="109">
        <f t="shared" si="101"/>
        <v>3.5000000000000003E-2</v>
      </c>
      <c r="M233" s="109">
        <f t="shared" si="101"/>
        <v>4.1499999999999995E-2</v>
      </c>
      <c r="N233" s="109">
        <f t="shared" si="101"/>
        <v>4.4999999999999998E-2</v>
      </c>
      <c r="O233" s="109">
        <f t="shared" si="101"/>
        <v>0.05</v>
      </c>
      <c r="P233" s="109">
        <f t="shared" si="101"/>
        <v>0.05</v>
      </c>
      <c r="Q233" s="109">
        <f t="shared" si="101"/>
        <v>0.05</v>
      </c>
    </row>
    <row r="234" spans="2:17" x14ac:dyDescent="0.2">
      <c r="B234" s="16" t="s">
        <v>20</v>
      </c>
      <c r="C234" s="16"/>
      <c r="D234" s="16"/>
      <c r="E234" s="16"/>
      <c r="F234" s="16"/>
      <c r="G234" s="104">
        <f t="shared" si="100"/>
        <v>1</v>
      </c>
      <c r="H234" s="107">
        <f t="shared" si="100"/>
        <v>0.03</v>
      </c>
      <c r="I234" s="16"/>
      <c r="J234" s="109">
        <f>+J222+0.03</f>
        <v>3.4999999999999996E-2</v>
      </c>
      <c r="K234" s="109">
        <f t="shared" ref="K234:Q234" si="102">+K222+0.03</f>
        <v>4.0999999999999995E-2</v>
      </c>
      <c r="L234" s="109">
        <f t="shared" si="102"/>
        <v>4.4999999999999998E-2</v>
      </c>
      <c r="M234" s="109">
        <f t="shared" si="102"/>
        <v>5.1499999999999997E-2</v>
      </c>
      <c r="N234" s="109">
        <f t="shared" si="102"/>
        <v>5.5E-2</v>
      </c>
      <c r="O234" s="109">
        <f t="shared" si="102"/>
        <v>0.06</v>
      </c>
      <c r="P234" s="109">
        <f t="shared" si="102"/>
        <v>0.06</v>
      </c>
      <c r="Q234" s="109">
        <f t="shared" si="102"/>
        <v>0.06</v>
      </c>
    </row>
    <row r="235" spans="2:17" x14ac:dyDescent="0.2">
      <c r="B235" s="16" t="s">
        <v>43</v>
      </c>
      <c r="C235" s="16"/>
      <c r="D235" s="16"/>
      <c r="E235" s="16"/>
      <c r="F235" s="16"/>
      <c r="G235" s="104">
        <f t="shared" si="100"/>
        <v>0</v>
      </c>
      <c r="H235" s="109">
        <f t="shared" si="100"/>
        <v>7.0000000000000007E-2</v>
      </c>
      <c r="I235" s="16"/>
      <c r="J235" s="109">
        <f>+$H$235</f>
        <v>7.0000000000000007E-2</v>
      </c>
      <c r="K235" s="109">
        <f t="shared" ref="K235:Q235" si="103">+$H$235</f>
        <v>7.0000000000000007E-2</v>
      </c>
      <c r="L235" s="109">
        <f t="shared" si="103"/>
        <v>7.0000000000000007E-2</v>
      </c>
      <c r="M235" s="109">
        <f t="shared" si="103"/>
        <v>7.0000000000000007E-2</v>
      </c>
      <c r="N235" s="109">
        <f t="shared" si="103"/>
        <v>7.0000000000000007E-2</v>
      </c>
      <c r="O235" s="109">
        <f t="shared" si="103"/>
        <v>7.0000000000000007E-2</v>
      </c>
      <c r="P235" s="109">
        <f t="shared" si="103"/>
        <v>7.0000000000000007E-2</v>
      </c>
      <c r="Q235" s="109">
        <f t="shared" si="103"/>
        <v>7.0000000000000007E-2</v>
      </c>
    </row>
    <row r="236" spans="2:17" x14ac:dyDescent="0.2">
      <c r="B236" s="17" t="s">
        <v>44</v>
      </c>
      <c r="C236" s="17"/>
      <c r="D236" s="17"/>
      <c r="E236" s="17"/>
      <c r="F236" s="17"/>
      <c r="G236" s="105">
        <f t="shared" si="100"/>
        <v>0</v>
      </c>
      <c r="H236" s="110">
        <f t="shared" si="100"/>
        <v>8.5000000000000006E-2</v>
      </c>
      <c r="I236" s="17"/>
      <c r="J236" s="110">
        <f>+$H$236</f>
        <v>8.5000000000000006E-2</v>
      </c>
      <c r="K236" s="110">
        <f t="shared" ref="K236:Q236" si="104">+$H$236</f>
        <v>8.5000000000000006E-2</v>
      </c>
      <c r="L236" s="110">
        <f t="shared" si="104"/>
        <v>8.5000000000000006E-2</v>
      </c>
      <c r="M236" s="110">
        <f t="shared" si="104"/>
        <v>8.5000000000000006E-2</v>
      </c>
      <c r="N236" s="110">
        <f t="shared" si="104"/>
        <v>8.5000000000000006E-2</v>
      </c>
      <c r="O236" s="110">
        <f t="shared" si="104"/>
        <v>8.5000000000000006E-2</v>
      </c>
      <c r="P236" s="110">
        <f t="shared" si="104"/>
        <v>8.5000000000000006E-2</v>
      </c>
      <c r="Q236" s="110">
        <f t="shared" si="104"/>
        <v>8.5000000000000006E-2</v>
      </c>
    </row>
    <row r="238" spans="2:17" x14ac:dyDescent="0.2">
      <c r="B238" s="22" t="s">
        <v>1</v>
      </c>
    </row>
    <row r="239" spans="2:17" x14ac:dyDescent="0.2">
      <c r="B239" s="19" t="s">
        <v>165</v>
      </c>
      <c r="C239" s="19"/>
      <c r="D239" s="19"/>
      <c r="E239" s="19"/>
      <c r="F239" s="19"/>
      <c r="G239" s="19"/>
      <c r="H239" s="19"/>
      <c r="I239" s="19"/>
      <c r="J239" s="82">
        <f>+J232*J225</f>
        <v>0.35000000000000003</v>
      </c>
      <c r="K239" s="82">
        <f t="shared" ref="K239:Q239" si="105">+K232*K225</f>
        <v>0.35000000000000003</v>
      </c>
      <c r="L239" s="82">
        <f t="shared" si="105"/>
        <v>0.35000000000000003</v>
      </c>
      <c r="M239" s="82">
        <f t="shared" si="105"/>
        <v>0.35000000000000003</v>
      </c>
      <c r="N239" s="82">
        <f t="shared" si="105"/>
        <v>0.35000000000000003</v>
      </c>
      <c r="O239" s="82">
        <f t="shared" si="105"/>
        <v>0.35000000000000003</v>
      </c>
      <c r="P239" s="82">
        <f t="shared" si="105"/>
        <v>0.35000000000000003</v>
      </c>
      <c r="Q239" s="82">
        <f t="shared" si="105"/>
        <v>0.35000000000000003</v>
      </c>
    </row>
    <row r="240" spans="2:17" x14ac:dyDescent="0.2">
      <c r="B240" s="16" t="s">
        <v>21</v>
      </c>
      <c r="C240" s="16"/>
      <c r="D240" s="16"/>
      <c r="E240" s="16"/>
      <c r="F240" s="16"/>
      <c r="G240" s="16"/>
      <c r="H240" s="16"/>
      <c r="I240" s="16"/>
      <c r="J240" s="72">
        <f ca="1">+J233*J226</f>
        <v>0</v>
      </c>
      <c r="K240" s="72">
        <f t="shared" ref="K240:Q240" ca="1" si="106">+K233*K226</f>
        <v>0</v>
      </c>
      <c r="L240" s="72">
        <f t="shared" ca="1" si="106"/>
        <v>0</v>
      </c>
      <c r="M240" s="72">
        <f t="shared" ca="1" si="106"/>
        <v>0</v>
      </c>
      <c r="N240" s="72">
        <f t="shared" ca="1" si="106"/>
        <v>0</v>
      </c>
      <c r="O240" s="72">
        <f t="shared" ca="1" si="106"/>
        <v>0</v>
      </c>
      <c r="P240" s="72">
        <f t="shared" ca="1" si="106"/>
        <v>0</v>
      </c>
      <c r="Q240" s="72">
        <f t="shared" ca="1" si="106"/>
        <v>0</v>
      </c>
    </row>
    <row r="241" spans="2:17" x14ac:dyDescent="0.2">
      <c r="B241" s="16" t="s">
        <v>20</v>
      </c>
      <c r="C241" s="16"/>
      <c r="D241" s="16"/>
      <c r="E241" s="16"/>
      <c r="F241" s="16"/>
      <c r="G241" s="16"/>
      <c r="H241" s="16"/>
      <c r="I241" s="16"/>
      <c r="J241" s="72">
        <f ca="1">+J234*J227</f>
        <v>9.0255587014443055</v>
      </c>
      <c r="K241" s="72">
        <f t="shared" ref="K241:Q241" ca="1" si="107">+K234*K227</f>
        <v>9.1169478724035784</v>
      </c>
      <c r="L241" s="72">
        <f t="shared" ca="1" si="107"/>
        <v>8.2677493576148127</v>
      </c>
      <c r="M241" s="72">
        <f t="shared" ca="1" si="107"/>
        <v>7.5435303206608184</v>
      </c>
      <c r="N241" s="72">
        <f t="shared" ca="1" si="107"/>
        <v>6.062864758293057</v>
      </c>
      <c r="O241" s="72">
        <f t="shared" ca="1" si="107"/>
        <v>4.1736786431460144</v>
      </c>
      <c r="P241" s="72">
        <f t="shared" ca="1" si="107"/>
        <v>1.4789838478799031</v>
      </c>
      <c r="Q241" s="72">
        <f t="shared" ca="1" si="107"/>
        <v>3.4937692407441427E-2</v>
      </c>
    </row>
    <row r="242" spans="2:17" x14ac:dyDescent="0.2">
      <c r="B242" s="16" t="s">
        <v>43</v>
      </c>
      <c r="C242" s="16"/>
      <c r="D242" s="16"/>
      <c r="E242" s="16"/>
      <c r="F242" s="16"/>
      <c r="G242" s="16"/>
      <c r="H242" s="16"/>
      <c r="I242" s="16"/>
      <c r="J242" s="72">
        <f ca="1">+J235*J228</f>
        <v>15.750000000000002</v>
      </c>
      <c r="K242" s="72">
        <f t="shared" ref="K242:Q242" ca="1" si="108">+K235*K228</f>
        <v>15.750000000000002</v>
      </c>
      <c r="L242" s="72">
        <f t="shared" ca="1" si="108"/>
        <v>15.750000000000002</v>
      </c>
      <c r="M242" s="72">
        <f t="shared" ca="1" si="108"/>
        <v>15.750000000000002</v>
      </c>
      <c r="N242" s="72">
        <f t="shared" ca="1" si="108"/>
        <v>15.750000000000002</v>
      </c>
      <c r="O242" s="72">
        <f t="shared" ca="1" si="108"/>
        <v>15.750000000000002</v>
      </c>
      <c r="P242" s="72">
        <f t="shared" ca="1" si="108"/>
        <v>15.750000000000002</v>
      </c>
      <c r="Q242" s="72">
        <f t="shared" ca="1" si="108"/>
        <v>13.980117548541894</v>
      </c>
    </row>
    <row r="243" spans="2:17" x14ac:dyDescent="0.2">
      <c r="B243" s="17" t="s">
        <v>44</v>
      </c>
      <c r="C243" s="17"/>
      <c r="D243" s="17"/>
      <c r="E243" s="17"/>
      <c r="F243" s="17"/>
      <c r="G243" s="17"/>
      <c r="H243" s="17"/>
      <c r="I243" s="17"/>
      <c r="J243" s="73">
        <f ca="1">+J236*J229</f>
        <v>8.8772845953002619</v>
      </c>
      <c r="K243" s="73">
        <f t="shared" ref="K243:Q243" ca="1" si="109">+K236*K229</f>
        <v>9.6653464131598152</v>
      </c>
      <c r="L243" s="73">
        <f t="shared" ca="1" si="109"/>
        <v>10.523366721377657</v>
      </c>
      <c r="M243" s="73">
        <f t="shared" ca="1" si="109"/>
        <v>10.970609807036208</v>
      </c>
      <c r="N243" s="73">
        <f t="shared" ca="1" si="109"/>
        <v>10.970609807036208</v>
      </c>
      <c r="O243" s="73">
        <f t="shared" ca="1" si="109"/>
        <v>10.970609807036208</v>
      </c>
      <c r="P243" s="73">
        <f t="shared" ca="1" si="109"/>
        <v>10.970609807036208</v>
      </c>
      <c r="Q243" s="73">
        <f t="shared" ca="1" si="109"/>
        <v>10.970609807036208</v>
      </c>
    </row>
    <row r="244" spans="2:17" s="18" customFormat="1" x14ac:dyDescent="0.2">
      <c r="B244" s="9" t="s">
        <v>80</v>
      </c>
      <c r="C244" s="9"/>
      <c r="D244" s="9"/>
      <c r="E244" s="9"/>
      <c r="F244" s="9"/>
      <c r="G244" s="9"/>
      <c r="H244" s="9"/>
      <c r="I244" s="9"/>
      <c r="J244" s="51">
        <f ca="1">SUM(J239:J243)</f>
        <v>34.002843296744565</v>
      </c>
      <c r="K244" s="51">
        <f t="shared" ref="K244:Q244" ca="1" si="110">SUM(K239:K243)</f>
        <v>34.882294285563397</v>
      </c>
      <c r="L244" s="51">
        <f t="shared" ca="1" si="110"/>
        <v>34.891116078992468</v>
      </c>
      <c r="M244" s="51">
        <f t="shared" ca="1" si="110"/>
        <v>34.614140127697027</v>
      </c>
      <c r="N244" s="51">
        <f t="shared" ca="1" si="110"/>
        <v>33.133474565329266</v>
      </c>
      <c r="O244" s="51">
        <f t="shared" ca="1" si="110"/>
        <v>31.244288450182225</v>
      </c>
      <c r="P244" s="51">
        <f t="shared" ca="1" si="110"/>
        <v>28.549593654916112</v>
      </c>
      <c r="Q244" s="51">
        <f t="shared" ca="1" si="110"/>
        <v>25.335665047985543</v>
      </c>
    </row>
    <row r="246" spans="2:17" s="63" customFormat="1" x14ac:dyDescent="0.2">
      <c r="B246" s="102" t="s">
        <v>154</v>
      </c>
      <c r="G246" s="113" t="s">
        <v>12</v>
      </c>
    </row>
    <row r="247" spans="2:17" x14ac:dyDescent="0.2">
      <c r="B247" s="19" t="s">
        <v>43</v>
      </c>
      <c r="C247" s="19"/>
      <c r="D247" s="19"/>
      <c r="E247" s="19"/>
      <c r="F247" s="19"/>
      <c r="G247" s="111">
        <f>V12</f>
        <v>0</v>
      </c>
      <c r="H247" s="19"/>
      <c r="I247" s="19"/>
      <c r="J247" s="82"/>
      <c r="K247" s="82"/>
      <c r="L247" s="82"/>
      <c r="M247" s="82"/>
      <c r="N247" s="82"/>
      <c r="O247" s="82"/>
      <c r="P247" s="82"/>
      <c r="Q247" s="82"/>
    </row>
    <row r="248" spans="2:17" x14ac:dyDescent="0.2">
      <c r="B248" s="17" t="s">
        <v>44</v>
      </c>
      <c r="C248" s="17"/>
      <c r="D248" s="17"/>
      <c r="E248" s="17"/>
      <c r="F248" s="17"/>
      <c r="G248" s="112">
        <f t="shared" ref="G248" si="111">V13</f>
        <v>3</v>
      </c>
      <c r="H248" s="17"/>
      <c r="I248" s="17"/>
      <c r="J248" s="73">
        <f ca="1">+J243</f>
        <v>8.8772845953002619</v>
      </c>
      <c r="K248" s="73">
        <f t="shared" ref="K248:L248" ca="1" si="112">+K243</f>
        <v>9.6653464131598152</v>
      </c>
      <c r="L248" s="73">
        <f t="shared" ca="1" si="112"/>
        <v>10.523366721377657</v>
      </c>
      <c r="M248" s="73"/>
      <c r="N248" s="73"/>
      <c r="O248" s="73"/>
      <c r="P248" s="73"/>
      <c r="Q248" s="73"/>
    </row>
    <row r="249" spans="2:17" s="18" customFormat="1" x14ac:dyDescent="0.2">
      <c r="B249" s="9" t="s">
        <v>80</v>
      </c>
      <c r="C249" s="9"/>
      <c r="D249" s="9"/>
      <c r="E249" s="9"/>
      <c r="F249" s="9"/>
      <c r="G249" s="9"/>
      <c r="H249" s="9"/>
      <c r="I249" s="9"/>
      <c r="J249" s="51">
        <f ca="1">+SUM(J247:J248)</f>
        <v>8.8772845953002619</v>
      </c>
      <c r="K249" s="51">
        <f t="shared" ref="K249:Q249" ca="1" si="113">+SUM(K247:K248)</f>
        <v>9.6653464131598152</v>
      </c>
      <c r="L249" s="51">
        <f t="shared" ca="1" si="113"/>
        <v>10.523366721377657</v>
      </c>
      <c r="M249" s="51">
        <f t="shared" si="113"/>
        <v>0</v>
      </c>
      <c r="N249" s="51">
        <f t="shared" si="113"/>
        <v>0</v>
      </c>
      <c r="O249" s="51">
        <f t="shared" si="113"/>
        <v>0</v>
      </c>
      <c r="P249" s="51">
        <f t="shared" si="113"/>
        <v>0</v>
      </c>
      <c r="Q249" s="51">
        <f t="shared" si="113"/>
        <v>0</v>
      </c>
    </row>
    <row r="251" spans="2:17" s="63" customFormat="1" x14ac:dyDescent="0.2">
      <c r="B251" s="102" t="s">
        <v>155</v>
      </c>
      <c r="G251" s="113" t="s">
        <v>166</v>
      </c>
      <c r="H251" s="113" t="s">
        <v>68</v>
      </c>
    </row>
    <row r="252" spans="2:17" x14ac:dyDescent="0.2">
      <c r="B252" s="19" t="s">
        <v>21</v>
      </c>
      <c r="C252" s="19"/>
      <c r="D252" s="19"/>
      <c r="E252" s="19"/>
      <c r="F252" s="19"/>
      <c r="G252" s="114">
        <f>T22</f>
        <v>0.5</v>
      </c>
      <c r="H252" s="111">
        <f>R10</f>
        <v>5</v>
      </c>
      <c r="I252" s="19"/>
      <c r="J252" s="134">
        <f>+MAX(0,MIN($G252/$H252,$G252-SUM($I252:I252)))</f>
        <v>0.1</v>
      </c>
      <c r="K252" s="134">
        <f>+MAX(0,MIN($G252/$H252,$G252-SUM($I252:J252)))</f>
        <v>0.1</v>
      </c>
      <c r="L252" s="134">
        <f>+MAX(0,MIN($G252/$H252,$G252-SUM($I252:K252)))</f>
        <v>0.1</v>
      </c>
      <c r="M252" s="134">
        <f>+MAX(0,MIN($G252/$H252,$G252-SUM($I252:L252)))</f>
        <v>0.1</v>
      </c>
      <c r="N252" s="134">
        <f>+MAX(0,MIN($G252/$H252,$G252-SUM($I252:M252)))</f>
        <v>9.9999999999999978E-2</v>
      </c>
      <c r="O252" s="134">
        <f>+MAX(0,MIN($G252/$H252,$G252-SUM($I252:N252)))</f>
        <v>0</v>
      </c>
      <c r="P252" s="134">
        <f>+MAX(0,MIN($G252/$H252,$G252-SUM($I252:O252)))</f>
        <v>0</v>
      </c>
      <c r="Q252" s="134">
        <f>+MAX(0,MIN($G252/$H252,$G252-SUM($I252:P252)))</f>
        <v>0</v>
      </c>
    </row>
    <row r="253" spans="2:17" x14ac:dyDescent="0.2">
      <c r="B253" s="16" t="s">
        <v>20</v>
      </c>
      <c r="C253" s="16"/>
      <c r="D253" s="16"/>
      <c r="E253" s="16"/>
      <c r="F253" s="16"/>
      <c r="G253" s="115">
        <f>T23</f>
        <v>3.4375</v>
      </c>
      <c r="H253" s="116">
        <f>R11</f>
        <v>6</v>
      </c>
      <c r="I253" s="16"/>
      <c r="J253" s="134">
        <f>+MAX(0,MIN($G253/$H253,$G253-SUM($I253:I253)))</f>
        <v>0.57291666666666663</v>
      </c>
      <c r="K253" s="134">
        <f>+MAX(0,MIN($G253/$H253,$G253-SUM($I253:J253)))</f>
        <v>0.57291666666666663</v>
      </c>
      <c r="L253" s="134">
        <f>+MAX(0,MIN($G253/$H253,$G253-SUM($I253:K253)))</f>
        <v>0.57291666666666663</v>
      </c>
      <c r="M253" s="134">
        <f>+MAX(0,MIN($G253/$H253,$G253-SUM($I253:L253)))</f>
        <v>0.57291666666666663</v>
      </c>
      <c r="N253" s="134">
        <f>+MAX(0,MIN($G253/$H253,$G253-SUM($I253:M253)))</f>
        <v>0.57291666666666663</v>
      </c>
      <c r="O253" s="134">
        <f>+MAX(0,MIN($G253/$H253,$G253-SUM($I253:N253)))</f>
        <v>0.57291666666666663</v>
      </c>
      <c r="P253" s="134">
        <f>+MAX(0,MIN($G253/$H253,$G253-SUM($I253:O253)))</f>
        <v>4.4408920985006262E-16</v>
      </c>
      <c r="Q253" s="134">
        <f>+MAX(0,MIN($G253/$H253,$G253-SUM($I253:P253)))</f>
        <v>0</v>
      </c>
    </row>
    <row r="254" spans="2:17" x14ac:dyDescent="0.2">
      <c r="B254" s="16" t="s">
        <v>43</v>
      </c>
      <c r="C254" s="16"/>
      <c r="D254" s="16"/>
      <c r="E254" s="16"/>
      <c r="F254" s="16"/>
      <c r="G254" s="115">
        <f>T25</f>
        <v>4.5</v>
      </c>
      <c r="H254" s="116">
        <f>R12</f>
        <v>8</v>
      </c>
      <c r="I254" s="16"/>
      <c r="J254" s="134">
        <f>+MAX(0,MIN($G254/$H254,$G254-SUM($I254:I254)))</f>
        <v>0.5625</v>
      </c>
      <c r="K254" s="134">
        <f>+MAX(0,MIN($G254/$H254,$G254-SUM($I254:J254)))</f>
        <v>0.5625</v>
      </c>
      <c r="L254" s="134">
        <f>+MAX(0,MIN($G254/$H254,$G254-SUM($I254:K254)))</f>
        <v>0.5625</v>
      </c>
      <c r="M254" s="134">
        <f>+MAX(0,MIN($G254/$H254,$G254-SUM($I254:L254)))</f>
        <v>0.5625</v>
      </c>
      <c r="N254" s="134">
        <f>+MAX(0,MIN($G254/$H254,$G254-SUM($I254:M254)))</f>
        <v>0.5625</v>
      </c>
      <c r="O254" s="134">
        <f>+MAX(0,MIN($G254/$H254,$G254-SUM($I254:N254)))</f>
        <v>0.5625</v>
      </c>
      <c r="P254" s="134">
        <f>+MAX(0,MIN($G254/$H254,$G254-SUM($I254:O254)))</f>
        <v>0.5625</v>
      </c>
      <c r="Q254" s="134">
        <f>+MAX(0,MIN($G254/$H254,$G254-SUM($I254:P254)))</f>
        <v>0.5625</v>
      </c>
    </row>
    <row r="255" spans="2:17" x14ac:dyDescent="0.2">
      <c r="B255" s="17" t="s">
        <v>44</v>
      </c>
      <c r="C255" s="17"/>
      <c r="D255" s="17"/>
      <c r="E255" s="17"/>
      <c r="F255" s="17"/>
      <c r="G255" s="117">
        <f>T27</f>
        <v>2.5</v>
      </c>
      <c r="H255" s="112">
        <f>R13</f>
        <v>10</v>
      </c>
      <c r="I255" s="17"/>
      <c r="J255" s="134">
        <f>+MAX(0,MIN($G255/$H255,$G255-SUM($I255:I255)))</f>
        <v>0.25</v>
      </c>
      <c r="K255" s="134">
        <f>+MAX(0,MIN($G255/$H255,$G255-SUM($I255:J255)))</f>
        <v>0.25</v>
      </c>
      <c r="L255" s="134">
        <f>+MAX(0,MIN($G255/$H255,$G255-SUM($I255:K255)))</f>
        <v>0.25</v>
      </c>
      <c r="M255" s="134">
        <f>+MAX(0,MIN($G255/$H255,$G255-SUM($I255:L255)))</f>
        <v>0.25</v>
      </c>
      <c r="N255" s="134">
        <f>+MAX(0,MIN($G255/$H255,$G255-SUM($I255:M255)))</f>
        <v>0.25</v>
      </c>
      <c r="O255" s="134">
        <f>+MAX(0,MIN($G255/$H255,$G255-SUM($I255:N255)))</f>
        <v>0.25</v>
      </c>
      <c r="P255" s="134">
        <f>+MAX(0,MIN($G255/$H255,$G255-SUM($I255:O255)))</f>
        <v>0.25</v>
      </c>
      <c r="Q255" s="134">
        <f>+MAX(0,MIN($G255/$H255,$G255-SUM($I255:P255)))</f>
        <v>0.25</v>
      </c>
    </row>
    <row r="256" spans="2:17" s="18" customFormat="1" x14ac:dyDescent="0.2">
      <c r="B256" s="9" t="s">
        <v>80</v>
      </c>
      <c r="C256" s="9"/>
      <c r="D256" s="9"/>
      <c r="E256" s="9"/>
      <c r="F256" s="9"/>
      <c r="G256" s="9"/>
      <c r="H256" s="9"/>
      <c r="I256" s="9"/>
      <c r="J256" s="51">
        <f>SUM(J252:J255)</f>
        <v>1.4854166666666666</v>
      </c>
      <c r="K256" s="51">
        <f t="shared" ref="K256:Q256" si="114">SUM(K252:K255)</f>
        <v>1.4854166666666666</v>
      </c>
      <c r="L256" s="51">
        <f t="shared" si="114"/>
        <v>1.4854166666666666</v>
      </c>
      <c r="M256" s="51">
        <f t="shared" si="114"/>
        <v>1.4854166666666666</v>
      </c>
      <c r="N256" s="51">
        <f t="shared" si="114"/>
        <v>1.4854166666666666</v>
      </c>
      <c r="O256" s="51">
        <f t="shared" si="114"/>
        <v>1.3854166666666665</v>
      </c>
      <c r="P256" s="51">
        <f t="shared" si="114"/>
        <v>0.81250000000000044</v>
      </c>
      <c r="Q256" s="51">
        <f t="shared" si="114"/>
        <v>0.8125</v>
      </c>
    </row>
    <row r="258" spans="1:24" x14ac:dyDescent="0.2">
      <c r="B258" s="22" t="s">
        <v>157</v>
      </c>
    </row>
    <row r="259" spans="1:24" x14ac:dyDescent="0.2">
      <c r="B259" s="19" t="s">
        <v>1</v>
      </c>
      <c r="C259" s="19"/>
      <c r="D259" s="19"/>
      <c r="E259" s="19"/>
      <c r="F259" s="19"/>
      <c r="G259" s="19"/>
      <c r="H259" s="19"/>
      <c r="I259" s="19"/>
      <c r="J259" s="82">
        <f ca="1">+J244</f>
        <v>34.002843296744565</v>
      </c>
      <c r="K259" s="82">
        <f t="shared" ref="K259:Q259" ca="1" si="115">+K244</f>
        <v>34.882294285563397</v>
      </c>
      <c r="L259" s="82">
        <f t="shared" ca="1" si="115"/>
        <v>34.891116078992468</v>
      </c>
      <c r="M259" s="82">
        <f t="shared" ca="1" si="115"/>
        <v>34.614140127697027</v>
      </c>
      <c r="N259" s="82">
        <f t="shared" ca="1" si="115"/>
        <v>33.133474565329266</v>
      </c>
      <c r="O259" s="82">
        <f t="shared" ca="1" si="115"/>
        <v>31.244288450182225</v>
      </c>
      <c r="P259" s="82">
        <f t="shared" ca="1" si="115"/>
        <v>28.549593654916112</v>
      </c>
      <c r="Q259" s="82">
        <f t="shared" ca="1" si="115"/>
        <v>25.335665047985543</v>
      </c>
    </row>
    <row r="260" spans="1:24" x14ac:dyDescent="0.2">
      <c r="B260" s="20" t="s">
        <v>156</v>
      </c>
      <c r="J260" s="50">
        <f>+J256</f>
        <v>1.4854166666666666</v>
      </c>
      <c r="K260" s="50">
        <f t="shared" ref="K260:Q260" si="116">+K256</f>
        <v>1.4854166666666666</v>
      </c>
      <c r="L260" s="50">
        <f t="shared" si="116"/>
        <v>1.4854166666666666</v>
      </c>
      <c r="M260" s="50">
        <f t="shared" si="116"/>
        <v>1.4854166666666666</v>
      </c>
      <c r="N260" s="50">
        <f t="shared" si="116"/>
        <v>1.4854166666666666</v>
      </c>
      <c r="O260" s="50">
        <f t="shared" si="116"/>
        <v>1.3854166666666665</v>
      </c>
      <c r="P260" s="50">
        <f t="shared" si="116"/>
        <v>0.81250000000000044</v>
      </c>
      <c r="Q260" s="50">
        <f t="shared" si="116"/>
        <v>0.8125</v>
      </c>
    </row>
    <row r="261" spans="1:24" s="18" customFormat="1" x14ac:dyDescent="0.2">
      <c r="B261" s="9" t="s">
        <v>24</v>
      </c>
      <c r="C261" s="9"/>
      <c r="D261" s="9"/>
      <c r="E261" s="9"/>
      <c r="F261" s="9"/>
      <c r="G261" s="9"/>
      <c r="H261" s="9"/>
      <c r="I261" s="9"/>
      <c r="J261" s="51">
        <f ca="1">SUM(J259:J260)</f>
        <v>35.488259963411231</v>
      </c>
      <c r="K261" s="51">
        <f t="shared" ref="K261:Q261" ca="1" si="117">SUM(K259:K260)</f>
        <v>36.367710952230063</v>
      </c>
      <c r="L261" s="51">
        <f t="shared" ca="1" si="117"/>
        <v>36.376532745659134</v>
      </c>
      <c r="M261" s="51">
        <f t="shared" ca="1" si="117"/>
        <v>36.099556794363693</v>
      </c>
      <c r="N261" s="51">
        <f t="shared" ca="1" si="117"/>
        <v>34.618891231995931</v>
      </c>
      <c r="O261" s="51">
        <f t="shared" ca="1" si="117"/>
        <v>32.629705116848889</v>
      </c>
      <c r="P261" s="51">
        <f t="shared" ca="1" si="117"/>
        <v>29.362093654916112</v>
      </c>
      <c r="Q261" s="51">
        <f t="shared" ca="1" si="117"/>
        <v>26.148165047985543</v>
      </c>
    </row>
    <row r="262" spans="1:24" x14ac:dyDescent="0.2">
      <c r="B262" s="20" t="s">
        <v>158</v>
      </c>
      <c r="J262" s="50">
        <f ca="1">+-J171</f>
        <v>-5.5317235611121104E-2</v>
      </c>
      <c r="K262" s="50">
        <f t="shared" ref="K262:Q262" ca="1" si="118">+-K171</f>
        <v>-0.14408854436563542</v>
      </c>
      <c r="L262" s="50">
        <f t="shared" ca="1" si="118"/>
        <v>-0.24068059124362151</v>
      </c>
      <c r="M262" s="50">
        <f t="shared" ca="1" si="118"/>
        <v>-0.33380920773491179</v>
      </c>
      <c r="N262" s="50">
        <f t="shared" ca="1" si="118"/>
        <v>-0.42441523825940664</v>
      </c>
      <c r="O262" s="50">
        <f t="shared" ca="1" si="118"/>
        <v>-0.52609672320224954</v>
      </c>
      <c r="P262" s="50">
        <f t="shared" ca="1" si="118"/>
        <v>-0.6383756730050042</v>
      </c>
      <c r="Q262" s="50">
        <f t="shared" ca="1" si="118"/>
        <v>-0.76175435036843198</v>
      </c>
    </row>
    <row r="263" spans="1:24" s="18" customFormat="1" x14ac:dyDescent="0.2">
      <c r="B263" s="9" t="s">
        <v>157</v>
      </c>
      <c r="C263" s="9"/>
      <c r="D263" s="9"/>
      <c r="E263" s="9"/>
      <c r="F263" s="9"/>
      <c r="G263" s="9"/>
      <c r="H263" s="9"/>
      <c r="I263" s="9"/>
      <c r="J263" s="51">
        <f ca="1">+J261+J262</f>
        <v>35.432942727800111</v>
      </c>
      <c r="K263" s="51">
        <f t="shared" ref="K263:Q263" ca="1" si="119">+K261+K262</f>
        <v>36.223622407864426</v>
      </c>
      <c r="L263" s="51">
        <f t="shared" ca="1" si="119"/>
        <v>36.13585215441551</v>
      </c>
      <c r="M263" s="51">
        <f t="shared" ca="1" si="119"/>
        <v>35.765747586628784</v>
      </c>
      <c r="N263" s="51">
        <f t="shared" ca="1" si="119"/>
        <v>34.194475993736525</v>
      </c>
      <c r="O263" s="51">
        <f t="shared" ca="1" si="119"/>
        <v>32.103608393646638</v>
      </c>
      <c r="P263" s="51">
        <f t="shared" ca="1" si="119"/>
        <v>28.723717981911108</v>
      </c>
      <c r="Q263" s="51">
        <f t="shared" ca="1" si="119"/>
        <v>25.386410697617112</v>
      </c>
    </row>
    <row r="265" spans="1:24" x14ac:dyDescent="0.2">
      <c r="B265" s="22" t="s">
        <v>159</v>
      </c>
    </row>
    <row r="266" spans="1:24" x14ac:dyDescent="0.2">
      <c r="B266" s="19" t="s">
        <v>154</v>
      </c>
      <c r="C266" s="19"/>
      <c r="D266" s="19"/>
      <c r="E266" s="19"/>
      <c r="F266" s="19"/>
      <c r="G266" s="19"/>
      <c r="H266" s="19"/>
      <c r="I266" s="19"/>
      <c r="J266" s="134">
        <f ca="1">+J249</f>
        <v>8.8772845953002619</v>
      </c>
      <c r="K266" s="134">
        <f t="shared" ref="K266:Q266" ca="1" si="120">+K249</f>
        <v>9.6653464131598152</v>
      </c>
      <c r="L266" s="134">
        <f t="shared" ca="1" si="120"/>
        <v>10.523366721377657</v>
      </c>
      <c r="M266" s="82">
        <f t="shared" si="120"/>
        <v>0</v>
      </c>
      <c r="N266" s="82">
        <f t="shared" si="120"/>
        <v>0</v>
      </c>
      <c r="O266" s="82">
        <f t="shared" si="120"/>
        <v>0</v>
      </c>
      <c r="P266" s="82">
        <f t="shared" si="120"/>
        <v>0</v>
      </c>
      <c r="Q266" s="82">
        <f t="shared" si="120"/>
        <v>0</v>
      </c>
    </row>
    <row r="267" spans="1:24" x14ac:dyDescent="0.2">
      <c r="B267" s="20" t="s">
        <v>156</v>
      </c>
      <c r="J267" s="50">
        <f>+J256</f>
        <v>1.4854166666666666</v>
      </c>
      <c r="K267" s="50">
        <f t="shared" ref="K267:Q267" si="121">+K256</f>
        <v>1.4854166666666666</v>
      </c>
      <c r="L267" s="50">
        <f t="shared" si="121"/>
        <v>1.4854166666666666</v>
      </c>
      <c r="M267" s="50">
        <f t="shared" si="121"/>
        <v>1.4854166666666666</v>
      </c>
      <c r="N267" s="50">
        <f t="shared" si="121"/>
        <v>1.4854166666666666</v>
      </c>
      <c r="O267" s="50">
        <f t="shared" si="121"/>
        <v>1.3854166666666665</v>
      </c>
      <c r="P267" s="50">
        <f t="shared" si="121"/>
        <v>0.81250000000000044</v>
      </c>
      <c r="Q267" s="50">
        <f t="shared" si="121"/>
        <v>0.8125</v>
      </c>
    </row>
    <row r="268" spans="1:24" x14ac:dyDescent="0.2">
      <c r="B268" s="9" t="s">
        <v>160</v>
      </c>
      <c r="C268" s="9"/>
      <c r="D268" s="9"/>
      <c r="E268" s="9"/>
      <c r="F268" s="9"/>
      <c r="G268" s="9"/>
      <c r="H268" s="9"/>
      <c r="I268" s="9"/>
      <c r="J268" s="51">
        <f ca="1">+J266+J267</f>
        <v>10.362701261966929</v>
      </c>
      <c r="K268" s="51">
        <f t="shared" ref="K268:Q268" ca="1" si="122">+K266+K267</f>
        <v>11.150763079826483</v>
      </c>
      <c r="L268" s="51">
        <f t="shared" ca="1" si="122"/>
        <v>12.008783388044325</v>
      </c>
      <c r="M268" s="51">
        <f t="shared" si="122"/>
        <v>1.4854166666666666</v>
      </c>
      <c r="N268" s="51">
        <f t="shared" si="122"/>
        <v>1.4854166666666666</v>
      </c>
      <c r="O268" s="51">
        <f t="shared" si="122"/>
        <v>1.3854166666666665</v>
      </c>
      <c r="P268" s="51">
        <f t="shared" si="122"/>
        <v>0.81250000000000044</v>
      </c>
      <c r="Q268" s="51">
        <f t="shared" si="122"/>
        <v>0.8125</v>
      </c>
    </row>
    <row r="272" spans="1:24" x14ac:dyDescent="0.2">
      <c r="A272" s="5" t="s">
        <v>35</v>
      </c>
      <c r="B272" s="6" t="s">
        <v>161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2:17" x14ac:dyDescent="0.2">
      <c r="B273" s="8" t="s">
        <v>37</v>
      </c>
    </row>
    <row r="275" spans="2:17" x14ac:dyDescent="0.2">
      <c r="B275" s="8" t="s">
        <v>88</v>
      </c>
      <c r="I275" s="133">
        <f>I$116</f>
        <v>42735</v>
      </c>
      <c r="J275" s="54">
        <f t="shared" ref="J275:Q275" si="123">J$116</f>
        <v>43100</v>
      </c>
      <c r="K275" s="54">
        <f t="shared" si="123"/>
        <v>43465</v>
      </c>
      <c r="L275" s="54">
        <f t="shared" si="123"/>
        <v>43830</v>
      </c>
      <c r="M275" s="54">
        <f t="shared" si="123"/>
        <v>44196</v>
      </c>
      <c r="N275" s="54">
        <f t="shared" si="123"/>
        <v>44561</v>
      </c>
      <c r="O275" s="54">
        <f t="shared" si="123"/>
        <v>44926</v>
      </c>
      <c r="P275" s="54">
        <f t="shared" si="123"/>
        <v>45291</v>
      </c>
      <c r="Q275" s="54">
        <f t="shared" si="123"/>
        <v>45657</v>
      </c>
    </row>
    <row r="276" spans="2:17" ht="3" customHeight="1" x14ac:dyDescent="0.2"/>
    <row r="278" spans="2:17" x14ac:dyDescent="0.2">
      <c r="B278" s="22" t="s">
        <v>170</v>
      </c>
    </row>
    <row r="279" spans="2:17" x14ac:dyDescent="0.2">
      <c r="B279" s="19" t="s">
        <v>77</v>
      </c>
      <c r="C279" s="19"/>
      <c r="D279" s="19"/>
      <c r="E279" s="19"/>
      <c r="F279" s="19"/>
      <c r="G279" s="19"/>
      <c r="H279" s="19"/>
      <c r="I279" s="82">
        <f>+SUM(I181:I182)</f>
        <v>275</v>
      </c>
      <c r="J279" s="82">
        <f t="shared" ref="J279:Q279" ca="1" si="124">+SUM(J181:J182)</f>
        <v>240.74621151110313</v>
      </c>
      <c r="K279" s="82">
        <f t="shared" ca="1" si="124"/>
        <v>203.98295299638855</v>
      </c>
      <c r="L279" s="82">
        <f t="shared" ca="1" si="124"/>
        <v>163.47257400871428</v>
      </c>
      <c r="M279" s="82">
        <f t="shared" ca="1" si="124"/>
        <v>129.48005980335637</v>
      </c>
      <c r="N279" s="82">
        <f t="shared" ca="1" si="124"/>
        <v>90.987749589118422</v>
      </c>
      <c r="O279" s="82">
        <f t="shared" ca="1" si="124"/>
        <v>48.13487184908206</v>
      </c>
      <c r="P279" s="82">
        <f t="shared" ca="1" si="124"/>
        <v>1.1645897469147144</v>
      </c>
      <c r="Q279" s="82">
        <f t="shared" ca="1" si="124"/>
        <v>0</v>
      </c>
    </row>
    <row r="280" spans="2:17" x14ac:dyDescent="0.2">
      <c r="B280" s="16" t="s">
        <v>78</v>
      </c>
      <c r="C280" s="16"/>
      <c r="D280" s="16"/>
      <c r="E280" s="16"/>
      <c r="F280" s="16"/>
      <c r="G280" s="16"/>
      <c r="H280" s="16"/>
      <c r="I280" s="72">
        <f>+SUM(I181:I183)</f>
        <v>500</v>
      </c>
      <c r="J280" s="72">
        <f t="shared" ref="J280:Q280" ca="1" si="125">+SUM(J181:J183)</f>
        <v>465.74621151110313</v>
      </c>
      <c r="K280" s="72">
        <f t="shared" ca="1" si="125"/>
        <v>428.98295299638858</v>
      </c>
      <c r="L280" s="72">
        <f t="shared" ca="1" si="125"/>
        <v>388.47257400871428</v>
      </c>
      <c r="M280" s="72">
        <f t="shared" ca="1" si="125"/>
        <v>354.48005980335637</v>
      </c>
      <c r="N280" s="72">
        <f t="shared" ca="1" si="125"/>
        <v>315.98774958911844</v>
      </c>
      <c r="O280" s="72">
        <f t="shared" ca="1" si="125"/>
        <v>273.13487184908206</v>
      </c>
      <c r="P280" s="72">
        <f t="shared" ca="1" si="125"/>
        <v>226.16458974691471</v>
      </c>
      <c r="Q280" s="72">
        <f t="shared" ca="1" si="125"/>
        <v>174.43192995833982</v>
      </c>
    </row>
    <row r="281" spans="2:17" x14ac:dyDescent="0.2">
      <c r="B281" s="17" t="s">
        <v>33</v>
      </c>
      <c r="C281" s="17"/>
      <c r="D281" s="17"/>
      <c r="E281" s="17"/>
      <c r="F281" s="17"/>
      <c r="G281" s="17"/>
      <c r="H281" s="17"/>
      <c r="I281" s="73">
        <f>+I185</f>
        <v>600</v>
      </c>
      <c r="J281" s="73">
        <f t="shared" ref="J281:Q281" ca="1" si="126">+J185</f>
        <v>574.62349610640342</v>
      </c>
      <c r="K281" s="73">
        <f t="shared" ca="1" si="126"/>
        <v>547.52558400484861</v>
      </c>
      <c r="L281" s="73">
        <f t="shared" ca="1" si="126"/>
        <v>517.53857173855204</v>
      </c>
      <c r="M281" s="73">
        <f t="shared" ca="1" si="126"/>
        <v>483.54605753319413</v>
      </c>
      <c r="N281" s="73">
        <f t="shared" ca="1" si="126"/>
        <v>445.0537473189562</v>
      </c>
      <c r="O281" s="73">
        <f t="shared" ca="1" si="126"/>
        <v>402.20086957891976</v>
      </c>
      <c r="P281" s="73">
        <f t="shared" ca="1" si="126"/>
        <v>355.23058747675248</v>
      </c>
      <c r="Q281" s="73">
        <f t="shared" ca="1" si="126"/>
        <v>303.49792768817758</v>
      </c>
    </row>
    <row r="283" spans="2:17" x14ac:dyDescent="0.2">
      <c r="B283" s="22" t="s">
        <v>171</v>
      </c>
    </row>
    <row r="284" spans="2:17" x14ac:dyDescent="0.2">
      <c r="B284" s="19" t="s">
        <v>90</v>
      </c>
      <c r="C284" s="19"/>
      <c r="D284" s="19"/>
      <c r="E284" s="19"/>
      <c r="F284" s="19"/>
      <c r="G284" s="19"/>
      <c r="H284" s="19"/>
      <c r="I284" s="82">
        <f t="shared" ref="I284:J284" si="127">+I50</f>
        <v>90</v>
      </c>
      <c r="J284" s="82">
        <f>+J50</f>
        <v>94.5</v>
      </c>
      <c r="K284" s="82">
        <f t="shared" ref="K284:Q284" si="128">+K50</f>
        <v>100.17</v>
      </c>
      <c r="L284" s="82">
        <f t="shared" si="128"/>
        <v>107.18190000000001</v>
      </c>
      <c r="M284" s="82">
        <f t="shared" si="128"/>
        <v>113.61281400000001</v>
      </c>
      <c r="N284" s="82">
        <f t="shared" si="128"/>
        <v>119.29345470000001</v>
      </c>
      <c r="O284" s="82">
        <f t="shared" si="128"/>
        <v>124.06519288800001</v>
      </c>
      <c r="P284" s="82">
        <f t="shared" si="128"/>
        <v>129.02780060352001</v>
      </c>
      <c r="Q284" s="82">
        <f t="shared" si="128"/>
        <v>134.18891262766081</v>
      </c>
    </row>
    <row r="285" spans="2:17" x14ac:dyDescent="0.2">
      <c r="B285" s="16" t="s">
        <v>168</v>
      </c>
      <c r="C285" s="16"/>
      <c r="D285" s="16"/>
      <c r="E285" s="16"/>
      <c r="F285" s="16"/>
      <c r="G285" s="16"/>
      <c r="H285" s="16"/>
      <c r="I285" s="135">
        <f ca="1">+J285</f>
        <v>25.125558701444305</v>
      </c>
      <c r="J285" s="135">
        <f ca="1">+J244-J249</f>
        <v>25.125558701444305</v>
      </c>
      <c r="K285" s="135">
        <f t="shared" ref="K285:Q285" ca="1" si="129">+K244-K249</f>
        <v>25.21694787240358</v>
      </c>
      <c r="L285" s="135">
        <f t="shared" ca="1" si="129"/>
        <v>24.367749357614812</v>
      </c>
      <c r="M285" s="135">
        <f t="shared" ca="1" si="129"/>
        <v>34.614140127697027</v>
      </c>
      <c r="N285" s="135">
        <f t="shared" ca="1" si="129"/>
        <v>33.133474565329266</v>
      </c>
      <c r="O285" s="135">
        <f t="shared" ca="1" si="129"/>
        <v>31.244288450182225</v>
      </c>
      <c r="P285" s="135">
        <f t="shared" ca="1" si="129"/>
        <v>28.549593654916112</v>
      </c>
      <c r="Q285" s="135">
        <f t="shared" ca="1" si="129"/>
        <v>25.335665047985543</v>
      </c>
    </row>
    <row r="286" spans="2:17" x14ac:dyDescent="0.2">
      <c r="B286" s="17" t="s">
        <v>169</v>
      </c>
      <c r="C286" s="17"/>
      <c r="D286" s="17"/>
      <c r="E286" s="17"/>
      <c r="F286" s="17"/>
      <c r="G286" s="17"/>
      <c r="H286" s="17"/>
      <c r="I286" s="73">
        <f>+-I155</f>
        <v>17</v>
      </c>
      <c r="J286" s="73">
        <f t="shared" ref="J286:Q286" si="130">+-J155</f>
        <v>17.850000000000001</v>
      </c>
      <c r="K286" s="73">
        <f t="shared" si="130"/>
        <v>18.920999999999999</v>
      </c>
      <c r="L286" s="73">
        <f t="shared" si="130"/>
        <v>20.245470000000001</v>
      </c>
      <c r="M286" s="73">
        <f t="shared" si="130"/>
        <v>21.460198200000001</v>
      </c>
      <c r="N286" s="73">
        <f t="shared" si="130"/>
        <v>22.533208110000004</v>
      </c>
      <c r="O286" s="73">
        <f t="shared" si="130"/>
        <v>23.434536434400002</v>
      </c>
      <c r="P286" s="73">
        <f t="shared" si="130"/>
        <v>24.371917891776004</v>
      </c>
      <c r="Q286" s="73">
        <f t="shared" si="130"/>
        <v>25.346794607447041</v>
      </c>
    </row>
    <row r="288" spans="2:17" x14ac:dyDescent="0.2">
      <c r="B288" s="22" t="s">
        <v>13</v>
      </c>
    </row>
    <row r="289" spans="1:24" x14ac:dyDescent="0.2">
      <c r="B289" s="19" t="s">
        <v>173</v>
      </c>
      <c r="C289" s="19"/>
      <c r="D289" s="19"/>
      <c r="E289" s="19"/>
      <c r="F289" s="19"/>
      <c r="G289" s="19"/>
      <c r="H289" s="19"/>
      <c r="I289" s="120">
        <f t="shared" ref="I289:J289" si="131">+I279/I284</f>
        <v>3.0555555555555554</v>
      </c>
      <c r="J289" s="120">
        <f ca="1">+J279/J284</f>
        <v>2.547578957789451</v>
      </c>
      <c r="K289" s="120">
        <f t="shared" ref="K289:Q289" ca="1" si="132">+J279/K284</f>
        <v>2.403376375273067</v>
      </c>
      <c r="L289" s="120">
        <f t="shared" ca="1" si="132"/>
        <v>1.9031473877248726</v>
      </c>
      <c r="M289" s="120">
        <f t="shared" ca="1" si="132"/>
        <v>1.4388568353629041</v>
      </c>
      <c r="N289" s="120">
        <f t="shared" ca="1" si="132"/>
        <v>1.085391148483156</v>
      </c>
      <c r="O289" s="120">
        <f t="shared" ca="1" si="132"/>
        <v>0.73338659676495821</v>
      </c>
      <c r="P289" s="120">
        <f t="shared" ca="1" si="132"/>
        <v>0.37305814424437217</v>
      </c>
      <c r="Q289" s="120">
        <f t="shared" ca="1" si="132"/>
        <v>8.6787330198147359E-3</v>
      </c>
    </row>
    <row r="290" spans="1:24" x14ac:dyDescent="0.2">
      <c r="B290" s="16" t="s">
        <v>174</v>
      </c>
      <c r="C290" s="16"/>
      <c r="D290" s="16"/>
      <c r="E290" s="16"/>
      <c r="F290" s="16"/>
      <c r="G290" s="16"/>
      <c r="H290" s="16"/>
      <c r="I290" s="121">
        <f t="shared" ref="I290:J290" si="133">+I280/I284</f>
        <v>5.5555555555555554</v>
      </c>
      <c r="J290" s="121">
        <f ca="1">+J280/J284</f>
        <v>4.9285313387418324</v>
      </c>
      <c r="K290" s="121">
        <f t="shared" ref="K290:Q290" ca="1" si="134">+J280/K284</f>
        <v>4.6495578667375774</v>
      </c>
      <c r="L290" s="121">
        <f t="shared" ca="1" si="134"/>
        <v>4.0023824264767516</v>
      </c>
      <c r="M290" s="121">
        <f t="shared" ca="1" si="134"/>
        <v>3.4192672492797707</v>
      </c>
      <c r="N290" s="121">
        <f t="shared" ca="1" si="134"/>
        <v>2.9714963045944578</v>
      </c>
      <c r="O290" s="121">
        <f t="shared" ca="1" si="134"/>
        <v>2.546949246871979</v>
      </c>
      <c r="P290" s="121">
        <f t="shared" ca="1" si="134"/>
        <v>2.1168683847318923</v>
      </c>
      <c r="Q290" s="121">
        <f t="shared" ca="1" si="134"/>
        <v>1.6854193488731992</v>
      </c>
    </row>
    <row r="291" spans="1:24" x14ac:dyDescent="0.2">
      <c r="B291" s="17" t="s">
        <v>172</v>
      </c>
      <c r="C291" s="17"/>
      <c r="D291" s="17"/>
      <c r="E291" s="17"/>
      <c r="F291" s="17"/>
      <c r="G291" s="17"/>
      <c r="H291" s="17"/>
      <c r="I291" s="122">
        <f t="shared" ref="I291:J291" si="135">+I281/I284</f>
        <v>6.666666666666667</v>
      </c>
      <c r="J291" s="122">
        <f ca="1">+J281/J284</f>
        <v>6.0806719164698775</v>
      </c>
      <c r="K291" s="122">
        <f t="shared" ref="K291:Q291" ca="1" si="136">+J281/K284</f>
        <v>5.7364829400659216</v>
      </c>
      <c r="L291" s="122">
        <f t="shared" ca="1" si="136"/>
        <v>5.1083772913602816</v>
      </c>
      <c r="M291" s="122">
        <f t="shared" ca="1" si="136"/>
        <v>4.5552834536652878</v>
      </c>
      <c r="N291" s="122">
        <f t="shared" ca="1" si="136"/>
        <v>4.0534164992473309</v>
      </c>
      <c r="O291" s="122">
        <f t="shared" ca="1" si="136"/>
        <v>3.5872571263458957</v>
      </c>
      <c r="P291" s="122">
        <f t="shared" ca="1" si="136"/>
        <v>3.1171644226875812</v>
      </c>
      <c r="Q291" s="122">
        <f t="shared" ca="1" si="136"/>
        <v>2.6472424622921311</v>
      </c>
    </row>
    <row r="293" spans="1:24" x14ac:dyDescent="0.2">
      <c r="B293" s="22" t="s">
        <v>14</v>
      </c>
    </row>
    <row r="294" spans="1:24" x14ac:dyDescent="0.2">
      <c r="B294" s="19" t="s">
        <v>175</v>
      </c>
      <c r="C294" s="19"/>
      <c r="D294" s="19"/>
      <c r="E294" s="19"/>
      <c r="F294" s="19"/>
      <c r="G294" s="19"/>
      <c r="H294" s="19"/>
      <c r="I294" s="120">
        <f t="shared" ref="I294:J294" ca="1" si="137">+I284/I285</f>
        <v>3.582009899538134</v>
      </c>
      <c r="J294" s="120">
        <f ca="1">+J284/J285</f>
        <v>3.7611103945150406</v>
      </c>
      <c r="K294" s="120">
        <f t="shared" ref="K294:Q294" ca="1" si="138">+K284/K285</f>
        <v>3.972328471584067</v>
      </c>
      <c r="L294" s="120">
        <f t="shared" ca="1" si="138"/>
        <v>4.3985145458871093</v>
      </c>
      <c r="M294" s="120">
        <f t="shared" ca="1" si="138"/>
        <v>3.2822659635878404</v>
      </c>
      <c r="N294" s="120">
        <f t="shared" ca="1" si="138"/>
        <v>3.6003907306729674</v>
      </c>
      <c r="O294" s="120">
        <f t="shared" ca="1" si="138"/>
        <v>3.9708119160984263</v>
      </c>
      <c r="P294" s="120">
        <f t="shared" ca="1" si="138"/>
        <v>4.5194268669145137</v>
      </c>
      <c r="Q294" s="120">
        <f t="shared" ca="1" si="138"/>
        <v>5.296443269734902</v>
      </c>
    </row>
    <row r="295" spans="1:24" x14ac:dyDescent="0.2">
      <c r="B295" s="3" t="s">
        <v>176</v>
      </c>
      <c r="I295" s="136">
        <f ca="1">+(I284-I286)/I285</f>
        <v>2.905408029625375</v>
      </c>
      <c r="J295" s="136">
        <f ca="1">+(J284-J285)/J286</f>
        <v>3.8865233220479376</v>
      </c>
      <c r="K295" s="136">
        <f t="shared" ref="K295:Q295" ca="1" si="139">+(K284-K285)/K286</f>
        <v>3.9613684333595702</v>
      </c>
      <c r="L295" s="136">
        <f t="shared" ca="1" si="139"/>
        <v>4.0905027466581512</v>
      </c>
      <c r="M295" s="136">
        <f t="shared" ca="1" si="139"/>
        <v>3.6811716805254382</v>
      </c>
      <c r="N295" s="136">
        <f t="shared" ca="1" si="139"/>
        <v>3.8236890066458775</v>
      </c>
      <c r="O295" s="136">
        <f t="shared" ca="1" si="139"/>
        <v>3.9608594220606905</v>
      </c>
      <c r="P295" s="136">
        <f t="shared" ca="1" si="139"/>
        <v>4.1227041464188172</v>
      </c>
      <c r="Q295" s="136">
        <f t="shared" ca="1" si="139"/>
        <v>4.2945567384561327</v>
      </c>
    </row>
    <row r="296" spans="1:24" s="63" customFormat="1" x14ac:dyDescent="0.2"/>
    <row r="300" spans="1:24" x14ac:dyDescent="0.2">
      <c r="A300" s="5" t="s">
        <v>35</v>
      </c>
      <c r="B300" s="6" t="s">
        <v>162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x14ac:dyDescent="0.2">
      <c r="B301" s="8" t="s">
        <v>37</v>
      </c>
    </row>
    <row r="303" spans="1:24" x14ac:dyDescent="0.2">
      <c r="B303" s="8" t="s">
        <v>88</v>
      </c>
      <c r="I303" s="133">
        <f t="shared" ref="I303" si="140">I$116</f>
        <v>42735</v>
      </c>
      <c r="J303" s="54">
        <f t="shared" ref="J303:Q303" si="141">J$116</f>
        <v>43100</v>
      </c>
      <c r="K303" s="54">
        <f t="shared" si="141"/>
        <v>43465</v>
      </c>
      <c r="L303" s="54">
        <f t="shared" si="141"/>
        <v>43830</v>
      </c>
      <c r="M303" s="54">
        <f t="shared" si="141"/>
        <v>44196</v>
      </c>
      <c r="N303" s="54">
        <f t="shared" si="141"/>
        <v>44561</v>
      </c>
      <c r="O303" s="54">
        <f t="shared" si="141"/>
        <v>44926</v>
      </c>
      <c r="P303" s="54">
        <f t="shared" si="141"/>
        <v>45291</v>
      </c>
      <c r="Q303" s="54">
        <f t="shared" si="141"/>
        <v>45657</v>
      </c>
    </row>
    <row r="304" spans="1:24" ht="3" customHeight="1" x14ac:dyDescent="0.2"/>
    <row r="306" spans="2:17" x14ac:dyDescent="0.2">
      <c r="B306" s="123" t="s">
        <v>53</v>
      </c>
      <c r="C306" s="123"/>
      <c r="D306" s="123"/>
      <c r="E306" s="123"/>
      <c r="F306" s="123"/>
      <c r="G306" s="123"/>
      <c r="H306" s="123"/>
      <c r="I306" s="124">
        <f>+I284</f>
        <v>90</v>
      </c>
      <c r="J306" s="124">
        <f t="shared" ref="J306:Q306" si="142">+J284</f>
        <v>94.5</v>
      </c>
      <c r="K306" s="124">
        <f t="shared" si="142"/>
        <v>100.17</v>
      </c>
      <c r="L306" s="124">
        <f t="shared" si="142"/>
        <v>107.18190000000001</v>
      </c>
      <c r="M306" s="124">
        <f t="shared" si="142"/>
        <v>113.61281400000001</v>
      </c>
      <c r="N306" s="124">
        <f t="shared" si="142"/>
        <v>119.29345470000001</v>
      </c>
      <c r="O306" s="124">
        <f t="shared" si="142"/>
        <v>124.06519288800001</v>
      </c>
      <c r="P306" s="124">
        <f t="shared" si="142"/>
        <v>129.02780060352001</v>
      </c>
      <c r="Q306" s="124">
        <f t="shared" si="142"/>
        <v>134.18891262766081</v>
      </c>
    </row>
    <row r="308" spans="2:17" x14ac:dyDescent="0.2">
      <c r="B308" s="19" t="s">
        <v>33</v>
      </c>
      <c r="C308" s="19"/>
      <c r="D308" s="19"/>
      <c r="E308" s="19"/>
      <c r="F308" s="19"/>
      <c r="G308" s="19"/>
      <c r="H308" s="19"/>
      <c r="I308" s="84">
        <f>+I281</f>
        <v>600</v>
      </c>
      <c r="J308" s="84">
        <f t="shared" ref="J308:Q308" ca="1" si="143">+J281</f>
        <v>574.62349610640342</v>
      </c>
      <c r="K308" s="84">
        <f t="shared" ca="1" si="143"/>
        <v>547.52558400484861</v>
      </c>
      <c r="L308" s="84">
        <f t="shared" ca="1" si="143"/>
        <v>517.53857173855204</v>
      </c>
      <c r="M308" s="84">
        <f t="shared" ca="1" si="143"/>
        <v>483.54605753319413</v>
      </c>
      <c r="N308" s="84">
        <f t="shared" ca="1" si="143"/>
        <v>445.0537473189562</v>
      </c>
      <c r="O308" s="84">
        <f t="shared" ca="1" si="143"/>
        <v>402.20086957891976</v>
      </c>
      <c r="P308" s="84">
        <f t="shared" ca="1" si="143"/>
        <v>355.23058747675248</v>
      </c>
      <c r="Q308" s="84">
        <f t="shared" ca="1" si="143"/>
        <v>303.49792768817758</v>
      </c>
    </row>
    <row r="309" spans="2:17" x14ac:dyDescent="0.2">
      <c r="B309" s="20" t="s">
        <v>177</v>
      </c>
      <c r="I309" s="49">
        <f>+-I119</f>
        <v>-5</v>
      </c>
      <c r="J309" s="49">
        <f t="shared" ref="J309:Q309" si="144">+-J119</f>
        <v>-5</v>
      </c>
      <c r="K309" s="49">
        <f t="shared" si="144"/>
        <v>-5</v>
      </c>
      <c r="L309" s="49">
        <f t="shared" si="144"/>
        <v>-5</v>
      </c>
      <c r="M309" s="49">
        <f t="shared" si="144"/>
        <v>-5</v>
      </c>
      <c r="N309" s="49">
        <f t="shared" si="144"/>
        <v>-5</v>
      </c>
      <c r="O309" s="49">
        <f t="shared" si="144"/>
        <v>-5</v>
      </c>
      <c r="P309" s="49">
        <f t="shared" si="144"/>
        <v>-5</v>
      </c>
      <c r="Q309" s="49">
        <f t="shared" si="144"/>
        <v>-5</v>
      </c>
    </row>
    <row r="310" spans="2:17" x14ac:dyDescent="0.2">
      <c r="B310" s="9" t="s">
        <v>23</v>
      </c>
      <c r="C310" s="14"/>
      <c r="D310" s="14"/>
      <c r="E310" s="14"/>
      <c r="F310" s="14"/>
      <c r="G310" s="14"/>
      <c r="H310" s="14"/>
      <c r="I310" s="137">
        <f>SUM(I308:I309)</f>
        <v>595</v>
      </c>
      <c r="J310" s="137">
        <f t="shared" ref="J310:Q310" ca="1" si="145">SUM(J308:J309)</f>
        <v>569.62349610640342</v>
      </c>
      <c r="K310" s="137">
        <f t="shared" ca="1" si="145"/>
        <v>542.52558400484861</v>
      </c>
      <c r="L310" s="137">
        <f t="shared" ca="1" si="145"/>
        <v>512.53857173855204</v>
      </c>
      <c r="M310" s="137">
        <f t="shared" ca="1" si="145"/>
        <v>478.54605753319413</v>
      </c>
      <c r="N310" s="137">
        <f t="shared" ca="1" si="145"/>
        <v>440.0537473189562</v>
      </c>
      <c r="O310" s="137">
        <f t="shared" ca="1" si="145"/>
        <v>397.20086957891976</v>
      </c>
      <c r="P310" s="137">
        <f t="shared" ca="1" si="145"/>
        <v>350.23058747675248</v>
      </c>
      <c r="Q310" s="137">
        <f t="shared" ca="1" si="145"/>
        <v>298.49792768817758</v>
      </c>
    </row>
    <row r="313" spans="2:17" x14ac:dyDescent="0.2">
      <c r="B313" s="22" t="s">
        <v>18</v>
      </c>
    </row>
    <row r="314" spans="2:17" x14ac:dyDescent="0.2">
      <c r="B314" s="8" t="s">
        <v>178</v>
      </c>
    </row>
    <row r="316" spans="2:17" x14ac:dyDescent="0.2">
      <c r="E316" s="125">
        <f>E317-0.5</f>
        <v>7</v>
      </c>
      <c r="F316" s="19"/>
      <c r="G316" s="19"/>
      <c r="H316" s="19"/>
      <c r="I316" s="82"/>
      <c r="J316" s="82">
        <f t="shared" ref="J316:Q323" si="146">+$E316*J$306</f>
        <v>661.5</v>
      </c>
      <c r="K316" s="82">
        <f t="shared" si="146"/>
        <v>701.19</v>
      </c>
      <c r="L316" s="82">
        <f t="shared" si="146"/>
        <v>750.27330000000006</v>
      </c>
      <c r="M316" s="82">
        <f t="shared" si="146"/>
        <v>795.28969800000004</v>
      </c>
      <c r="N316" s="82">
        <f t="shared" si="146"/>
        <v>835.05418290000011</v>
      </c>
      <c r="O316" s="82">
        <f t="shared" si="146"/>
        <v>868.45635021600015</v>
      </c>
      <c r="P316" s="82">
        <f t="shared" si="146"/>
        <v>903.19460422463999</v>
      </c>
      <c r="Q316" s="82">
        <f t="shared" si="146"/>
        <v>939.32238839362572</v>
      </c>
    </row>
    <row r="317" spans="2:17" x14ac:dyDescent="0.2">
      <c r="E317" s="125">
        <f>E318-0.5</f>
        <v>7.5</v>
      </c>
      <c r="F317" s="16"/>
      <c r="G317" s="16"/>
      <c r="H317" s="16"/>
      <c r="I317" s="82"/>
      <c r="J317" s="82">
        <f t="shared" si="146"/>
        <v>708.75</v>
      </c>
      <c r="K317" s="82">
        <f t="shared" si="146"/>
        <v>751.27499999999998</v>
      </c>
      <c r="L317" s="82">
        <f t="shared" si="146"/>
        <v>803.86425000000008</v>
      </c>
      <c r="M317" s="82">
        <f t="shared" si="146"/>
        <v>852.09610500000008</v>
      </c>
      <c r="N317" s="82">
        <f t="shared" si="146"/>
        <v>894.70091025000011</v>
      </c>
      <c r="O317" s="82">
        <f t="shared" si="146"/>
        <v>930.48894666000012</v>
      </c>
      <c r="P317" s="82">
        <f t="shared" si="146"/>
        <v>967.70850452640002</v>
      </c>
      <c r="Q317" s="82">
        <f t="shared" si="146"/>
        <v>1006.4168447074561</v>
      </c>
    </row>
    <row r="318" spans="2:17" x14ac:dyDescent="0.2">
      <c r="E318" s="125">
        <f>E319-0.5</f>
        <v>8</v>
      </c>
      <c r="F318" s="16"/>
      <c r="G318" s="16"/>
      <c r="H318" s="16"/>
      <c r="I318" s="82"/>
      <c r="J318" s="82">
        <f t="shared" si="146"/>
        <v>756</v>
      </c>
      <c r="K318" s="82">
        <f t="shared" si="146"/>
        <v>801.36</v>
      </c>
      <c r="L318" s="82">
        <f t="shared" si="146"/>
        <v>857.4552000000001</v>
      </c>
      <c r="M318" s="82">
        <f t="shared" si="146"/>
        <v>908.90251200000012</v>
      </c>
      <c r="N318" s="82">
        <f t="shared" si="146"/>
        <v>954.3476376000001</v>
      </c>
      <c r="O318" s="82">
        <f t="shared" si="146"/>
        <v>992.5215431040001</v>
      </c>
      <c r="P318" s="82">
        <f t="shared" si="146"/>
        <v>1032.2224048281601</v>
      </c>
      <c r="Q318" s="82">
        <f t="shared" si="146"/>
        <v>1073.5113010212865</v>
      </c>
    </row>
    <row r="319" spans="2:17" x14ac:dyDescent="0.2">
      <c r="E319" s="125">
        <f>MROUND(E320,0.5)-0.5</f>
        <v>8.5</v>
      </c>
      <c r="F319" s="16"/>
      <c r="G319" s="16"/>
      <c r="H319" s="16"/>
      <c r="I319" s="82"/>
      <c r="J319" s="82">
        <f t="shared" si="146"/>
        <v>803.25</v>
      </c>
      <c r="K319" s="82">
        <f t="shared" si="146"/>
        <v>851.44500000000005</v>
      </c>
      <c r="L319" s="82">
        <f t="shared" si="146"/>
        <v>911.04615000000013</v>
      </c>
      <c r="M319" s="82">
        <f t="shared" si="146"/>
        <v>965.70891900000015</v>
      </c>
      <c r="N319" s="82">
        <f t="shared" si="146"/>
        <v>1013.9943649500001</v>
      </c>
      <c r="O319" s="82">
        <f t="shared" si="146"/>
        <v>1054.5541395480002</v>
      </c>
      <c r="P319" s="82">
        <f t="shared" si="146"/>
        <v>1096.7363051299201</v>
      </c>
      <c r="Q319" s="82">
        <f t="shared" si="146"/>
        <v>1140.605757335117</v>
      </c>
    </row>
    <row r="320" spans="2:17" x14ac:dyDescent="0.2">
      <c r="E320" s="126">
        <f>$M$10</f>
        <v>9</v>
      </c>
      <c r="F320" s="127"/>
      <c r="G320" s="127"/>
      <c r="H320" s="127"/>
      <c r="I320" s="82"/>
      <c r="J320" s="82">
        <f t="shared" si="146"/>
        <v>850.5</v>
      </c>
      <c r="K320" s="82">
        <f t="shared" si="146"/>
        <v>901.53</v>
      </c>
      <c r="L320" s="82">
        <f t="shared" si="146"/>
        <v>964.63710000000015</v>
      </c>
      <c r="M320" s="82">
        <f t="shared" si="146"/>
        <v>1022.5153260000002</v>
      </c>
      <c r="N320" s="82">
        <f t="shared" si="146"/>
        <v>1073.6410923000001</v>
      </c>
      <c r="O320" s="82">
        <f t="shared" si="146"/>
        <v>1116.5867359920001</v>
      </c>
      <c r="P320" s="82">
        <f t="shared" si="146"/>
        <v>1161.2502054316801</v>
      </c>
      <c r="Q320" s="82">
        <f t="shared" si="146"/>
        <v>1207.7002136489473</v>
      </c>
    </row>
    <row r="321" spans="2:17" x14ac:dyDescent="0.2">
      <c r="E321" s="125">
        <f>MROUND(E320,0.5)+0.5</f>
        <v>9.5</v>
      </c>
      <c r="F321" s="16"/>
      <c r="G321" s="16"/>
      <c r="H321" s="16"/>
      <c r="I321" s="82"/>
      <c r="J321" s="82">
        <f t="shared" si="146"/>
        <v>897.75</v>
      </c>
      <c r="K321" s="82">
        <f t="shared" si="146"/>
        <v>951.61500000000001</v>
      </c>
      <c r="L321" s="82">
        <f t="shared" si="146"/>
        <v>1018.2280500000002</v>
      </c>
      <c r="M321" s="82">
        <f t="shared" si="146"/>
        <v>1079.3217330000002</v>
      </c>
      <c r="N321" s="82">
        <f t="shared" si="146"/>
        <v>1133.2878196500001</v>
      </c>
      <c r="O321" s="82">
        <f t="shared" si="146"/>
        <v>1178.6193324360001</v>
      </c>
      <c r="P321" s="82">
        <f t="shared" si="146"/>
        <v>1225.7641057334401</v>
      </c>
      <c r="Q321" s="82">
        <f t="shared" si="146"/>
        <v>1274.7946699627778</v>
      </c>
    </row>
    <row r="322" spans="2:17" x14ac:dyDescent="0.2">
      <c r="E322" s="125">
        <f>E321+0.5</f>
        <v>10</v>
      </c>
      <c r="F322" s="16"/>
      <c r="G322" s="16"/>
      <c r="H322" s="16"/>
      <c r="I322" s="82"/>
      <c r="J322" s="82">
        <f t="shared" si="146"/>
        <v>945</v>
      </c>
      <c r="K322" s="82">
        <f t="shared" si="146"/>
        <v>1001.7</v>
      </c>
      <c r="L322" s="82">
        <f t="shared" si="146"/>
        <v>1071.8190000000002</v>
      </c>
      <c r="M322" s="82">
        <f t="shared" si="146"/>
        <v>1136.1281400000003</v>
      </c>
      <c r="N322" s="82">
        <f t="shared" si="146"/>
        <v>1192.9345470000001</v>
      </c>
      <c r="O322" s="82">
        <f t="shared" si="146"/>
        <v>1240.65192888</v>
      </c>
      <c r="P322" s="82">
        <f t="shared" si="146"/>
        <v>1290.2780060352002</v>
      </c>
      <c r="Q322" s="82">
        <f t="shared" si="146"/>
        <v>1341.8891262766081</v>
      </c>
    </row>
    <row r="323" spans="2:17" x14ac:dyDescent="0.2">
      <c r="E323" s="125">
        <f>E322+0.5</f>
        <v>10.5</v>
      </c>
      <c r="F323" s="16"/>
      <c r="G323" s="16"/>
      <c r="H323" s="16"/>
      <c r="I323" s="82"/>
      <c r="J323" s="82">
        <f t="shared" si="146"/>
        <v>992.25</v>
      </c>
      <c r="K323" s="82">
        <f t="shared" si="146"/>
        <v>1051.7850000000001</v>
      </c>
      <c r="L323" s="82">
        <f t="shared" si="146"/>
        <v>1125.4099500000002</v>
      </c>
      <c r="M323" s="82">
        <f t="shared" si="146"/>
        <v>1192.9345470000001</v>
      </c>
      <c r="N323" s="82">
        <f t="shared" si="146"/>
        <v>1252.5812743500001</v>
      </c>
      <c r="O323" s="82">
        <f t="shared" si="146"/>
        <v>1302.6845253240001</v>
      </c>
      <c r="P323" s="82">
        <f t="shared" si="146"/>
        <v>1354.79190633696</v>
      </c>
      <c r="Q323" s="82">
        <f t="shared" si="146"/>
        <v>1408.9835825904386</v>
      </c>
    </row>
    <row r="324" spans="2:17" x14ac:dyDescent="0.2">
      <c r="E324" s="125">
        <f>E323+0.5</f>
        <v>11</v>
      </c>
      <c r="F324" s="17"/>
      <c r="G324" s="17"/>
      <c r="H324" s="17"/>
      <c r="I324" s="17"/>
      <c r="J324" s="73"/>
      <c r="K324" s="73"/>
      <c r="L324" s="73"/>
      <c r="M324" s="73"/>
      <c r="N324" s="73"/>
      <c r="O324" s="73"/>
      <c r="P324" s="73"/>
      <c r="Q324" s="73"/>
    </row>
    <row r="327" spans="2:17" x14ac:dyDescent="0.2">
      <c r="B327" s="22" t="s">
        <v>62</v>
      </c>
    </row>
    <row r="328" spans="2:17" x14ac:dyDescent="0.2">
      <c r="B328" s="8" t="s">
        <v>178</v>
      </c>
    </row>
    <row r="330" spans="2:17" x14ac:dyDescent="0.2">
      <c r="E330" s="125">
        <f t="array" ref="E330:E338">$E$316:$E$324</f>
        <v>7</v>
      </c>
      <c r="F330" s="19"/>
      <c r="G330" s="19"/>
      <c r="H330" s="19"/>
      <c r="I330" s="84"/>
      <c r="J330" s="84">
        <f t="shared" ref="J330:Q330" ca="1" si="147">+J316-J$310</f>
        <v>91.876503893596578</v>
      </c>
      <c r="K330" s="84">
        <f t="shared" ca="1" si="147"/>
        <v>158.66441599515144</v>
      </c>
      <c r="L330" s="84">
        <f t="shared" ca="1" si="147"/>
        <v>237.73472826144803</v>
      </c>
      <c r="M330" s="84">
        <f t="shared" ca="1" si="147"/>
        <v>316.74364046680591</v>
      </c>
      <c r="N330" s="84">
        <f t="shared" ca="1" si="147"/>
        <v>395.00043558104392</v>
      </c>
      <c r="O330" s="84">
        <f t="shared" ca="1" si="147"/>
        <v>471.25548063708038</v>
      </c>
      <c r="P330" s="84">
        <f t="shared" ca="1" si="147"/>
        <v>552.96401674788751</v>
      </c>
      <c r="Q330" s="84">
        <f t="shared" ca="1" si="147"/>
        <v>640.82446070544813</v>
      </c>
    </row>
    <row r="331" spans="2:17" x14ac:dyDescent="0.2">
      <c r="E331" s="125">
        <v>7.5</v>
      </c>
      <c r="F331" s="16"/>
      <c r="G331" s="16"/>
      <c r="H331" s="16"/>
      <c r="I331" s="84"/>
      <c r="J331" s="84">
        <f t="shared" ref="I331:Q331" ca="1" si="148">+J317-J$310</f>
        <v>139.12650389359658</v>
      </c>
      <c r="K331" s="84">
        <f t="shared" ca="1" si="148"/>
        <v>208.74941599515137</v>
      </c>
      <c r="L331" s="84">
        <f t="shared" ca="1" si="148"/>
        <v>291.32567826144805</v>
      </c>
      <c r="M331" s="84">
        <f t="shared" ca="1" si="148"/>
        <v>373.55004746680595</v>
      </c>
      <c r="N331" s="84">
        <f t="shared" ca="1" si="148"/>
        <v>454.64716293104391</v>
      </c>
      <c r="O331" s="84">
        <f t="shared" ca="1" si="148"/>
        <v>533.28807708108036</v>
      </c>
      <c r="P331" s="84">
        <f t="shared" ca="1" si="148"/>
        <v>617.47791704964754</v>
      </c>
      <c r="Q331" s="84">
        <f t="shared" ca="1" si="148"/>
        <v>707.91891701927852</v>
      </c>
    </row>
    <row r="332" spans="2:17" x14ac:dyDescent="0.2">
      <c r="E332" s="125">
        <v>8</v>
      </c>
      <c r="F332" s="16"/>
      <c r="G332" s="16"/>
      <c r="H332" s="16"/>
      <c r="I332" s="84"/>
      <c r="J332" s="84">
        <f t="shared" ref="I332:Q332" ca="1" si="149">+J318-J$310</f>
        <v>186.37650389359658</v>
      </c>
      <c r="K332" s="84">
        <f t="shared" ca="1" si="149"/>
        <v>258.8344159951514</v>
      </c>
      <c r="L332" s="84">
        <f t="shared" ca="1" si="149"/>
        <v>344.91662826144807</v>
      </c>
      <c r="M332" s="84">
        <f t="shared" ca="1" si="149"/>
        <v>430.35645446680599</v>
      </c>
      <c r="N332" s="84">
        <f t="shared" ca="1" si="149"/>
        <v>514.2938902810439</v>
      </c>
      <c r="O332" s="84">
        <f t="shared" ca="1" si="149"/>
        <v>595.32067352508034</v>
      </c>
      <c r="P332" s="84">
        <f t="shared" ca="1" si="149"/>
        <v>681.99181735140758</v>
      </c>
      <c r="Q332" s="84">
        <f t="shared" ca="1" si="149"/>
        <v>775.01337333310892</v>
      </c>
    </row>
    <row r="333" spans="2:17" x14ac:dyDescent="0.2">
      <c r="E333" s="125">
        <v>8.5</v>
      </c>
      <c r="F333" s="16"/>
      <c r="G333" s="16"/>
      <c r="H333" s="16"/>
      <c r="I333" s="84"/>
      <c r="J333" s="84">
        <f t="shared" ref="I333:Q333" ca="1" si="150">+J319-J$310</f>
        <v>233.62650389359658</v>
      </c>
      <c r="K333" s="84">
        <f t="shared" ca="1" si="150"/>
        <v>308.91941599515144</v>
      </c>
      <c r="L333" s="84">
        <f t="shared" ca="1" si="150"/>
        <v>398.50757826144809</v>
      </c>
      <c r="M333" s="84">
        <f t="shared" ca="1" si="150"/>
        <v>487.16286146680602</v>
      </c>
      <c r="N333" s="84">
        <f t="shared" ca="1" si="150"/>
        <v>573.94061763104389</v>
      </c>
      <c r="O333" s="84">
        <f t="shared" ca="1" si="150"/>
        <v>657.35326996908043</v>
      </c>
      <c r="P333" s="84">
        <f t="shared" ca="1" si="150"/>
        <v>746.50571765316761</v>
      </c>
      <c r="Q333" s="84">
        <f t="shared" ca="1" si="150"/>
        <v>842.10782964693942</v>
      </c>
    </row>
    <row r="334" spans="2:17" x14ac:dyDescent="0.2">
      <c r="E334" s="126">
        <v>9</v>
      </c>
      <c r="F334" s="127"/>
      <c r="G334" s="127"/>
      <c r="H334" s="127"/>
      <c r="I334" s="84"/>
      <c r="J334" s="84">
        <f t="shared" ref="I334:Q334" ca="1" si="151">+J320-J$310</f>
        <v>280.87650389359658</v>
      </c>
      <c r="K334" s="84">
        <f t="shared" ca="1" si="151"/>
        <v>359.00441599515136</v>
      </c>
      <c r="L334" s="84">
        <f t="shared" ca="1" si="151"/>
        <v>452.09852826144811</v>
      </c>
      <c r="M334" s="84">
        <f t="shared" ca="1" si="151"/>
        <v>543.96926846680606</v>
      </c>
      <c r="N334" s="84">
        <f t="shared" ca="1" si="151"/>
        <v>633.58734498104388</v>
      </c>
      <c r="O334" s="84">
        <f t="shared" ca="1" si="151"/>
        <v>719.38586641308029</v>
      </c>
      <c r="P334" s="84">
        <f t="shared" ca="1" si="151"/>
        <v>811.01961795492764</v>
      </c>
      <c r="Q334" s="84">
        <f t="shared" ca="1" si="151"/>
        <v>909.2022859607697</v>
      </c>
    </row>
    <row r="335" spans="2:17" x14ac:dyDescent="0.2">
      <c r="E335" s="125">
        <v>9.5</v>
      </c>
      <c r="F335" s="16"/>
      <c r="G335" s="16"/>
      <c r="H335" s="16"/>
      <c r="I335" s="84"/>
      <c r="J335" s="84">
        <f t="shared" ref="I335:Q335" ca="1" si="152">+J321-J$310</f>
        <v>328.12650389359658</v>
      </c>
      <c r="K335" s="84">
        <f t="shared" ca="1" si="152"/>
        <v>409.0894159951514</v>
      </c>
      <c r="L335" s="84">
        <f t="shared" ca="1" si="152"/>
        <v>505.68947826144813</v>
      </c>
      <c r="M335" s="84">
        <f t="shared" ca="1" si="152"/>
        <v>600.77567546680609</v>
      </c>
      <c r="N335" s="84">
        <f t="shared" ca="1" si="152"/>
        <v>693.23407233104388</v>
      </c>
      <c r="O335" s="84">
        <f t="shared" ca="1" si="152"/>
        <v>781.41846285708039</v>
      </c>
      <c r="P335" s="84">
        <f t="shared" ca="1" si="152"/>
        <v>875.53351825668767</v>
      </c>
      <c r="Q335" s="84">
        <f t="shared" ca="1" si="152"/>
        <v>976.29674227460021</v>
      </c>
    </row>
    <row r="336" spans="2:17" x14ac:dyDescent="0.2">
      <c r="E336" s="125">
        <v>10</v>
      </c>
      <c r="F336" s="16"/>
      <c r="G336" s="16"/>
      <c r="H336" s="16"/>
      <c r="I336" s="84"/>
      <c r="J336" s="84">
        <f t="shared" ref="I336:Q336" ca="1" si="153">+J322-J$310</f>
        <v>375.37650389359658</v>
      </c>
      <c r="K336" s="84">
        <f t="shared" ca="1" si="153"/>
        <v>459.17441599515143</v>
      </c>
      <c r="L336" s="84">
        <f t="shared" ca="1" si="153"/>
        <v>559.28042826144815</v>
      </c>
      <c r="M336" s="84">
        <f t="shared" ca="1" si="153"/>
        <v>657.58208246680613</v>
      </c>
      <c r="N336" s="84">
        <f t="shared" ca="1" si="153"/>
        <v>752.88079968104387</v>
      </c>
      <c r="O336" s="84">
        <f t="shared" ca="1" si="153"/>
        <v>843.45105930108025</v>
      </c>
      <c r="P336" s="84">
        <f t="shared" ca="1" si="153"/>
        <v>940.0474185584477</v>
      </c>
      <c r="Q336" s="84">
        <f t="shared" ca="1" si="153"/>
        <v>1043.3911985884306</v>
      </c>
    </row>
    <row r="337" spans="2:17" x14ac:dyDescent="0.2">
      <c r="E337" s="125">
        <v>10.5</v>
      </c>
      <c r="F337" s="16"/>
      <c r="G337" s="16"/>
      <c r="H337" s="16"/>
      <c r="I337" s="84"/>
      <c r="J337" s="84">
        <f t="shared" ref="I337:Q337" ca="1" si="154">+J323-J$310</f>
        <v>422.62650389359658</v>
      </c>
      <c r="K337" s="84">
        <f t="shared" ca="1" si="154"/>
        <v>509.25941599515147</v>
      </c>
      <c r="L337" s="84">
        <f t="shared" ca="1" si="154"/>
        <v>612.87137826144817</v>
      </c>
      <c r="M337" s="84">
        <f t="shared" ca="1" si="154"/>
        <v>714.38848946680594</v>
      </c>
      <c r="N337" s="84">
        <f t="shared" ca="1" si="154"/>
        <v>812.52752703104386</v>
      </c>
      <c r="O337" s="84">
        <f t="shared" ca="1" si="154"/>
        <v>905.48365574508034</v>
      </c>
      <c r="P337" s="84">
        <f t="shared" ca="1" si="154"/>
        <v>1004.5613188602075</v>
      </c>
      <c r="Q337" s="84">
        <f t="shared" ca="1" si="154"/>
        <v>1110.4856549022611</v>
      </c>
    </row>
    <row r="338" spans="2:17" x14ac:dyDescent="0.2">
      <c r="E338" s="125">
        <v>11</v>
      </c>
      <c r="F338" s="17"/>
      <c r="G338" s="17"/>
      <c r="H338" s="17"/>
      <c r="I338" s="17"/>
      <c r="J338" s="73"/>
      <c r="K338" s="73"/>
      <c r="L338" s="73"/>
      <c r="M338" s="73"/>
      <c r="N338" s="73"/>
      <c r="O338" s="73"/>
      <c r="P338" s="73"/>
      <c r="Q338" s="73"/>
    </row>
    <row r="341" spans="2:17" x14ac:dyDescent="0.2">
      <c r="B341" s="22" t="s">
        <v>179</v>
      </c>
      <c r="H341" s="25" t="s">
        <v>180</v>
      </c>
    </row>
    <row r="342" spans="2:17" x14ac:dyDescent="0.2">
      <c r="B342" s="8" t="s">
        <v>178</v>
      </c>
      <c r="H342" s="128">
        <f>+G16+G15</f>
        <v>235.9375</v>
      </c>
    </row>
    <row r="344" spans="2:17" x14ac:dyDescent="0.2">
      <c r="E344" s="125">
        <f t="array" ref="E344:E352">$E$316:$E$324</f>
        <v>7</v>
      </c>
      <c r="F344" s="19"/>
      <c r="G344" s="19"/>
      <c r="H344" s="19"/>
      <c r="I344" s="138"/>
      <c r="J344" s="138">
        <f t="shared" ref="J344:Q344" ca="1" si="155">+J330/$H$342</f>
        <v>0.38941034762848881</v>
      </c>
      <c r="K344" s="138">
        <f t="shared" ca="1" si="155"/>
        <v>0.67248494196620479</v>
      </c>
      <c r="L344" s="138">
        <f t="shared" ca="1" si="155"/>
        <v>1.0076173913067996</v>
      </c>
      <c r="M344" s="138">
        <f t="shared" ca="1" si="155"/>
        <v>1.3424896019785151</v>
      </c>
      <c r="N344" s="138">
        <f t="shared" ca="1" si="155"/>
        <v>1.6741740316017755</v>
      </c>
      <c r="O344" s="138">
        <f t="shared" ca="1" si="155"/>
        <v>1.997374222567758</v>
      </c>
      <c r="P344" s="138">
        <f t="shared" ca="1" si="155"/>
        <v>2.3436885478056158</v>
      </c>
      <c r="Q344" s="138">
        <f t="shared" ca="1" si="155"/>
        <v>2.7160771844469327</v>
      </c>
    </row>
    <row r="345" spans="2:17" x14ac:dyDescent="0.2">
      <c r="E345" s="125">
        <v>7.5</v>
      </c>
      <c r="F345" s="16"/>
      <c r="G345" s="16"/>
      <c r="H345" s="16"/>
      <c r="I345" s="138"/>
      <c r="J345" s="138">
        <f t="shared" ref="I345:Q345" ca="1" si="156">+J331/$H$342</f>
        <v>0.58967524829074047</v>
      </c>
      <c r="K345" s="138">
        <f t="shared" ca="1" si="156"/>
        <v>0.88476573666819125</v>
      </c>
      <c r="L345" s="138">
        <f t="shared" ca="1" si="156"/>
        <v>1.2347578416379255</v>
      </c>
      <c r="M345" s="138">
        <f t="shared" ca="1" si="156"/>
        <v>1.5832584793295086</v>
      </c>
      <c r="N345" s="138">
        <f t="shared" ca="1" si="156"/>
        <v>1.9269813528203186</v>
      </c>
      <c r="O345" s="138">
        <f t="shared" ca="1" si="156"/>
        <v>2.2602938366350425</v>
      </c>
      <c r="P345" s="138">
        <f t="shared" ca="1" si="156"/>
        <v>2.6171249464355921</v>
      </c>
      <c r="Q345" s="138">
        <f t="shared" ca="1" si="156"/>
        <v>3.0004510390221077</v>
      </c>
    </row>
    <row r="346" spans="2:17" x14ac:dyDescent="0.2">
      <c r="E346" s="125">
        <v>8</v>
      </c>
      <c r="F346" s="16"/>
      <c r="G346" s="16"/>
      <c r="H346" s="16"/>
      <c r="I346" s="138"/>
      <c r="J346" s="138">
        <f t="shared" ref="I346:Q346" ca="1" si="157">+J332/$H$342</f>
        <v>0.78994014895299214</v>
      </c>
      <c r="K346" s="138">
        <f t="shared" ca="1" si="157"/>
        <v>1.097046531370178</v>
      </c>
      <c r="L346" s="138">
        <f t="shared" ca="1" si="157"/>
        <v>1.4618982919690515</v>
      </c>
      <c r="M346" s="138">
        <f t="shared" ca="1" si="157"/>
        <v>1.8240273566805021</v>
      </c>
      <c r="N346" s="138">
        <f t="shared" ca="1" si="157"/>
        <v>2.1797886740388615</v>
      </c>
      <c r="O346" s="138">
        <f t="shared" ca="1" si="157"/>
        <v>2.5232134507023272</v>
      </c>
      <c r="P346" s="138">
        <f t="shared" ca="1" si="157"/>
        <v>2.8905613450655685</v>
      </c>
      <c r="Q346" s="138">
        <f t="shared" ca="1" si="157"/>
        <v>3.2848248935972828</v>
      </c>
    </row>
    <row r="347" spans="2:17" x14ac:dyDescent="0.2">
      <c r="E347" s="125">
        <v>8.5</v>
      </c>
      <c r="F347" s="16"/>
      <c r="G347" s="16"/>
      <c r="H347" s="16"/>
      <c r="I347" s="138"/>
      <c r="J347" s="138">
        <f t="shared" ref="I347:Q347" ca="1" si="158">+J333/$H$342</f>
        <v>0.9902050496152438</v>
      </c>
      <c r="K347" s="138">
        <f t="shared" ca="1" si="158"/>
        <v>1.309327326072165</v>
      </c>
      <c r="L347" s="138">
        <f t="shared" ca="1" si="158"/>
        <v>1.6890387423001774</v>
      </c>
      <c r="M347" s="138">
        <f t="shared" ca="1" si="158"/>
        <v>2.0647962340314958</v>
      </c>
      <c r="N347" s="138">
        <f t="shared" ca="1" si="158"/>
        <v>2.4325959952574046</v>
      </c>
      <c r="O347" s="138">
        <f t="shared" ca="1" si="158"/>
        <v>2.7861330647696123</v>
      </c>
      <c r="P347" s="138">
        <f t="shared" ca="1" si="158"/>
        <v>3.1639977436955449</v>
      </c>
      <c r="Q347" s="138">
        <f t="shared" ca="1" si="158"/>
        <v>3.5691987481724583</v>
      </c>
    </row>
    <row r="348" spans="2:17" x14ac:dyDescent="0.2">
      <c r="E348" s="126">
        <v>9</v>
      </c>
      <c r="F348" s="127"/>
      <c r="G348" s="127"/>
      <c r="H348" s="127"/>
      <c r="I348" s="138"/>
      <c r="J348" s="138">
        <f t="shared" ref="I348:Q348" ca="1" si="159">+J334/$H$342</f>
        <v>1.1904699502774954</v>
      </c>
      <c r="K348" s="138">
        <f t="shared" ca="1" si="159"/>
        <v>1.5216081207741514</v>
      </c>
      <c r="L348" s="138">
        <f t="shared" ca="1" si="159"/>
        <v>1.9161791926313032</v>
      </c>
      <c r="M348" s="138">
        <f t="shared" ca="1" si="159"/>
        <v>2.3055651113824891</v>
      </c>
      <c r="N348" s="138">
        <f t="shared" ca="1" si="159"/>
        <v>2.6854033164759477</v>
      </c>
      <c r="O348" s="138">
        <f t="shared" ca="1" si="159"/>
        <v>3.0490526788368966</v>
      </c>
      <c r="P348" s="138">
        <f t="shared" ca="1" si="159"/>
        <v>3.4374341423255212</v>
      </c>
      <c r="Q348" s="138">
        <f t="shared" ca="1" si="159"/>
        <v>3.8535726027476334</v>
      </c>
    </row>
    <row r="349" spans="2:17" x14ac:dyDescent="0.2">
      <c r="E349" s="125">
        <v>9.5</v>
      </c>
      <c r="F349" s="16"/>
      <c r="G349" s="16"/>
      <c r="H349" s="16"/>
      <c r="I349" s="138"/>
      <c r="J349" s="138">
        <f t="shared" ref="I349:Q349" ca="1" si="160">+J335/$H$342</f>
        <v>1.390734850939747</v>
      </c>
      <c r="K349" s="138">
        <f t="shared" ca="1" si="160"/>
        <v>1.7338889154761383</v>
      </c>
      <c r="L349" s="138">
        <f t="shared" ca="1" si="160"/>
        <v>2.1433196429624291</v>
      </c>
      <c r="M349" s="138">
        <f t="shared" ca="1" si="160"/>
        <v>2.5463339887334828</v>
      </c>
      <c r="N349" s="138">
        <f t="shared" ca="1" si="160"/>
        <v>2.9382106376944908</v>
      </c>
      <c r="O349" s="138">
        <f t="shared" ca="1" si="160"/>
        <v>3.3119722929041817</v>
      </c>
      <c r="P349" s="138">
        <f t="shared" ca="1" si="160"/>
        <v>3.7108705409554976</v>
      </c>
      <c r="Q349" s="138">
        <f t="shared" ca="1" si="160"/>
        <v>4.1379464573228084</v>
      </c>
    </row>
    <row r="350" spans="2:17" x14ac:dyDescent="0.2">
      <c r="E350" s="125">
        <v>10</v>
      </c>
      <c r="F350" s="16"/>
      <c r="G350" s="16"/>
      <c r="H350" s="16"/>
      <c r="I350" s="138"/>
      <c r="J350" s="138">
        <f t="shared" ref="I350:Q350" ca="1" si="161">+J336/$H$342</f>
        <v>1.5909997516019987</v>
      </c>
      <c r="K350" s="138">
        <f t="shared" ca="1" si="161"/>
        <v>1.9461697101781252</v>
      </c>
      <c r="L350" s="138">
        <f t="shared" ca="1" si="161"/>
        <v>2.3704600932935551</v>
      </c>
      <c r="M350" s="138">
        <f t="shared" ca="1" si="161"/>
        <v>2.7871028660844761</v>
      </c>
      <c r="N350" s="138">
        <f t="shared" ca="1" si="161"/>
        <v>3.1910179589130334</v>
      </c>
      <c r="O350" s="138">
        <f t="shared" ca="1" si="161"/>
        <v>3.574891906971466</v>
      </c>
      <c r="P350" s="138">
        <f t="shared" ca="1" si="161"/>
        <v>3.9843069395854736</v>
      </c>
      <c r="Q350" s="138">
        <f t="shared" ca="1" si="161"/>
        <v>4.4223203118979839</v>
      </c>
    </row>
    <row r="351" spans="2:17" x14ac:dyDescent="0.2">
      <c r="E351" s="125">
        <v>10.5</v>
      </c>
      <c r="F351" s="16"/>
      <c r="G351" s="16"/>
      <c r="H351" s="16"/>
      <c r="I351" s="138"/>
      <c r="J351" s="138">
        <f t="shared" ref="I351:Q351" ca="1" si="162">+J337/$H$342</f>
        <v>1.7912646522642504</v>
      </c>
      <c r="K351" s="138">
        <f t="shared" ca="1" si="162"/>
        <v>2.1584505048801121</v>
      </c>
      <c r="L351" s="138">
        <f t="shared" ca="1" si="162"/>
        <v>2.5976005436246812</v>
      </c>
      <c r="M351" s="138">
        <f t="shared" ca="1" si="162"/>
        <v>3.0278717434354689</v>
      </c>
      <c r="N351" s="138">
        <f t="shared" ca="1" si="162"/>
        <v>3.4438252801315765</v>
      </c>
      <c r="O351" s="138">
        <f t="shared" ca="1" si="162"/>
        <v>3.8378115210387511</v>
      </c>
      <c r="P351" s="138">
        <f t="shared" ca="1" si="162"/>
        <v>4.257743338215449</v>
      </c>
      <c r="Q351" s="138">
        <f t="shared" ca="1" si="162"/>
        <v>4.7066941664731594</v>
      </c>
    </row>
    <row r="352" spans="2:17" x14ac:dyDescent="0.2">
      <c r="E352" s="125">
        <v>11</v>
      </c>
      <c r="F352" s="17"/>
      <c r="G352" s="17"/>
      <c r="H352" s="17"/>
      <c r="I352" s="17"/>
      <c r="J352" s="129"/>
      <c r="K352" s="129"/>
      <c r="L352" s="129"/>
      <c r="M352" s="129"/>
      <c r="N352" s="129"/>
      <c r="O352" s="129"/>
      <c r="P352" s="129"/>
      <c r="Q352" s="129"/>
    </row>
    <row r="355" spans="2:17" x14ac:dyDescent="0.2">
      <c r="B355" s="22" t="s">
        <v>5</v>
      </c>
    </row>
    <row r="356" spans="2:17" x14ac:dyDescent="0.2">
      <c r="B356" s="8" t="s">
        <v>178</v>
      </c>
    </row>
    <row r="358" spans="2:17" x14ac:dyDescent="0.2">
      <c r="E358" s="125">
        <f t="array" ref="E358:E366">$E$316:$E$324</f>
        <v>7</v>
      </c>
      <c r="F358" s="19"/>
      <c r="G358" s="19"/>
      <c r="H358" s="19"/>
      <c r="I358" s="19"/>
      <c r="J358" s="61">
        <f ca="1">+((J344)^(0.125))-1</f>
        <v>-0.11120636466075529</v>
      </c>
      <c r="K358" s="61">
        <f t="shared" ref="K358:Q358" ca="1" si="163">+((K344)^(0.125))-1</f>
        <v>-4.8387100315403386E-2</v>
      </c>
      <c r="L358" s="61">
        <f t="shared" ca="1" si="163"/>
        <v>9.4901571535954687E-4</v>
      </c>
      <c r="M358" s="61">
        <f t="shared" ca="1" si="163"/>
        <v>3.7501817847070518E-2</v>
      </c>
      <c r="N358" s="61">
        <f t="shared" ca="1" si="163"/>
        <v>6.6534909350621785E-2</v>
      </c>
      <c r="O358" s="61">
        <f t="shared" ca="1" si="163"/>
        <v>9.0328665373540229E-2</v>
      </c>
      <c r="P358" s="61">
        <f t="shared" ca="1" si="163"/>
        <v>0.11233982687354649</v>
      </c>
      <c r="Q358" s="61">
        <f t="shared" ca="1" si="163"/>
        <v>0.13303353323901379</v>
      </c>
    </row>
    <row r="359" spans="2:17" x14ac:dyDescent="0.2">
      <c r="E359" s="125">
        <v>7.5</v>
      </c>
      <c r="F359" s="16"/>
      <c r="G359" s="16"/>
      <c r="H359" s="16"/>
      <c r="I359" s="16"/>
      <c r="J359" s="61">
        <f t="shared" ref="J359:Q359" ca="1" si="164">+((J345)^(0.125))-1</f>
        <v>-6.3890586930445803E-2</v>
      </c>
      <c r="K359" s="61">
        <f t="shared" ca="1" si="164"/>
        <v>-1.5187534870403807E-2</v>
      </c>
      <c r="L359" s="61">
        <f t="shared" ca="1" si="164"/>
        <v>2.67098395069576E-2</v>
      </c>
      <c r="M359" s="61">
        <f t="shared" ca="1" si="164"/>
        <v>5.9117094688201366E-2</v>
      </c>
      <c r="N359" s="61">
        <f t="shared" ca="1" si="164"/>
        <v>8.5449665162011357E-2</v>
      </c>
      <c r="O359" s="61">
        <f t="shared" ca="1" si="164"/>
        <v>0.10731354558237904</v>
      </c>
      <c r="P359" s="61">
        <f t="shared" ca="1" si="164"/>
        <v>0.1277895266534117</v>
      </c>
      <c r="Q359" s="61">
        <f t="shared" ca="1" si="164"/>
        <v>0.14722424873770623</v>
      </c>
    </row>
    <row r="360" spans="2:17" x14ac:dyDescent="0.2">
      <c r="E360" s="125">
        <v>8</v>
      </c>
      <c r="F360" s="16"/>
      <c r="G360" s="16"/>
      <c r="H360" s="16"/>
      <c r="I360" s="16"/>
      <c r="J360" s="61">
        <f t="shared" ref="J360:Q360" ca="1" si="165">+((J346)^(0.125))-1</f>
        <v>-2.9044617842957421E-2</v>
      </c>
      <c r="K360" s="61">
        <f t="shared" ca="1" si="165"/>
        <v>1.1644980632212087E-2</v>
      </c>
      <c r="L360" s="61">
        <f t="shared" ca="1" si="165"/>
        <v>4.8611568995067911E-2</v>
      </c>
      <c r="M360" s="61">
        <f t="shared" ca="1" si="165"/>
        <v>7.8025213343815292E-2</v>
      </c>
      <c r="N360" s="61">
        <f t="shared" ca="1" si="165"/>
        <v>0.10230505484121255</v>
      </c>
      <c r="O360" s="61">
        <f t="shared" ca="1" si="165"/>
        <v>0.12264965928347404</v>
      </c>
      <c r="P360" s="61">
        <f t="shared" ca="1" si="165"/>
        <v>0.14188606697889705</v>
      </c>
      <c r="Q360" s="61">
        <f t="shared" ca="1" si="165"/>
        <v>0.1602832637655216</v>
      </c>
    </row>
    <row r="361" spans="2:17" x14ac:dyDescent="0.2">
      <c r="E361" s="125">
        <v>8.5</v>
      </c>
      <c r="F361" s="16"/>
      <c r="G361" s="16"/>
      <c r="H361" s="16"/>
      <c r="I361" s="16"/>
      <c r="J361" s="61">
        <f t="shared" ref="J361:Q361" ca="1" si="166">+((J347)^(0.125))-1</f>
        <v>-1.2296479222374535E-3</v>
      </c>
      <c r="K361" s="61">
        <f t="shared" ca="1" si="166"/>
        <v>3.4263096649506997E-2</v>
      </c>
      <c r="L361" s="61">
        <f t="shared" ca="1" si="166"/>
        <v>6.7714034735996798E-2</v>
      </c>
      <c r="M361" s="61">
        <f t="shared" ca="1" si="166"/>
        <v>9.486267362742673E-2</v>
      </c>
      <c r="N361" s="61">
        <f t="shared" ca="1" si="166"/>
        <v>0.11752886230718262</v>
      </c>
      <c r="O361" s="61">
        <f t="shared" ca="1" si="166"/>
        <v>0.13664601008887289</v>
      </c>
      <c r="P361" s="61">
        <f t="shared" ca="1" si="166"/>
        <v>0.154860482261169</v>
      </c>
      <c r="Q361" s="61">
        <f t="shared" ca="1" si="166"/>
        <v>0.17238793774792227</v>
      </c>
    </row>
    <row r="362" spans="2:17" x14ac:dyDescent="0.2">
      <c r="E362" s="126">
        <v>9</v>
      </c>
      <c r="F362" s="127"/>
      <c r="G362" s="127"/>
      <c r="H362" s="127"/>
      <c r="I362" s="127"/>
      <c r="J362" s="139">
        <f t="shared" ref="J362:Q362" ca="1" si="167">+((J348)^(0.125))-1</f>
        <v>2.2032731493695445E-2</v>
      </c>
      <c r="K362" s="139">
        <f t="shared" ca="1" si="167"/>
        <v>5.3871966386423553E-2</v>
      </c>
      <c r="L362" s="139">
        <f t="shared" ca="1" si="167"/>
        <v>8.4687199395393042E-2</v>
      </c>
      <c r="M362" s="139">
        <f t="shared" ca="1" si="167"/>
        <v>0.11006184140908482</v>
      </c>
      <c r="N362" s="139">
        <f t="shared" ca="1" si="167"/>
        <v>0.13142609268203298</v>
      </c>
      <c r="O362" s="139">
        <f t="shared" ca="1" si="167"/>
        <v>0.14953081038993243</v>
      </c>
      <c r="P362" s="139">
        <f t="shared" ca="1" si="167"/>
        <v>0.16688833478852994</v>
      </c>
      <c r="Q362" s="139">
        <f t="shared" ca="1" si="167"/>
        <v>0.18367627577740664</v>
      </c>
    </row>
    <row r="363" spans="2:17" x14ac:dyDescent="0.2">
      <c r="E363" s="125">
        <v>9.5</v>
      </c>
      <c r="F363" s="16"/>
      <c r="G363" s="16"/>
      <c r="H363" s="16"/>
      <c r="I363" s="16"/>
      <c r="J363" s="61">
        <f t="shared" ref="J363:Q363" ca="1" si="168">+((J349)^(0.125))-1</f>
        <v>4.2090753104343959E-2</v>
      </c>
      <c r="K363" s="61">
        <f t="shared" ca="1" si="168"/>
        <v>7.1217499609164348E-2</v>
      </c>
      <c r="L363" s="61">
        <f t="shared" ca="1" si="168"/>
        <v>9.9982733395105106E-2</v>
      </c>
      <c r="M363" s="61">
        <f t="shared" ca="1" si="168"/>
        <v>0.12393040709651904</v>
      </c>
      <c r="N363" s="61">
        <f t="shared" ca="1" si="168"/>
        <v>0.14422219005897219</v>
      </c>
      <c r="O363" s="61">
        <f t="shared" ca="1" si="168"/>
        <v>0.16147759560591513</v>
      </c>
      <c r="P363" s="61">
        <f t="shared" ca="1" si="168"/>
        <v>0.17810629196797345</v>
      </c>
      <c r="Q363" s="61">
        <f t="shared" ca="1" si="168"/>
        <v>0.19425786023176528</v>
      </c>
    </row>
    <row r="364" spans="2:17" x14ac:dyDescent="0.2">
      <c r="E364" s="125">
        <v>10</v>
      </c>
      <c r="F364" s="16"/>
      <c r="G364" s="16"/>
      <c r="H364" s="16"/>
      <c r="I364" s="16"/>
      <c r="J364" s="61">
        <f t="shared" ref="J364:Q364" ca="1" si="169">+((J350)^(0.125))-1</f>
        <v>5.9763027483999975E-2</v>
      </c>
      <c r="K364" s="61">
        <f t="shared" ca="1" si="169"/>
        <v>8.6794892208664542E-2</v>
      </c>
      <c r="L364" s="61">
        <f t="shared" ca="1" si="169"/>
        <v>0.11392020375961587</v>
      </c>
      <c r="M364" s="61">
        <f t="shared" ca="1" si="169"/>
        <v>0.13669545823700391</v>
      </c>
      <c r="N364" s="61">
        <f t="shared" ca="1" si="169"/>
        <v>0.1560886994199624</v>
      </c>
      <c r="O364" s="61">
        <f t="shared" ca="1" si="169"/>
        <v>0.17262153140454473</v>
      </c>
      <c r="P364" s="61">
        <f t="shared" ca="1" si="169"/>
        <v>0.18862291467865822</v>
      </c>
      <c r="Q364" s="61">
        <f t="shared" ca="1" si="169"/>
        <v>0.20422121629502854</v>
      </c>
    </row>
    <row r="365" spans="2:17" x14ac:dyDescent="0.2">
      <c r="E365" s="125">
        <v>10.5</v>
      </c>
      <c r="F365" s="16"/>
      <c r="G365" s="16"/>
      <c r="H365" s="16"/>
      <c r="I365" s="16"/>
      <c r="J365" s="61">
        <f t="shared" ref="J365:Q365" ca="1" si="170">+((J351)^(0.125))-1</f>
        <v>7.5585575861935039E-2</v>
      </c>
      <c r="K365" s="61">
        <f t="shared" ca="1" si="170"/>
        <v>0.10095042081482752</v>
      </c>
      <c r="L365" s="61">
        <f t="shared" ca="1" si="170"/>
        <v>0.12673437918108243</v>
      </c>
      <c r="M365" s="61">
        <f t="shared" ca="1" si="170"/>
        <v>0.14852957894241237</v>
      </c>
      <c r="N365" s="61">
        <f t="shared" ca="1" si="170"/>
        <v>0.16715931033697928</v>
      </c>
      <c r="O365" s="61">
        <f t="shared" ca="1" si="170"/>
        <v>0.18307003682200351</v>
      </c>
      <c r="P365" s="61">
        <f t="shared" ca="1" si="170"/>
        <v>0.19852593102226468</v>
      </c>
      <c r="Q365" s="61">
        <f t="shared" ca="1" si="170"/>
        <v>0.21363892588816968</v>
      </c>
    </row>
    <row r="366" spans="2:17" x14ac:dyDescent="0.2">
      <c r="E366" s="125">
        <v>11</v>
      </c>
      <c r="F366" s="17"/>
      <c r="G366" s="17"/>
      <c r="H366" s="17"/>
      <c r="I366" s="17"/>
      <c r="J366" s="76"/>
      <c r="K366" s="76"/>
      <c r="L366" s="76"/>
      <c r="M366" s="76"/>
      <c r="N366" s="76"/>
      <c r="O366" s="76"/>
      <c r="P366" s="76"/>
      <c r="Q366" s="76"/>
    </row>
  </sheetData>
  <pageMargins left="0.7" right="0.7" top="0.75" bottom="0.75" header="0.3" footer="0.3"/>
  <pageSetup orientation="portrait" r:id="rId1"/>
  <ignoredErrors>
    <ignoredError sqref="Q2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2EA729E40B64C9E3BDE9867A86F8E" ma:contentTypeVersion="7" ma:contentTypeDescription="Create a new document." ma:contentTypeScope="" ma:versionID="a3df3378ab4ea891e59dec3f25070614">
  <xsd:schema xmlns:xsd="http://www.w3.org/2001/XMLSchema" xmlns:xs="http://www.w3.org/2001/XMLSchema" xmlns:p="http://schemas.microsoft.com/office/2006/metadata/properties" xmlns:ns3="8c43cc51-5868-4a98-ab1b-1dfe0ccc5bca" xmlns:ns4="f3f9a561-298b-4309-aa23-401c63cea76b" targetNamespace="http://schemas.microsoft.com/office/2006/metadata/properties" ma:root="true" ma:fieldsID="5a09ec91cd0fcc0dab17d603ebdc27aa" ns3:_="" ns4:_="">
    <xsd:import namespace="8c43cc51-5868-4a98-ab1b-1dfe0ccc5bca"/>
    <xsd:import namespace="f3f9a561-298b-4309-aa23-401c63cea7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cc51-5868-4a98-ab1b-1dfe0ccc5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a561-298b-4309-aa23-401c63cea7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4D6F7-D65F-43AB-9E11-77731A1FD5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cc51-5868-4a98-ab1b-1dfe0ccc5bca"/>
    <ds:schemaRef ds:uri="f3f9a561-298b-4309-aa23-401c63cea7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A9CF2-EBBC-40F8-BE95-6F77C6E41CE5}">
  <ds:schemaRefs>
    <ds:schemaRef ds:uri="http://purl.org/dc/elements/1.1/"/>
    <ds:schemaRef ds:uri="http://schemas.openxmlformats.org/package/2006/metadata/core-properties"/>
    <ds:schemaRef ds:uri="8c43cc51-5868-4a98-ab1b-1dfe0ccc5bca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f3f9a561-298b-4309-aa23-401c63cea76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98638D-1280-46CB-9605-057BCE39B4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LBO</vt:lpstr>
      <vt:lpstr>circ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ModelPro</dc:creator>
  <cp:lastModifiedBy>Connor Umbright</cp:lastModifiedBy>
  <cp:lastPrinted>2005-07-21T03:36:40Z</cp:lastPrinted>
  <dcterms:created xsi:type="dcterms:W3CDTF">2004-01-05T18:38:23Z</dcterms:created>
  <dcterms:modified xsi:type="dcterms:W3CDTF">2023-02-03T01:34:06Z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0x01010098F2EA729E40B64C9E3BDE9867A86F8E</vt:lpwstr>
  </property>
</Properties>
</file>