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Umbright\Downloads\"/>
    </mc:Choice>
  </mc:AlternateContent>
  <xr:revisionPtr revIDLastSave="0" documentId="8_{161A6F39-A0E1-41CD-880D-080211F2E284}" xr6:coauthVersionLast="47" xr6:coauthVersionMax="47" xr10:uidLastSave="{00000000-0000-0000-0000-000000000000}"/>
  <bookViews>
    <workbookView xWindow="-120" yWindow="-120" windowWidth="29040" windowHeight="15720" activeTab="8" xr2:uid="{B9CAF2E1-881B-49AD-9437-E29812C07799}"/>
  </bookViews>
  <sheets>
    <sheet name="Rev.Costs" sheetId="1" r:id="rId1"/>
    <sheet name="Transaction" sheetId="2" r:id="rId2"/>
    <sheet name=" BS PF" sheetId="3" r:id="rId3"/>
    <sheet name="IS" sheetId="5" r:id="rId4"/>
    <sheet name="CF" sheetId="7" r:id="rId5"/>
    <sheet name="BS proj" sheetId="8" r:id="rId6"/>
    <sheet name="Depreciation" sheetId="4" r:id="rId7"/>
    <sheet name="Debt Schedule" sheetId="6" r:id="rId8"/>
    <sheet name="Return Calculations" sheetId="9" r:id="rId9"/>
  </sheets>
  <definedNames>
    <definedName name="solver_adj" localSheetId="7" hidden="1">'Debt Schedule'!$L$7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'Debt Schedule'!$L$9</definedName>
    <definedName name="solver_lhs2" localSheetId="7" hidden="1">'Debt Schedule'!$L$9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'Debt Schedule'!$L$8</definedName>
    <definedName name="solver_pre" localSheetId="7" hidden="1">0.000001</definedName>
    <definedName name="solver_rbv" localSheetId="7" hidden="1">1</definedName>
    <definedName name="solver_rel1" localSheetId="7" hidden="1">2</definedName>
    <definedName name="solver_rel2" localSheetId="7" hidden="1">2</definedName>
    <definedName name="solver_rhs1" localSheetId="7" hidden="1">'Debt Schedule'!$G$21</definedName>
    <definedName name="solver_rhs2" localSheetId="7" hidden="1">'Debt Schedule'!$G$21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val" localSheetId="7" hidden="1">0</definedName>
    <definedName name="solver_ver" localSheetId="7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9" l="1"/>
  <c r="H24" i="2"/>
  <c r="D40" i="9"/>
  <c r="D34" i="9"/>
  <c r="D20" i="2"/>
  <c r="F18" i="8"/>
  <c r="E18" i="8"/>
  <c r="D18" i="8"/>
  <c r="H16" i="6"/>
  <c r="H17" i="3"/>
  <c r="H17" i="8"/>
  <c r="H13" i="3"/>
  <c r="G13" i="3"/>
  <c r="F13" i="3"/>
  <c r="E13" i="3"/>
  <c r="H13" i="8"/>
  <c r="G13" i="8"/>
  <c r="F13" i="8"/>
  <c r="E13" i="8"/>
  <c r="D13" i="3"/>
  <c r="D13" i="8"/>
  <c r="E11" i="3"/>
  <c r="F11" i="3" s="1"/>
  <c r="G11" i="3" s="1"/>
  <c r="H11" i="3" s="1"/>
  <c r="E11" i="8"/>
  <c r="F11" i="8" s="1"/>
  <c r="G11" i="8" s="1"/>
  <c r="H11" i="8" s="1"/>
  <c r="D11" i="3"/>
  <c r="D11" i="8"/>
  <c r="E9" i="3"/>
  <c r="F9" i="3" s="1"/>
  <c r="G9" i="3" s="1"/>
  <c r="H9" i="3" s="1"/>
  <c r="E9" i="8"/>
  <c r="F9" i="8" s="1"/>
  <c r="G9" i="8" s="1"/>
  <c r="H9" i="8" s="1"/>
  <c r="D9" i="3"/>
  <c r="D9" i="8"/>
  <c r="K11" i="9"/>
  <c r="J11" i="9"/>
  <c r="I11" i="9"/>
  <c r="H11" i="9"/>
  <c r="G11" i="9"/>
  <c r="K10" i="9"/>
  <c r="J10" i="9"/>
  <c r="I10" i="9"/>
  <c r="H10" i="9"/>
  <c r="G10" i="9"/>
  <c r="K9" i="9"/>
  <c r="J9" i="9"/>
  <c r="I9" i="9"/>
  <c r="H9" i="9"/>
  <c r="G9" i="9"/>
  <c r="K8" i="9"/>
  <c r="J8" i="9"/>
  <c r="I8" i="9"/>
  <c r="H8" i="9"/>
  <c r="G8" i="9"/>
  <c r="K5" i="9"/>
  <c r="J5" i="9"/>
  <c r="I5" i="9"/>
  <c r="H5" i="9"/>
  <c r="G5" i="9"/>
  <c r="H3" i="9"/>
  <c r="I3" i="9" s="1"/>
  <c r="J3" i="9" s="1"/>
  <c r="K3" i="9" s="1"/>
  <c r="H23" i="5"/>
  <c r="G23" i="5"/>
  <c r="F23" i="5"/>
  <c r="E23" i="5"/>
  <c r="D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10" i="5"/>
  <c r="C9" i="5"/>
  <c r="C8" i="5"/>
  <c r="C7" i="5"/>
  <c r="C6" i="5"/>
  <c r="C5" i="5"/>
  <c r="M28" i="6"/>
  <c r="H14" i="5"/>
  <c r="H13" i="5"/>
  <c r="H13" i="7"/>
  <c r="H12" i="7"/>
  <c r="H9" i="7"/>
  <c r="H8" i="7"/>
  <c r="H7" i="7"/>
  <c r="H5" i="7"/>
  <c r="M9" i="6"/>
  <c r="L28" i="6" l="1"/>
  <c r="G13" i="5" s="1"/>
  <c r="G14" i="5"/>
  <c r="G5" i="7"/>
  <c r="G7" i="7"/>
  <c r="G8" i="7"/>
  <c r="G9" i="7"/>
  <c r="G12" i="7"/>
  <c r="G13" i="7"/>
  <c r="F5" i="7"/>
  <c r="F7" i="7"/>
  <c r="F8" i="7"/>
  <c r="F9" i="7"/>
  <c r="F12" i="7"/>
  <c r="F13" i="7"/>
  <c r="K28" i="6"/>
  <c r="F13" i="5" s="1"/>
  <c r="F14" i="5"/>
  <c r="E13" i="7"/>
  <c r="E12" i="7"/>
  <c r="E9" i="7"/>
  <c r="E8" i="7"/>
  <c r="E7" i="7"/>
  <c r="E5" i="7"/>
  <c r="E14" i="5"/>
  <c r="E13" i="5"/>
  <c r="H9" i="5"/>
  <c r="H10" i="5" s="1"/>
  <c r="J28" i="6"/>
  <c r="D14" i="5"/>
  <c r="D13" i="7"/>
  <c r="D12" i="7"/>
  <c r="D8" i="7"/>
  <c r="H16" i="8"/>
  <c r="G16" i="8"/>
  <c r="F16" i="8"/>
  <c r="E16" i="8"/>
  <c r="H15" i="8"/>
  <c r="G15" i="8"/>
  <c r="F15" i="8"/>
  <c r="E15" i="8"/>
  <c r="H8" i="8"/>
  <c r="G8" i="8"/>
  <c r="F8" i="8"/>
  <c r="E8" i="8"/>
  <c r="H7" i="8"/>
  <c r="G7" i="8"/>
  <c r="F7" i="8"/>
  <c r="E7" i="8"/>
  <c r="D16" i="8"/>
  <c r="D15" i="8"/>
  <c r="D8" i="8"/>
  <c r="D7" i="8"/>
  <c r="H6" i="8"/>
  <c r="G6" i="8"/>
  <c r="F6" i="8"/>
  <c r="E6" i="8"/>
  <c r="D6" i="8"/>
  <c r="H31" i="8"/>
  <c r="G31" i="8"/>
  <c r="F31" i="8"/>
  <c r="E31" i="8"/>
  <c r="D31" i="8"/>
  <c r="H30" i="8"/>
  <c r="G30" i="8"/>
  <c r="F30" i="8"/>
  <c r="E30" i="8"/>
  <c r="D30" i="8"/>
  <c r="H29" i="8"/>
  <c r="G29" i="8"/>
  <c r="F29" i="8"/>
  <c r="E29" i="8"/>
  <c r="D29" i="8"/>
  <c r="H28" i="8"/>
  <c r="G28" i="8"/>
  <c r="F28" i="8"/>
  <c r="E28" i="8"/>
  <c r="D28" i="8"/>
  <c r="H27" i="8"/>
  <c r="G27" i="8"/>
  <c r="F27" i="8"/>
  <c r="E27" i="8"/>
  <c r="D27" i="8"/>
  <c r="C30" i="8"/>
  <c r="C28" i="8"/>
  <c r="C27" i="8"/>
  <c r="C29" i="8"/>
  <c r="C31" i="8"/>
  <c r="H25" i="8"/>
  <c r="G25" i="8"/>
  <c r="F25" i="8"/>
  <c r="E25" i="8"/>
  <c r="D25" i="8"/>
  <c r="H24" i="8"/>
  <c r="G24" i="8"/>
  <c r="F24" i="8"/>
  <c r="E24" i="8"/>
  <c r="D24" i="8"/>
  <c r="C25" i="8"/>
  <c r="C24" i="8"/>
  <c r="F4" i="8"/>
  <c r="G4" i="8" s="1"/>
  <c r="H4" i="8" s="1"/>
  <c r="E4" i="8"/>
  <c r="D7" i="7"/>
  <c r="D9" i="7"/>
  <c r="D5" i="7"/>
  <c r="D2" i="7"/>
  <c r="E2" i="7" s="1"/>
  <c r="F2" i="7" s="1"/>
  <c r="G2" i="7" s="1"/>
  <c r="H2" i="7" s="1"/>
  <c r="G10" i="5"/>
  <c r="F10" i="5"/>
  <c r="E10" i="5"/>
  <c r="D10" i="5"/>
  <c r="J31" i="6" l="1"/>
  <c r="K31" i="6" s="1"/>
  <c r="L31" i="6" s="1"/>
  <c r="M31" i="6" s="1"/>
  <c r="I28" i="6"/>
  <c r="D13" i="5" s="1"/>
  <c r="G21" i="6"/>
  <c r="H9" i="6" s="1"/>
  <c r="H8" i="6"/>
  <c r="I5" i="6" s="1"/>
  <c r="I3" i="6"/>
  <c r="J3" i="6" s="1"/>
  <c r="K3" i="6" s="1"/>
  <c r="L3" i="6" s="1"/>
  <c r="M3" i="6" s="1"/>
  <c r="D2" i="5"/>
  <c r="E2" i="5" s="1"/>
  <c r="F2" i="5" s="1"/>
  <c r="G2" i="5" s="1"/>
  <c r="H2" i="5" s="1"/>
  <c r="G9" i="5"/>
  <c r="F9" i="5"/>
  <c r="E9" i="5"/>
  <c r="D9" i="5"/>
  <c r="K15" i="4"/>
  <c r="J15" i="4"/>
  <c r="I15" i="4"/>
  <c r="H15" i="4"/>
  <c r="G15" i="4"/>
  <c r="F15" i="4"/>
  <c r="H7" i="4"/>
  <c r="I7" i="4" s="1"/>
  <c r="J7" i="4" s="1"/>
  <c r="K7" i="4" s="1"/>
  <c r="G7" i="4"/>
  <c r="K14" i="4"/>
  <c r="K13" i="4"/>
  <c r="J13" i="4"/>
  <c r="K12" i="4"/>
  <c r="J12" i="4"/>
  <c r="I12" i="4"/>
  <c r="K11" i="4"/>
  <c r="J11" i="4"/>
  <c r="I11" i="4"/>
  <c r="H11" i="4"/>
  <c r="K10" i="4"/>
  <c r="J10" i="4"/>
  <c r="I10" i="4"/>
  <c r="H10" i="4"/>
  <c r="G10" i="4"/>
  <c r="K9" i="4"/>
  <c r="J9" i="4"/>
  <c r="I9" i="4"/>
  <c r="H9" i="4"/>
  <c r="G9" i="4"/>
  <c r="F9" i="4"/>
  <c r="D7" i="4"/>
  <c r="E19" i="3"/>
  <c r="G19" i="3"/>
  <c r="G18" i="3"/>
  <c r="G15" i="3"/>
  <c r="G14" i="3"/>
  <c r="G8" i="3"/>
  <c r="G7" i="3"/>
  <c r="G6" i="3"/>
  <c r="G5" i="3"/>
  <c r="G16" i="3"/>
  <c r="E16" i="3"/>
  <c r="N20" i="2"/>
  <c r="N18" i="2"/>
  <c r="I15" i="2"/>
  <c r="I8" i="2" s="1"/>
  <c r="I9" i="2" s="1"/>
  <c r="J8" i="2" s="1"/>
  <c r="I12" i="2"/>
  <c r="N9" i="2"/>
  <c r="I7" i="2"/>
  <c r="N6" i="2"/>
  <c r="N5" i="2"/>
  <c r="K9" i="2"/>
  <c r="I6" i="2"/>
  <c r="I5" i="2"/>
  <c r="D26" i="1"/>
  <c r="D42" i="1" s="1"/>
  <c r="D45" i="1" s="1"/>
  <c r="E40" i="1"/>
  <c r="F40" i="1" s="1"/>
  <c r="G40" i="1" s="1"/>
  <c r="H40" i="1" s="1"/>
  <c r="I40" i="1" s="1"/>
  <c r="J40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J4" i="2" l="1"/>
  <c r="J5" i="2"/>
  <c r="J7" i="2"/>
  <c r="J9" i="2"/>
  <c r="J6" i="2"/>
  <c r="D51" i="1"/>
  <c r="D54" i="1"/>
  <c r="D48" i="1"/>
  <c r="E31" i="1" l="1"/>
  <c r="E32" i="1" s="1"/>
  <c r="E34" i="1" s="1"/>
  <c r="E14" i="1"/>
  <c r="E22" i="1"/>
  <c r="E26" i="1" s="1"/>
  <c r="E42" i="1" s="1"/>
  <c r="D27" i="1"/>
  <c r="D18" i="1"/>
  <c r="D57" i="1" s="1"/>
  <c r="E11" i="1"/>
  <c r="F11" i="1" s="1"/>
  <c r="G11" i="1" s="1"/>
  <c r="H11" i="1" s="1"/>
  <c r="I11" i="1" s="1"/>
  <c r="J11" i="1" s="1"/>
  <c r="E51" i="1" l="1"/>
  <c r="E54" i="1"/>
  <c r="E45" i="1"/>
  <c r="E48" i="1"/>
  <c r="D36" i="1"/>
  <c r="E27" i="1"/>
  <c r="F22" i="1"/>
  <c r="E18" i="1"/>
  <c r="F14" i="1"/>
  <c r="F31" i="1"/>
  <c r="F32" i="1" s="1"/>
  <c r="F34" i="1" s="1"/>
  <c r="D60" i="1" l="1"/>
  <c r="D62" i="1" s="1"/>
  <c r="D93" i="1" s="1"/>
  <c r="D71" i="1"/>
  <c r="D77" i="1"/>
  <c r="D78" i="1" s="1"/>
  <c r="D86" i="1" s="1"/>
  <c r="D97" i="1" s="1"/>
  <c r="D90" i="1"/>
  <c r="D94" i="1" s="1"/>
  <c r="E57" i="1"/>
  <c r="E36" i="1"/>
  <c r="F26" i="1"/>
  <c r="F42" i="1" s="1"/>
  <c r="G14" i="1"/>
  <c r="F18" i="1"/>
  <c r="F27" i="1"/>
  <c r="G22" i="1"/>
  <c r="G31" i="1"/>
  <c r="G32" i="1" s="1"/>
  <c r="G34" i="1" s="1"/>
  <c r="D98" i="1" l="1"/>
  <c r="D99" i="1" s="1"/>
  <c r="D95" i="1"/>
  <c r="E60" i="1"/>
  <c r="E62" i="1" s="1"/>
  <c r="E93" i="1" s="1"/>
  <c r="E77" i="1"/>
  <c r="E78" i="1" s="1"/>
  <c r="E86" i="1" s="1"/>
  <c r="E97" i="1" s="1"/>
  <c r="E90" i="1"/>
  <c r="E71" i="1"/>
  <c r="F57" i="1"/>
  <c r="G26" i="1"/>
  <c r="G42" i="1" s="1"/>
  <c r="G54" i="1" s="1"/>
  <c r="F54" i="1"/>
  <c r="F51" i="1"/>
  <c r="F45" i="1"/>
  <c r="F48" i="1"/>
  <c r="F36" i="1"/>
  <c r="H22" i="1"/>
  <c r="H31" i="1"/>
  <c r="H32" i="1" s="1"/>
  <c r="H34" i="1" s="1"/>
  <c r="G27" i="1"/>
  <c r="H14" i="1"/>
  <c r="G18" i="1"/>
  <c r="F60" i="1" l="1"/>
  <c r="F90" i="1"/>
  <c r="F71" i="1"/>
  <c r="F77" i="1"/>
  <c r="F78" i="1" s="1"/>
  <c r="F86" i="1" s="1"/>
  <c r="F97" i="1" s="1"/>
  <c r="E94" i="1"/>
  <c r="E91" i="1"/>
  <c r="G45" i="1"/>
  <c r="G51" i="1"/>
  <c r="G48" i="1"/>
  <c r="H26" i="1"/>
  <c r="H42" i="1" s="1"/>
  <c r="H51" i="1" s="1"/>
  <c r="G57" i="1"/>
  <c r="F62" i="1"/>
  <c r="F93" i="1" s="1"/>
  <c r="I14" i="1"/>
  <c r="H18" i="1"/>
  <c r="G36" i="1"/>
  <c r="I22" i="1"/>
  <c r="I31" i="1"/>
  <c r="I32" i="1" s="1"/>
  <c r="I34" i="1" s="1"/>
  <c r="H27" i="1"/>
  <c r="G60" i="1" l="1"/>
  <c r="G77" i="1"/>
  <c r="G78" i="1" s="1"/>
  <c r="G90" i="1"/>
  <c r="G71" i="1"/>
  <c r="F94" i="1"/>
  <c r="F91" i="1"/>
  <c r="E98" i="1"/>
  <c r="E99" i="1" s="1"/>
  <c r="E95" i="1"/>
  <c r="H48" i="1"/>
  <c r="H45" i="1"/>
  <c r="H54" i="1"/>
  <c r="G62" i="1"/>
  <c r="G93" i="1" s="1"/>
  <c r="H57" i="1"/>
  <c r="I26" i="1"/>
  <c r="I42" i="1" s="1"/>
  <c r="J22" i="1"/>
  <c r="I27" i="1"/>
  <c r="J31" i="1"/>
  <c r="J32" i="1" s="1"/>
  <c r="J34" i="1" s="1"/>
  <c r="H36" i="1"/>
  <c r="J14" i="1"/>
  <c r="J18" i="1" s="1"/>
  <c r="I18" i="1"/>
  <c r="I57" i="1" s="1"/>
  <c r="H60" i="1" l="1"/>
  <c r="H62" i="1" s="1"/>
  <c r="H93" i="1" s="1"/>
  <c r="H71" i="1"/>
  <c r="H77" i="1"/>
  <c r="H78" i="1" s="1"/>
  <c r="H86" i="1" s="1"/>
  <c r="H97" i="1" s="1"/>
  <c r="H90" i="1"/>
  <c r="G94" i="1"/>
  <c r="G91" i="1"/>
  <c r="G86" i="1"/>
  <c r="G97" i="1" s="1"/>
  <c r="F98" i="1"/>
  <c r="F99" i="1" s="1"/>
  <c r="F95" i="1"/>
  <c r="I51" i="1"/>
  <c r="I54" i="1"/>
  <c r="I45" i="1"/>
  <c r="I48" i="1"/>
  <c r="J27" i="1"/>
  <c r="J36" i="1" s="1"/>
  <c r="J26" i="1"/>
  <c r="J42" i="1" s="1"/>
  <c r="I36" i="1"/>
  <c r="H94" i="1" l="1"/>
  <c r="H91" i="1"/>
  <c r="J60" i="1"/>
  <c r="J90" i="1"/>
  <c r="J77" i="1"/>
  <c r="J78" i="1" s="1"/>
  <c r="J71" i="1"/>
  <c r="I60" i="1"/>
  <c r="I62" i="1" s="1"/>
  <c r="I93" i="1" s="1"/>
  <c r="I77" i="1"/>
  <c r="I78" i="1" s="1"/>
  <c r="I86" i="1" s="1"/>
  <c r="I97" i="1" s="1"/>
  <c r="I71" i="1"/>
  <c r="I90" i="1"/>
  <c r="G98" i="1"/>
  <c r="G99" i="1" s="1"/>
  <c r="G95" i="1"/>
  <c r="J57" i="1"/>
  <c r="J51" i="1"/>
  <c r="J54" i="1"/>
  <c r="J45" i="1"/>
  <c r="J48" i="1"/>
  <c r="J91" i="1" l="1"/>
  <c r="I94" i="1"/>
  <c r="I91" i="1"/>
  <c r="J86" i="1"/>
  <c r="J97" i="1" s="1"/>
  <c r="H98" i="1"/>
  <c r="H99" i="1" s="1"/>
  <c r="H95" i="1"/>
  <c r="J62" i="1"/>
  <c r="J93" i="1" s="1"/>
  <c r="J94" i="1" s="1"/>
  <c r="J98" i="1" l="1"/>
  <c r="J99" i="1" s="1"/>
  <c r="J95" i="1"/>
  <c r="I98" i="1"/>
  <c r="I99" i="1" s="1"/>
  <c r="I95" i="1"/>
  <c r="I16" i="2"/>
  <c r="J11" i="2" l="1"/>
  <c r="J14" i="2"/>
  <c r="J13" i="2"/>
  <c r="J12" i="2"/>
  <c r="J15" i="2"/>
  <c r="I12" i="6" l="1"/>
  <c r="I15" i="6"/>
  <c r="I16" i="6" s="1"/>
  <c r="I24" i="6"/>
  <c r="D6" i="7" s="1"/>
  <c r="I25" i="6"/>
  <c r="D12" i="5" s="1"/>
  <c r="J12" i="6" l="1"/>
  <c r="I20" i="6"/>
  <c r="J24" i="6" l="1"/>
  <c r="J15" i="6" l="1"/>
  <c r="J16" i="6" s="1"/>
  <c r="J25" i="6"/>
  <c r="E6" i="7"/>
  <c r="E12" i="5" l="1"/>
  <c r="K12" i="6"/>
  <c r="J20" i="6"/>
  <c r="K24" i="6" l="1"/>
  <c r="K25" i="6" l="1"/>
  <c r="F6" i="7"/>
  <c r="K15" i="6"/>
  <c r="K16" i="6" s="1"/>
  <c r="K20" i="6" l="1"/>
  <c r="L12" i="6"/>
  <c r="F12" i="5"/>
  <c r="L24" i="6" l="1"/>
  <c r="G6" i="7" l="1"/>
  <c r="L15" i="6"/>
  <c r="L25" i="6"/>
  <c r="G12" i="5" l="1"/>
  <c r="D17" i="3"/>
  <c r="E17" i="3"/>
  <c r="F17" i="3"/>
  <c r="G17" i="3"/>
  <c r="E20" i="3"/>
  <c r="G20" i="3"/>
  <c r="D17" i="8"/>
  <c r="E17" i="8"/>
  <c r="F17" i="8"/>
  <c r="G17" i="8"/>
  <c r="G18" i="8"/>
  <c r="H18" i="8"/>
  <c r="D20" i="8"/>
  <c r="E20" i="8"/>
  <c r="F20" i="8"/>
  <c r="G20" i="8"/>
  <c r="H20" i="8"/>
  <c r="D21" i="8"/>
  <c r="E21" i="8"/>
  <c r="F21" i="8"/>
  <c r="G21" i="8"/>
  <c r="H21" i="8"/>
  <c r="D4" i="7"/>
  <c r="E4" i="7"/>
  <c r="F4" i="7"/>
  <c r="G4" i="7"/>
  <c r="H4" i="7"/>
  <c r="H6" i="7"/>
  <c r="D10" i="7"/>
  <c r="E10" i="7"/>
  <c r="F10" i="7"/>
  <c r="G10" i="7"/>
  <c r="H10" i="7"/>
  <c r="D14" i="7"/>
  <c r="E14" i="7"/>
  <c r="F14" i="7"/>
  <c r="G14" i="7"/>
  <c r="H14" i="7"/>
  <c r="D15" i="7"/>
  <c r="E15" i="7"/>
  <c r="F15" i="7"/>
  <c r="G15" i="7"/>
  <c r="H15" i="7"/>
  <c r="D17" i="7"/>
  <c r="E17" i="7"/>
  <c r="F17" i="7"/>
  <c r="G17" i="7"/>
  <c r="H17" i="7"/>
  <c r="D18" i="7"/>
  <c r="E18" i="7"/>
  <c r="F18" i="7"/>
  <c r="G18" i="7"/>
  <c r="H18" i="7"/>
  <c r="D19" i="7"/>
  <c r="E19" i="7"/>
  <c r="F19" i="7"/>
  <c r="G19" i="7"/>
  <c r="H19" i="7"/>
  <c r="D20" i="7"/>
  <c r="E20" i="7"/>
  <c r="F20" i="7"/>
  <c r="G20" i="7"/>
  <c r="H20" i="7"/>
  <c r="J5" i="6"/>
  <c r="K5" i="6"/>
  <c r="L5" i="6"/>
  <c r="I7" i="6"/>
  <c r="J7" i="6"/>
  <c r="K7" i="6"/>
  <c r="L7" i="6"/>
  <c r="I8" i="6"/>
  <c r="J8" i="6"/>
  <c r="K8" i="6"/>
  <c r="L8" i="6"/>
  <c r="I9" i="6"/>
  <c r="J9" i="6"/>
  <c r="K9" i="6"/>
  <c r="L9" i="6"/>
  <c r="M12" i="6"/>
  <c r="L14" i="6"/>
  <c r="M14" i="6"/>
  <c r="M15" i="6"/>
  <c r="L16" i="6"/>
  <c r="M16" i="6"/>
  <c r="I19" i="6"/>
  <c r="J19" i="6"/>
  <c r="K19" i="6"/>
  <c r="L19" i="6"/>
  <c r="M19" i="6"/>
  <c r="L20" i="6"/>
  <c r="M20" i="6"/>
  <c r="I21" i="6"/>
  <c r="J21" i="6"/>
  <c r="K21" i="6"/>
  <c r="L21" i="6"/>
  <c r="M21" i="6"/>
  <c r="I22" i="6"/>
  <c r="J22" i="6"/>
  <c r="K22" i="6"/>
  <c r="L22" i="6"/>
  <c r="M22" i="6"/>
  <c r="M24" i="6"/>
  <c r="M25" i="6"/>
  <c r="I26" i="6"/>
  <c r="J26" i="6"/>
  <c r="K26" i="6"/>
  <c r="L26" i="6"/>
  <c r="M26" i="6"/>
  <c r="D11" i="5"/>
  <c r="E11" i="5"/>
  <c r="F11" i="5"/>
  <c r="G11" i="5"/>
  <c r="H11" i="5"/>
  <c r="H12" i="5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G13" i="9"/>
  <c r="H13" i="9"/>
  <c r="I13" i="9"/>
  <c r="J13" i="9"/>
  <c r="K13" i="9"/>
  <c r="G16" i="9"/>
  <c r="H16" i="9"/>
  <c r="I16" i="9"/>
  <c r="J16" i="9"/>
  <c r="K16" i="9"/>
  <c r="G17" i="9"/>
  <c r="H17" i="9"/>
  <c r="I17" i="9"/>
  <c r="J17" i="9"/>
  <c r="K17" i="9"/>
  <c r="G18" i="9"/>
  <c r="H18" i="9"/>
  <c r="I18" i="9"/>
  <c r="J18" i="9"/>
  <c r="K18" i="9"/>
  <c r="G19" i="9"/>
  <c r="H19" i="9"/>
  <c r="I19" i="9"/>
  <c r="J19" i="9"/>
  <c r="K19" i="9"/>
  <c r="G22" i="9"/>
  <c r="H22" i="9"/>
  <c r="I22" i="9"/>
  <c r="J22" i="9"/>
  <c r="K22" i="9"/>
  <c r="G23" i="9"/>
  <c r="H23" i="9"/>
  <c r="I23" i="9"/>
  <c r="J23" i="9"/>
  <c r="K23" i="9"/>
  <c r="G24" i="9"/>
  <c r="H24" i="9"/>
  <c r="I24" i="9"/>
  <c r="J24" i="9"/>
  <c r="K24" i="9"/>
  <c r="G25" i="9"/>
  <c r="H25" i="9"/>
  <c r="I25" i="9"/>
  <c r="J25" i="9"/>
  <c r="K25" i="9"/>
  <c r="G28" i="9"/>
  <c r="H28" i="9"/>
  <c r="I28" i="9"/>
  <c r="J28" i="9"/>
  <c r="K28" i="9"/>
  <c r="G29" i="9"/>
  <c r="H29" i="9"/>
  <c r="I29" i="9"/>
  <c r="J29" i="9"/>
  <c r="K29" i="9"/>
  <c r="G30" i="9"/>
  <c r="H30" i="9"/>
  <c r="I30" i="9"/>
  <c r="J30" i="9"/>
  <c r="K30" i="9"/>
  <c r="G31" i="9"/>
  <c r="H31" i="9"/>
  <c r="I31" i="9"/>
  <c r="J31" i="9"/>
  <c r="K31" i="9"/>
  <c r="G34" i="9"/>
  <c r="H34" i="9"/>
  <c r="I34" i="9"/>
  <c r="J34" i="9"/>
  <c r="K34" i="9"/>
  <c r="G35" i="9"/>
  <c r="H35" i="9"/>
  <c r="I35" i="9"/>
  <c r="J35" i="9"/>
  <c r="K35" i="9"/>
  <c r="G36" i="9"/>
  <c r="H36" i="9"/>
  <c r="I36" i="9"/>
  <c r="J36" i="9"/>
  <c r="K36" i="9"/>
  <c r="G37" i="9"/>
  <c r="H37" i="9"/>
  <c r="I37" i="9"/>
  <c r="J37" i="9"/>
  <c r="K37" i="9"/>
  <c r="G40" i="9"/>
  <c r="H40" i="9"/>
  <c r="I40" i="9"/>
  <c r="J40" i="9"/>
  <c r="K40" i="9"/>
  <c r="G41" i="9"/>
  <c r="H41" i="9"/>
  <c r="I41" i="9"/>
  <c r="J41" i="9"/>
  <c r="K41" i="9"/>
  <c r="G42" i="9"/>
  <c r="H42" i="9"/>
  <c r="I42" i="9"/>
  <c r="J42" i="9"/>
  <c r="K42" i="9"/>
  <c r="G43" i="9"/>
  <c r="H43" i="9"/>
  <c r="I43" i="9"/>
  <c r="J43" i="9"/>
  <c r="K4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<sst xmlns="http://schemas.openxmlformats.org/spreadsheetml/2006/main" count="239" uniqueCount="189">
  <si>
    <t>Revenue Build</t>
  </si>
  <si>
    <t>Cloud</t>
  </si>
  <si>
    <t>Units</t>
  </si>
  <si>
    <t>% g</t>
  </si>
  <si>
    <t>Price/Unit</t>
  </si>
  <si>
    <t>Revenue</t>
  </si>
  <si>
    <t>mm</t>
  </si>
  <si>
    <t>Time</t>
  </si>
  <si>
    <t>Renewals</t>
  </si>
  <si>
    <t>Total Units</t>
  </si>
  <si>
    <t>Total Units(prior year)</t>
  </si>
  <si>
    <t>Renewal Price</t>
  </si>
  <si>
    <t>Total renewals</t>
  </si>
  <si>
    <t>Scenario</t>
  </si>
  <si>
    <t>Upside</t>
  </si>
  <si>
    <t>Downside</t>
  </si>
  <si>
    <t>Total Revenue</t>
  </si>
  <si>
    <t>Cost Build</t>
  </si>
  <si>
    <t>COGS</t>
  </si>
  <si>
    <t>G&amp;A</t>
  </si>
  <si>
    <t>Rent</t>
  </si>
  <si>
    <t>Liscense Fee</t>
  </si>
  <si>
    <t>Salaries and benefits</t>
  </si>
  <si>
    <t>Offices &amp; other</t>
  </si>
  <si>
    <t>Fed Tax</t>
  </si>
  <si>
    <t>State Tax</t>
  </si>
  <si>
    <t>Bonus</t>
  </si>
  <si>
    <t>CEO Salary</t>
  </si>
  <si>
    <t>Total CEO COMP</t>
  </si>
  <si>
    <t>Total COGS</t>
  </si>
  <si>
    <t>Total Units Sold</t>
  </si>
  <si>
    <t>Packagaing/unit</t>
  </si>
  <si>
    <t>Total Packaging Cost</t>
  </si>
  <si>
    <t>Royaltiies/unit</t>
  </si>
  <si>
    <t>Total royalties</t>
  </si>
  <si>
    <t>marketing/unit</t>
  </si>
  <si>
    <t>Total Marketing</t>
  </si>
  <si>
    <t>Fufillment/unit</t>
  </si>
  <si>
    <t>Total Fufil</t>
  </si>
  <si>
    <t xml:space="preserve">Fees % </t>
  </si>
  <si>
    <t>Total Fees</t>
  </si>
  <si>
    <t>BDE %</t>
  </si>
  <si>
    <t>Total BDE</t>
  </si>
  <si>
    <t>tax rate</t>
  </si>
  <si>
    <t>state tax rate</t>
  </si>
  <si>
    <t xml:space="preserve">Total Commision </t>
  </si>
  <si>
    <t>Commission %</t>
  </si>
  <si>
    <t>total bonus</t>
  </si>
  <si>
    <t>Total G&amp;A</t>
  </si>
  <si>
    <t>Summary</t>
  </si>
  <si>
    <t>% growth</t>
  </si>
  <si>
    <t>Gross Profit</t>
  </si>
  <si>
    <t>EBITA</t>
  </si>
  <si>
    <t>% Margin</t>
  </si>
  <si>
    <t>Transaction</t>
  </si>
  <si>
    <t>2011 EBITA</t>
  </si>
  <si>
    <t>Purchase Multiple</t>
  </si>
  <si>
    <t>Purchase Price</t>
  </si>
  <si>
    <t>Cash</t>
  </si>
  <si>
    <t>Debt</t>
  </si>
  <si>
    <t>Total Price</t>
  </si>
  <si>
    <t xml:space="preserve">Valuation </t>
  </si>
  <si>
    <t>Other assumptions</t>
  </si>
  <si>
    <t>Revolver EBITDA multiple</t>
  </si>
  <si>
    <t xml:space="preserve">Revolver Availabilty </t>
  </si>
  <si>
    <t>Minimum Cash</t>
  </si>
  <si>
    <t>M&amp;A Fee</t>
  </si>
  <si>
    <t>Existing management owndership</t>
  </si>
  <si>
    <t>Mgmt Rollover (pre-tax)</t>
  </si>
  <si>
    <t>Sources</t>
  </si>
  <si>
    <t>BS Cash</t>
  </si>
  <si>
    <t>Credit Facility</t>
  </si>
  <si>
    <t>Sub. Debt</t>
  </si>
  <si>
    <t>Mgmt. Rollover</t>
  </si>
  <si>
    <t>Cash Equity</t>
  </si>
  <si>
    <t>Total Sources</t>
  </si>
  <si>
    <t>Uses</t>
  </si>
  <si>
    <t>Purch. Of Equity</t>
  </si>
  <si>
    <t xml:space="preserve">Minimum Cash </t>
  </si>
  <si>
    <t xml:space="preserve">Trans. Expenses </t>
  </si>
  <si>
    <t xml:space="preserve">Fin. Expenses </t>
  </si>
  <si>
    <t>Total Uses</t>
  </si>
  <si>
    <t>$</t>
  </si>
  <si>
    <t>%</t>
  </si>
  <si>
    <t>x</t>
  </si>
  <si>
    <t>Term</t>
  </si>
  <si>
    <t xml:space="preserve">Synd. Fee % </t>
  </si>
  <si>
    <t>Fees ($)</t>
  </si>
  <si>
    <t>Sources and Uses</t>
  </si>
  <si>
    <t>Goodwill Calculation</t>
  </si>
  <si>
    <t>Purchase of Equity</t>
  </si>
  <si>
    <t>Less: Book Equity</t>
  </si>
  <si>
    <t>New Goodwill</t>
  </si>
  <si>
    <t>AR</t>
  </si>
  <si>
    <t>Inventory</t>
  </si>
  <si>
    <t>Other Current</t>
  </si>
  <si>
    <t>PP&amp;E</t>
  </si>
  <si>
    <t>Goodwill</t>
  </si>
  <si>
    <t>Def. Financing Fees</t>
  </si>
  <si>
    <t>Other Non-Current</t>
  </si>
  <si>
    <t>Total Assets</t>
  </si>
  <si>
    <t>AP</t>
  </si>
  <si>
    <t>New Credit Facility</t>
  </si>
  <si>
    <t>New Subordinated Debt</t>
  </si>
  <si>
    <t>Equity</t>
  </si>
  <si>
    <t>Total Liabilities &amp; Equity</t>
  </si>
  <si>
    <t>Transaction Adjustments</t>
  </si>
  <si>
    <t>2011 PF</t>
  </si>
  <si>
    <t>Usefull Life</t>
  </si>
  <si>
    <t>Beg PP&amp;E</t>
  </si>
  <si>
    <t>CapEx/yr</t>
  </si>
  <si>
    <t>BegPPE Dep</t>
  </si>
  <si>
    <t>CapEx Dep</t>
  </si>
  <si>
    <t>Less: COGS</t>
  </si>
  <si>
    <t>Less: SG&amp;A</t>
  </si>
  <si>
    <t>EBITDA</t>
  </si>
  <si>
    <t>Less: D&amp;A</t>
  </si>
  <si>
    <t xml:space="preserve">EBIT </t>
  </si>
  <si>
    <t>Less: Cash Interest</t>
  </si>
  <si>
    <t>Less: Non-Cash Interest</t>
  </si>
  <si>
    <t>Plus: Interest Income</t>
  </si>
  <si>
    <t>Less: Def. Financing Fees</t>
  </si>
  <si>
    <t>Profit Before Taxes</t>
  </si>
  <si>
    <t>Less: Taxes</t>
  </si>
  <si>
    <t>Net Income</t>
  </si>
  <si>
    <t>Revenue Growith</t>
  </si>
  <si>
    <t>Gross Margin</t>
  </si>
  <si>
    <t>EBITDA Margin</t>
  </si>
  <si>
    <t>EBIT Margin</t>
  </si>
  <si>
    <t>Taxes</t>
  </si>
  <si>
    <t>Senior Revolving Credit Facility</t>
  </si>
  <si>
    <t>Beginning Balance</t>
  </si>
  <si>
    <t>Mandatory Paydown</t>
  </si>
  <si>
    <t>Discretionary Paydown</t>
  </si>
  <si>
    <t>Ending Balance</t>
  </si>
  <si>
    <t>Availabilty</t>
  </si>
  <si>
    <t>Subordinated Debt</t>
  </si>
  <si>
    <t>Accumulated PIK Interest</t>
  </si>
  <si>
    <t xml:space="preserve">Ending Balance </t>
  </si>
  <si>
    <t xml:space="preserve">Interest Schedule </t>
  </si>
  <si>
    <t>Subordinated Debt Cash Interest</t>
  </si>
  <si>
    <t>Revolver Commitment Fee</t>
  </si>
  <si>
    <t>Total Cash Interest</t>
  </si>
  <si>
    <t>Type</t>
  </si>
  <si>
    <t>Rate</t>
  </si>
  <si>
    <t>Floating</t>
  </si>
  <si>
    <t>Fixed</t>
  </si>
  <si>
    <t>Subordinated Debt PIK Interest</t>
  </si>
  <si>
    <t>Non-Cash Interest</t>
  </si>
  <si>
    <t>Total Interest Expense</t>
  </si>
  <si>
    <t xml:space="preserve">Interest Income on Cash </t>
  </si>
  <si>
    <t>Capacity</t>
  </si>
  <si>
    <t>LIBOR</t>
  </si>
  <si>
    <t>Step</t>
  </si>
  <si>
    <t xml:space="preserve">Net Income </t>
  </si>
  <si>
    <t>D&amp;A</t>
  </si>
  <si>
    <t>Deferred Financing Fees</t>
  </si>
  <si>
    <t xml:space="preserve">Change in Operating Working Capital </t>
  </si>
  <si>
    <t>Capex</t>
  </si>
  <si>
    <t>Levered Free Cash Flow (LFCF)</t>
  </si>
  <si>
    <t>Beg. Cash Balance</t>
  </si>
  <si>
    <t xml:space="preserve">Less: Minimum Cash </t>
  </si>
  <si>
    <t>Plus: LFCF</t>
  </si>
  <si>
    <t>LFCF before Mandatory Paydown</t>
  </si>
  <si>
    <t xml:space="preserve">Less: Mandatory Paydown </t>
  </si>
  <si>
    <t xml:space="preserve">LFCF beore Discretionary Paydown </t>
  </si>
  <si>
    <t>Less: Discretionary Paydown</t>
  </si>
  <si>
    <t xml:space="preserve">Change in Cash </t>
  </si>
  <si>
    <t xml:space="preserve">Ending Cash Balance </t>
  </si>
  <si>
    <t>2011PF</t>
  </si>
  <si>
    <t>Sales</t>
  </si>
  <si>
    <t>Receivable Days</t>
  </si>
  <si>
    <t>Inventory Days</t>
  </si>
  <si>
    <t>Other Current Assets (% of sales)</t>
  </si>
  <si>
    <t>AP Days</t>
  </si>
  <si>
    <t>Other Current Liabilities (% of sales)</t>
  </si>
  <si>
    <t>Period</t>
  </si>
  <si>
    <t>Enterprise Value</t>
  </si>
  <si>
    <t>Exit Mult.</t>
  </si>
  <si>
    <t>less: Net Debt</t>
  </si>
  <si>
    <t>Equity Value</t>
  </si>
  <si>
    <t>Management Equity</t>
  </si>
  <si>
    <t>Sponsor Equity</t>
  </si>
  <si>
    <t>Returns Calculation</t>
  </si>
  <si>
    <t>Cash on Cash Returns</t>
  </si>
  <si>
    <t>Initial Equity</t>
  </si>
  <si>
    <t>Conservative</t>
  </si>
  <si>
    <t>($ in thousands, except for per unit data)</t>
  </si>
  <si>
    <t>Debt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</si>
</sst>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0.0%"/>
    <numFmt numFmtId="165" formatCode="0.0"/>
    <numFmt numFmtId="169" formatCode="_(* #,##0.0_);_(* \(#,##0.0\);_(* &quot;-&quot;?_);_(@_)"/>
    <numFmt numFmtId="170" formatCode="#\x"/>
    <numFmt numFmtId="173" formatCode="#.#\x"/>
  </numFmts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3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3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3" fillId="0" borderId="0" xfId="0" applyFont="1"/>
    <xf numFmtId="164" fontId="0" fillId="0" borderId="0" xfId="0" applyNumberFormat="1" applyAlignment="1">
      <alignment horizontal="center"/>
    </xf>
    <xf numFmtId="3" fontId="0" fillId="2" borderId="3" xfId="0" applyNumberFormat="1" applyFill="1" applyBorder="1" applyAlignment="1">
      <alignment horizontal="center"/>
    </xf>
    <xf numFmtId="10" fontId="0" fillId="0" borderId="0" xfId="0" applyNumberFormat="1"/>
    <xf numFmtId="0" fontId="1" fillId="0" borderId="2" xfId="0" applyFont="1" applyBorder="1"/>
    <xf numFmtId="0" fontId="0" fillId="0" borderId="11" xfId="0" applyBorder="1"/>
    <xf numFmtId="3" fontId="0" fillId="0" borderId="12" xfId="0" applyNumberFormat="1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0" fontId="0" fillId="0" borderId="15" xfId="0" applyBorder="1"/>
    <xf numFmtId="165" fontId="0" fillId="0" borderId="0" xfId="0" applyNumberFormat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64" fontId="0" fillId="0" borderId="2" xfId="0" applyNumberFormat="1" applyBorder="1"/>
    <xf numFmtId="164" fontId="0" fillId="0" borderId="17" xfId="0" applyNumberFormat="1" applyBorder="1"/>
    <xf numFmtId="41" fontId="0" fillId="0" borderId="0" xfId="0" applyNumberFormat="1"/>
    <xf numFmtId="41" fontId="0" fillId="0" borderId="1" xfId="0" applyNumberFormat="1" applyBorder="1"/>
    <xf numFmtId="0" fontId="2" fillId="0" borderId="0" xfId="0" applyFont="1" applyAlignment="1">
      <alignment horizontal="center"/>
    </xf>
    <xf numFmtId="41" fontId="0" fillId="0" borderId="0" xfId="0" applyNumberFormat="1" applyFill="1"/>
    <xf numFmtId="41" fontId="1" fillId="0" borderId="0" xfId="0" applyNumberFormat="1" applyFont="1"/>
    <xf numFmtId="41" fontId="1" fillId="0" borderId="12" xfId="0" applyNumberFormat="1" applyFont="1" applyBorder="1"/>
    <xf numFmtId="41" fontId="0" fillId="0" borderId="2" xfId="0" applyNumberFormat="1" applyBorder="1"/>
    <xf numFmtId="41" fontId="1" fillId="0" borderId="1" xfId="0" applyNumberFormat="1" applyFont="1" applyBorder="1"/>
    <xf numFmtId="164" fontId="0" fillId="0" borderId="5" xfId="0" applyNumberFormat="1" applyBorder="1"/>
    <xf numFmtId="169" fontId="0" fillId="0" borderId="5" xfId="0" applyNumberFormat="1" applyBorder="1"/>
    <xf numFmtId="164" fontId="0" fillId="0" borderId="0" xfId="0" applyNumberFormat="1" applyBorder="1"/>
    <xf numFmtId="169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9" fontId="0" fillId="0" borderId="1" xfId="0" applyNumberFormat="1" applyBorder="1"/>
    <xf numFmtId="164" fontId="0" fillId="0" borderId="10" xfId="0" applyNumberFormat="1" applyBorder="1"/>
    <xf numFmtId="170" fontId="0" fillId="0" borderId="19" xfId="0" applyNumberFormat="1" applyBorder="1"/>
    <xf numFmtId="170" fontId="0" fillId="0" borderId="20" xfId="0" applyNumberFormat="1" applyBorder="1"/>
    <xf numFmtId="0" fontId="0" fillId="0" borderId="0" xfId="0" applyBorder="1"/>
    <xf numFmtId="170" fontId="0" fillId="0" borderId="0" xfId="0" applyNumberFormat="1" applyBorder="1"/>
    <xf numFmtId="3" fontId="0" fillId="3" borderId="3" xfId="0" applyNumberFormat="1" applyFill="1" applyBorder="1" applyAlignment="1">
      <alignment horizontal="center"/>
    </xf>
    <xf numFmtId="170" fontId="0" fillId="0" borderId="18" xfId="0" applyNumberFormat="1" applyBorder="1"/>
    <xf numFmtId="3" fontId="0" fillId="3" borderId="2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73" fontId="0" fillId="0" borderId="0" xfId="0" applyNumberFormat="1"/>
    <xf numFmtId="0" fontId="1" fillId="4" borderId="1" xfId="0" applyFont="1" applyFill="1" applyBorder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164" fontId="0" fillId="3" borderId="3" xfId="0" applyNumberFormat="1" applyFill="1" applyBorder="1"/>
    <xf numFmtId="0" fontId="2" fillId="4" borderId="0" xfId="0" applyFont="1" applyFill="1"/>
    <xf numFmtId="4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8B1B-3705-4920-A7E1-4BDDDE49D3D5}">
  <dimension ref="B2:K118"/>
  <sheetViews>
    <sheetView workbookViewId="0">
      <selection activeCell="P26" sqref="P26:P28"/>
    </sheetView>
  </sheetViews>
  <sheetFormatPr defaultRowHeight="11.25" x14ac:dyDescent="0.2"/>
  <cols>
    <col min="2" max="2" width="12" bestFit="1" customWidth="1"/>
    <col min="3" max="3" width="28.83203125" bestFit="1" customWidth="1"/>
    <col min="4" max="5" width="12.1640625" bestFit="1" customWidth="1"/>
  </cols>
  <sheetData>
    <row r="2" spans="2:10" x14ac:dyDescent="0.2">
      <c r="B2" s="1" t="s">
        <v>13</v>
      </c>
    </row>
    <row r="3" spans="2:10" x14ac:dyDescent="0.2">
      <c r="B3">
        <v>1</v>
      </c>
    </row>
    <row r="4" spans="2:10" x14ac:dyDescent="0.2">
      <c r="B4">
        <v>1</v>
      </c>
      <c r="C4" t="s">
        <v>14</v>
      </c>
      <c r="D4" s="4">
        <v>0.05</v>
      </c>
    </row>
    <row r="5" spans="2:10" x14ac:dyDescent="0.2">
      <c r="B5">
        <v>2</v>
      </c>
      <c r="C5" t="s">
        <v>186</v>
      </c>
      <c r="D5" s="4">
        <v>0</v>
      </c>
    </row>
    <row r="6" spans="2:10" x14ac:dyDescent="0.2">
      <c r="B6">
        <v>3</v>
      </c>
      <c r="C6" t="s">
        <v>15</v>
      </c>
      <c r="D6" s="4">
        <v>-0.05</v>
      </c>
    </row>
    <row r="9" spans="2:10" x14ac:dyDescent="0.2">
      <c r="B9" s="1" t="s">
        <v>0</v>
      </c>
    </row>
    <row r="10" spans="2:10" x14ac:dyDescent="0.2">
      <c r="B10" t="s">
        <v>6</v>
      </c>
    </row>
    <row r="11" spans="2:10" x14ac:dyDescent="0.2">
      <c r="D11" s="1">
        <v>2010</v>
      </c>
      <c r="E11" s="1">
        <f>+D11+1</f>
        <v>2011</v>
      </c>
      <c r="F11" s="1">
        <f t="shared" ref="F11:J11" si="0">+E11+1</f>
        <v>2012</v>
      </c>
      <c r="G11" s="1">
        <f t="shared" si="0"/>
        <v>2013</v>
      </c>
      <c r="H11" s="1">
        <f t="shared" si="0"/>
        <v>2014</v>
      </c>
      <c r="I11" s="1">
        <f t="shared" si="0"/>
        <v>2015</v>
      </c>
      <c r="J11" s="1">
        <f t="shared" si="0"/>
        <v>2016</v>
      </c>
    </row>
    <row r="13" spans="2:10" x14ac:dyDescent="0.2">
      <c r="C13" s="1" t="s">
        <v>1</v>
      </c>
    </row>
    <row r="14" spans="2:10" x14ac:dyDescent="0.2">
      <c r="C14" s="2" t="s">
        <v>2</v>
      </c>
      <c r="D14" s="3">
        <v>1500</v>
      </c>
      <c r="E14" s="3">
        <f>+D14*(1+E16)</f>
        <v>1575</v>
      </c>
      <c r="F14" s="3">
        <f>+E14*(1+F16)</f>
        <v>1653.75</v>
      </c>
      <c r="G14" s="3">
        <f t="shared" ref="G14:J14" si="1">+F14*(1+G16)</f>
        <v>1736.4375</v>
      </c>
      <c r="H14" s="3">
        <f t="shared" si="1"/>
        <v>1823.2593750000001</v>
      </c>
      <c r="I14" s="3">
        <f t="shared" si="1"/>
        <v>1914.4223437500002</v>
      </c>
      <c r="J14" s="3">
        <f t="shared" si="1"/>
        <v>2010.1434609375003</v>
      </c>
    </row>
    <row r="15" spans="2:10" x14ac:dyDescent="0.2">
      <c r="C15" s="2" t="s">
        <v>4</v>
      </c>
      <c r="D15" s="3">
        <v>16</v>
      </c>
      <c r="E15" s="3">
        <v>16</v>
      </c>
      <c r="F15" s="3">
        <v>16</v>
      </c>
      <c r="G15" s="3">
        <v>16</v>
      </c>
      <c r="H15" s="3">
        <v>16</v>
      </c>
      <c r="I15" s="3">
        <v>16</v>
      </c>
      <c r="J15" s="3">
        <v>16</v>
      </c>
    </row>
    <row r="16" spans="2:10" x14ac:dyDescent="0.2">
      <c r="C16" s="2" t="s">
        <v>3</v>
      </c>
      <c r="D16" s="3"/>
      <c r="E16" s="5">
        <v>0.05</v>
      </c>
      <c r="F16" s="4" cm="1">
        <f t="array" ref="F16">+_xlfn.SWITCH($B$3,1,$D$4,2,$D$5,3,$D$6)</f>
        <v>0.05</v>
      </c>
      <c r="G16" s="4" cm="1">
        <f t="array" ref="G16">+_xlfn.SWITCH($B$3,1,$D$4,2,$D$5,3,$D$6)</f>
        <v>0.05</v>
      </c>
      <c r="H16" s="4" cm="1">
        <f t="array" ref="H16">+_xlfn.SWITCH($B$3,1,$D$4,2,$D$5,3,$D$6)</f>
        <v>0.05</v>
      </c>
      <c r="I16" s="4" cm="1">
        <f t="array" ref="I16">+_xlfn.SWITCH($B$3,1,$D$4,2,$D$5,3,$D$6)</f>
        <v>0.05</v>
      </c>
      <c r="J16" s="4" cm="1">
        <f t="array" ref="J16">+_xlfn.SWITCH($B$3,1,$D$4,2,$D$5,3,$D$6)</f>
        <v>0.05</v>
      </c>
    </row>
    <row r="17" spans="3:10" x14ac:dyDescent="0.2">
      <c r="C17" s="2"/>
      <c r="D17" s="3"/>
      <c r="E17" s="3"/>
      <c r="F17" s="3"/>
      <c r="G17" s="3"/>
      <c r="H17" s="3"/>
      <c r="I17" s="3"/>
      <c r="J17" s="3"/>
    </row>
    <row r="18" spans="3:10" x14ac:dyDescent="0.2">
      <c r="C18" s="1" t="s">
        <v>5</v>
      </c>
      <c r="D18" s="3">
        <f>+D14*D15</f>
        <v>24000</v>
      </c>
      <c r="E18" s="3">
        <f t="shared" ref="E18:J18" si="2">+E14*E15</f>
        <v>25200</v>
      </c>
      <c r="F18" s="3">
        <f t="shared" si="2"/>
        <v>26460</v>
      </c>
      <c r="G18" s="3">
        <f t="shared" si="2"/>
        <v>27783</v>
      </c>
      <c r="H18" s="3">
        <f t="shared" si="2"/>
        <v>29172.15</v>
      </c>
      <c r="I18" s="3">
        <f t="shared" si="2"/>
        <v>30630.757500000003</v>
      </c>
      <c r="J18" s="3">
        <f t="shared" si="2"/>
        <v>32162.295375000005</v>
      </c>
    </row>
    <row r="19" spans="3:10" x14ac:dyDescent="0.2">
      <c r="C19" s="2" t="s">
        <v>3</v>
      </c>
      <c r="D19" s="3"/>
      <c r="E19" s="3"/>
      <c r="F19" s="3"/>
      <c r="G19" s="3"/>
      <c r="H19" s="3"/>
      <c r="I19" s="3"/>
      <c r="J19" s="3"/>
    </row>
    <row r="21" spans="3:10" x14ac:dyDescent="0.2">
      <c r="C21" s="1" t="s">
        <v>7</v>
      </c>
      <c r="D21" s="3"/>
      <c r="E21" s="3"/>
      <c r="F21" s="3"/>
      <c r="G21" s="3"/>
      <c r="H21" s="3"/>
      <c r="I21" s="3"/>
      <c r="J21" s="3"/>
    </row>
    <row r="22" spans="3:10" x14ac:dyDescent="0.2">
      <c r="C22" s="2" t="s">
        <v>2</v>
      </c>
      <c r="D22" s="3">
        <v>3000</v>
      </c>
      <c r="E22" s="3">
        <f>+D22*(1+E24)</f>
        <v>3150</v>
      </c>
      <c r="F22" s="3">
        <f t="shared" ref="F22:J22" si="3">+E22*(1+F24)</f>
        <v>3307.5</v>
      </c>
      <c r="G22" s="3">
        <f t="shared" si="3"/>
        <v>3472.875</v>
      </c>
      <c r="H22" s="3">
        <f t="shared" si="3"/>
        <v>3646.5187500000002</v>
      </c>
      <c r="I22" s="3">
        <f t="shared" si="3"/>
        <v>3828.8446875000004</v>
      </c>
      <c r="J22" s="3">
        <f t="shared" si="3"/>
        <v>4020.2869218750006</v>
      </c>
    </row>
    <row r="23" spans="3:10" x14ac:dyDescent="0.2">
      <c r="C23" s="2" t="s">
        <v>4</v>
      </c>
      <c r="D23" s="3">
        <v>36</v>
      </c>
      <c r="E23" s="3">
        <v>36</v>
      </c>
      <c r="F23" s="3">
        <v>36</v>
      </c>
      <c r="G23" s="3">
        <v>36</v>
      </c>
      <c r="H23" s="3">
        <v>36</v>
      </c>
      <c r="I23" s="3">
        <v>36</v>
      </c>
      <c r="J23" s="3">
        <v>36</v>
      </c>
    </row>
    <row r="24" spans="3:10" x14ac:dyDescent="0.2">
      <c r="C24" s="2" t="s">
        <v>3</v>
      </c>
      <c r="D24" s="3"/>
      <c r="E24" s="5">
        <v>0.05</v>
      </c>
      <c r="F24" s="4" cm="1">
        <f t="array" ref="F24">+_xlfn.SWITCH($B$3,1,$D$4,2,$D$5,3,$D$6)</f>
        <v>0.05</v>
      </c>
      <c r="G24" s="4" cm="1">
        <f t="array" ref="G24">+_xlfn.SWITCH($B$3,1,$D$4,2,$D$5,3,$D$6)</f>
        <v>0.05</v>
      </c>
      <c r="H24" s="4" cm="1">
        <f t="array" ref="H24">+_xlfn.SWITCH($B$3,1,$D$4,2,$D$5,3,$D$6)</f>
        <v>0.05</v>
      </c>
      <c r="I24" s="4" cm="1">
        <f t="array" ref="I24">+_xlfn.SWITCH($B$3,1,$D$4,2,$D$5,3,$D$6)</f>
        <v>0.05</v>
      </c>
      <c r="J24" s="4" cm="1">
        <f t="array" ref="J24">+_xlfn.SWITCH($B$3,1,$D$4,2,$D$5,3,$D$6)</f>
        <v>0.05</v>
      </c>
    </row>
    <row r="25" spans="3:10" x14ac:dyDescent="0.2">
      <c r="C25" s="2"/>
      <c r="D25" s="3"/>
      <c r="E25" s="3"/>
      <c r="F25" s="3"/>
      <c r="G25" s="3"/>
      <c r="H25" s="3"/>
      <c r="I25" s="3"/>
      <c r="J25" s="3"/>
    </row>
    <row r="26" spans="3:10" x14ac:dyDescent="0.2">
      <c r="C26" s="6" t="s">
        <v>9</v>
      </c>
      <c r="D26" s="3">
        <f>+D22+D14</f>
        <v>4500</v>
      </c>
      <c r="E26" s="3">
        <f t="shared" ref="E26:J26" si="4">+E22+E14</f>
        <v>4725</v>
      </c>
      <c r="F26" s="3">
        <f t="shared" si="4"/>
        <v>4961.25</v>
      </c>
      <c r="G26" s="3">
        <f t="shared" si="4"/>
        <v>5209.3125</v>
      </c>
      <c r="H26" s="3">
        <f t="shared" si="4"/>
        <v>5469.7781250000007</v>
      </c>
      <c r="I26" s="3">
        <f t="shared" si="4"/>
        <v>5743.2670312500004</v>
      </c>
      <c r="J26" s="3">
        <f t="shared" si="4"/>
        <v>6030.4303828125012</v>
      </c>
    </row>
    <row r="27" spans="3:10" x14ac:dyDescent="0.2">
      <c r="C27" s="1" t="s">
        <v>5</v>
      </c>
      <c r="D27" s="3">
        <f>+D22*D23</f>
        <v>108000</v>
      </c>
      <c r="E27" s="3">
        <f t="shared" ref="E27:J27" si="5">+E22*E23</f>
        <v>113400</v>
      </c>
      <c r="F27" s="3">
        <f t="shared" si="5"/>
        <v>119070</v>
      </c>
      <c r="G27" s="3">
        <f t="shared" si="5"/>
        <v>125023.5</v>
      </c>
      <c r="H27" s="3">
        <f t="shared" si="5"/>
        <v>131274.67500000002</v>
      </c>
      <c r="I27" s="3">
        <f t="shared" si="5"/>
        <v>137838.40875</v>
      </c>
      <c r="J27" s="3">
        <f t="shared" si="5"/>
        <v>144730.32918750003</v>
      </c>
    </row>
    <row r="28" spans="3:10" x14ac:dyDescent="0.2">
      <c r="C28" s="2" t="s">
        <v>3</v>
      </c>
      <c r="D28" s="3"/>
      <c r="E28" s="3"/>
      <c r="F28" s="3"/>
      <c r="G28" s="3"/>
      <c r="H28" s="3"/>
      <c r="I28" s="3"/>
      <c r="J28" s="3"/>
    </row>
    <row r="30" spans="3:10" x14ac:dyDescent="0.2">
      <c r="C30" s="1" t="s">
        <v>8</v>
      </c>
    </row>
    <row r="31" spans="3:10" x14ac:dyDescent="0.2">
      <c r="C31" t="s">
        <v>10</v>
      </c>
      <c r="D31" s="3"/>
      <c r="E31" s="3">
        <f>+D22+D14</f>
        <v>4500</v>
      </c>
      <c r="F31" s="3">
        <f t="shared" ref="F31:J31" si="6">+E22+E14</f>
        <v>4725</v>
      </c>
      <c r="G31" s="3">
        <f t="shared" si="6"/>
        <v>4961.25</v>
      </c>
      <c r="H31" s="3">
        <f t="shared" si="6"/>
        <v>5209.3125</v>
      </c>
      <c r="I31" s="3">
        <f t="shared" si="6"/>
        <v>5469.7781250000007</v>
      </c>
      <c r="J31" s="3">
        <f t="shared" si="6"/>
        <v>5743.2670312500004</v>
      </c>
    </row>
    <row r="32" spans="3:10" x14ac:dyDescent="0.2">
      <c r="C32" t="s">
        <v>12</v>
      </c>
      <c r="E32" s="3">
        <f>+E31*0.25</f>
        <v>1125</v>
      </c>
      <c r="F32" s="3">
        <f t="shared" ref="F32" si="7">+F31*0.25</f>
        <v>1181.25</v>
      </c>
      <c r="G32" s="3">
        <f t="shared" ref="G32" si="8">+G31*0.25</f>
        <v>1240.3125</v>
      </c>
      <c r="H32" s="3">
        <f t="shared" ref="H32" si="9">+H31*0.25</f>
        <v>1302.328125</v>
      </c>
      <c r="I32" s="3">
        <f t="shared" ref="I32" si="10">+I31*0.25</f>
        <v>1367.4445312500002</v>
      </c>
      <c r="J32" s="3">
        <f t="shared" ref="J32" si="11">+J31*0.25</f>
        <v>1435.8167578125001</v>
      </c>
    </row>
    <row r="33" spans="2:10" x14ac:dyDescent="0.2">
      <c r="C33" t="s">
        <v>11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</row>
    <row r="34" spans="2:10" x14ac:dyDescent="0.2">
      <c r="C34" t="s">
        <v>5</v>
      </c>
      <c r="E34" s="3">
        <f>+E32*E33</f>
        <v>5625</v>
      </c>
      <c r="F34" s="3">
        <f t="shared" ref="F34" si="12">+F32*F33</f>
        <v>5906.25</v>
      </c>
      <c r="G34" s="3">
        <f t="shared" ref="G34" si="13">+G32*G33</f>
        <v>6201.5625</v>
      </c>
      <c r="H34" s="3">
        <f t="shared" ref="H34" si="14">+H32*H33</f>
        <v>6511.640625</v>
      </c>
      <c r="I34" s="3">
        <f t="shared" ref="I34" si="15">+I32*I33</f>
        <v>6837.2226562500009</v>
      </c>
      <c r="J34" s="3">
        <f t="shared" ref="J34" si="16">+J32*J33</f>
        <v>7179.0837890625007</v>
      </c>
    </row>
    <row r="36" spans="2:10" x14ac:dyDescent="0.2">
      <c r="C36" s="1" t="s">
        <v>16</v>
      </c>
      <c r="D36" s="7">
        <f>+D27+D18</f>
        <v>132000</v>
      </c>
      <c r="E36" s="7">
        <f>+E18+E27+E34</f>
        <v>144225</v>
      </c>
      <c r="F36" s="7">
        <f t="shared" ref="F36:J36" si="17">+F18+F27+F34</f>
        <v>151436.25</v>
      </c>
      <c r="G36" s="7">
        <f t="shared" si="17"/>
        <v>159008.0625</v>
      </c>
      <c r="H36" s="7">
        <f t="shared" si="17"/>
        <v>166958.46562500001</v>
      </c>
      <c r="I36" s="7">
        <f t="shared" si="17"/>
        <v>175306.38890625001</v>
      </c>
      <c r="J36" s="7">
        <f t="shared" si="17"/>
        <v>184071.70835156256</v>
      </c>
    </row>
    <row r="39" spans="2:10" x14ac:dyDescent="0.2">
      <c r="B39" s="1" t="s">
        <v>17</v>
      </c>
    </row>
    <row r="40" spans="2:10" x14ac:dyDescent="0.2">
      <c r="D40" s="1">
        <v>2010</v>
      </c>
      <c r="E40" s="1">
        <f>+D40+1</f>
        <v>2011</v>
      </c>
      <c r="F40" s="1">
        <f t="shared" ref="F40:J40" si="18">+E40+1</f>
        <v>2012</v>
      </c>
      <c r="G40" s="1">
        <f t="shared" si="18"/>
        <v>2013</v>
      </c>
      <c r="H40" s="1">
        <f t="shared" si="18"/>
        <v>2014</v>
      </c>
      <c r="I40" s="1">
        <f t="shared" si="18"/>
        <v>2015</v>
      </c>
      <c r="J40" s="1">
        <f t="shared" si="18"/>
        <v>2016</v>
      </c>
    </row>
    <row r="41" spans="2:10" x14ac:dyDescent="0.2">
      <c r="B41" s="1" t="s">
        <v>18</v>
      </c>
    </row>
    <row r="42" spans="2:10" x14ac:dyDescent="0.2">
      <c r="C42" s="1" t="s">
        <v>30</v>
      </c>
      <c r="D42" s="7">
        <f>+D26</f>
        <v>4500</v>
      </c>
      <c r="E42" s="7">
        <f t="shared" ref="E42:J42" si="19">+E26</f>
        <v>4725</v>
      </c>
      <c r="F42" s="7">
        <f t="shared" si="19"/>
        <v>4961.25</v>
      </c>
      <c r="G42" s="7">
        <f t="shared" si="19"/>
        <v>5209.3125</v>
      </c>
      <c r="H42" s="7">
        <f t="shared" si="19"/>
        <v>5469.7781250000007</v>
      </c>
      <c r="I42" s="7">
        <f t="shared" si="19"/>
        <v>5743.2670312500004</v>
      </c>
      <c r="J42" s="7">
        <f t="shared" si="19"/>
        <v>6030.4303828125012</v>
      </c>
    </row>
    <row r="43" spans="2:10" x14ac:dyDescent="0.2">
      <c r="D43" s="3"/>
      <c r="E43" s="3"/>
      <c r="F43" s="3"/>
      <c r="G43" s="3"/>
      <c r="H43" s="3"/>
      <c r="I43" s="3"/>
      <c r="J43" s="3"/>
    </row>
    <row r="44" spans="2:10" x14ac:dyDescent="0.2">
      <c r="C44" t="s">
        <v>31</v>
      </c>
      <c r="D44" s="8">
        <v>1.5</v>
      </c>
      <c r="E44" s="8">
        <v>1.5</v>
      </c>
      <c r="F44" s="8">
        <v>1.5</v>
      </c>
      <c r="G44" s="8">
        <v>1.5</v>
      </c>
      <c r="H44" s="8">
        <v>1.5</v>
      </c>
      <c r="I44" s="8">
        <v>1.5</v>
      </c>
      <c r="J44" s="8">
        <v>1.5</v>
      </c>
    </row>
    <row r="45" spans="2:10" x14ac:dyDescent="0.2">
      <c r="C45" s="2" t="s">
        <v>32</v>
      </c>
      <c r="D45" s="8">
        <f>+D44*D42</f>
        <v>6750</v>
      </c>
      <c r="E45" s="8">
        <f t="shared" ref="E45:J45" si="20">+E44*E42</f>
        <v>7087.5</v>
      </c>
      <c r="F45" s="8">
        <f t="shared" si="20"/>
        <v>7441.875</v>
      </c>
      <c r="G45" s="8">
        <f t="shared" si="20"/>
        <v>7813.96875</v>
      </c>
      <c r="H45" s="8">
        <f t="shared" si="20"/>
        <v>8204.6671875000011</v>
      </c>
      <c r="I45" s="8">
        <f t="shared" si="20"/>
        <v>8614.9005468750001</v>
      </c>
      <c r="J45" s="8">
        <f t="shared" si="20"/>
        <v>9045.6455742187518</v>
      </c>
    </row>
    <row r="46" spans="2:10" x14ac:dyDescent="0.2">
      <c r="D46" s="8"/>
      <c r="E46" s="8"/>
      <c r="F46" s="8"/>
      <c r="G46" s="8"/>
      <c r="H46" s="8"/>
      <c r="I46" s="8"/>
      <c r="J46" s="8"/>
    </row>
    <row r="47" spans="2:10" x14ac:dyDescent="0.2">
      <c r="C47" t="s">
        <v>33</v>
      </c>
      <c r="D47" s="8">
        <v>3</v>
      </c>
      <c r="E47" s="8">
        <v>3</v>
      </c>
      <c r="F47" s="8">
        <v>3</v>
      </c>
      <c r="G47" s="8">
        <v>3</v>
      </c>
      <c r="H47" s="8">
        <v>3</v>
      </c>
      <c r="I47" s="8">
        <v>3</v>
      </c>
      <c r="J47" s="8">
        <v>3</v>
      </c>
    </row>
    <row r="48" spans="2:10" x14ac:dyDescent="0.2">
      <c r="C48" t="s">
        <v>34</v>
      </c>
      <c r="D48" s="8">
        <f>+D47*D42</f>
        <v>13500</v>
      </c>
      <c r="E48" s="8">
        <f t="shared" ref="E48:J48" si="21">+E47*E42</f>
        <v>14175</v>
      </c>
      <c r="F48" s="8">
        <f t="shared" si="21"/>
        <v>14883.75</v>
      </c>
      <c r="G48" s="8">
        <f t="shared" si="21"/>
        <v>15627.9375</v>
      </c>
      <c r="H48" s="8">
        <f t="shared" si="21"/>
        <v>16409.334375000002</v>
      </c>
      <c r="I48" s="8">
        <f t="shared" si="21"/>
        <v>17229.80109375</v>
      </c>
      <c r="J48" s="8">
        <f t="shared" si="21"/>
        <v>18091.291148437504</v>
      </c>
    </row>
    <row r="49" spans="2:11" x14ac:dyDescent="0.2">
      <c r="D49" s="8"/>
      <c r="E49" s="8"/>
      <c r="F49" s="8"/>
      <c r="G49" s="8"/>
      <c r="H49" s="8"/>
      <c r="I49" s="8"/>
      <c r="J49" s="8"/>
    </row>
    <row r="50" spans="2:11" x14ac:dyDescent="0.2">
      <c r="C50" t="s">
        <v>35</v>
      </c>
      <c r="D50" s="8">
        <v>3</v>
      </c>
      <c r="E50" s="8">
        <v>3</v>
      </c>
      <c r="F50" s="8">
        <v>3</v>
      </c>
      <c r="G50" s="8">
        <v>3</v>
      </c>
      <c r="H50" s="8">
        <v>3</v>
      </c>
      <c r="I50" s="8">
        <v>3</v>
      </c>
      <c r="J50" s="8">
        <v>3</v>
      </c>
    </row>
    <row r="51" spans="2:11" x14ac:dyDescent="0.2">
      <c r="C51" t="s">
        <v>36</v>
      </c>
      <c r="D51" s="8">
        <f>+D50*D42</f>
        <v>13500</v>
      </c>
      <c r="E51" s="8">
        <f t="shared" ref="E51:J51" si="22">+E50*E42</f>
        <v>14175</v>
      </c>
      <c r="F51" s="8">
        <f t="shared" si="22"/>
        <v>14883.75</v>
      </c>
      <c r="G51" s="8">
        <f t="shared" si="22"/>
        <v>15627.9375</v>
      </c>
      <c r="H51" s="8">
        <f t="shared" si="22"/>
        <v>16409.334375000002</v>
      </c>
      <c r="I51" s="8">
        <f t="shared" si="22"/>
        <v>17229.80109375</v>
      </c>
      <c r="J51" s="8">
        <f t="shared" si="22"/>
        <v>18091.291148437504</v>
      </c>
    </row>
    <row r="52" spans="2:11" x14ac:dyDescent="0.2">
      <c r="D52" s="8"/>
      <c r="E52" s="8"/>
      <c r="F52" s="8"/>
      <c r="G52" s="8"/>
      <c r="H52" s="8"/>
      <c r="I52" s="8"/>
      <c r="J52" s="8"/>
    </row>
    <row r="53" spans="2:11" x14ac:dyDescent="0.2">
      <c r="C53" t="s">
        <v>37</v>
      </c>
      <c r="D53" s="8">
        <v>4</v>
      </c>
      <c r="E53" s="8">
        <v>4</v>
      </c>
      <c r="F53" s="8">
        <v>4</v>
      </c>
      <c r="G53" s="8">
        <v>4</v>
      </c>
      <c r="H53" s="8">
        <v>4</v>
      </c>
      <c r="I53" s="8">
        <v>4</v>
      </c>
      <c r="J53" s="8">
        <v>4</v>
      </c>
    </row>
    <row r="54" spans="2:11" x14ac:dyDescent="0.2">
      <c r="C54" t="s">
        <v>38</v>
      </c>
      <c r="D54" s="8">
        <f>+D53*D42</f>
        <v>18000</v>
      </c>
      <c r="E54" s="8">
        <f t="shared" ref="E54:J54" si="23">+E53*E42</f>
        <v>18900</v>
      </c>
      <c r="F54" s="8">
        <f t="shared" si="23"/>
        <v>19845</v>
      </c>
      <c r="G54" s="8">
        <f t="shared" si="23"/>
        <v>20837.25</v>
      </c>
      <c r="H54" s="8">
        <f t="shared" si="23"/>
        <v>21879.112500000003</v>
      </c>
      <c r="I54" s="8">
        <f t="shared" si="23"/>
        <v>22973.068125000002</v>
      </c>
      <c r="J54" s="8">
        <f t="shared" si="23"/>
        <v>24121.721531250005</v>
      </c>
    </row>
    <row r="55" spans="2:11" x14ac:dyDescent="0.2">
      <c r="B55" s="4"/>
      <c r="D55" s="8"/>
      <c r="E55" s="8"/>
      <c r="F55" s="8"/>
      <c r="G55" s="8"/>
      <c r="H55" s="8"/>
      <c r="I55" s="8"/>
      <c r="J55" s="8"/>
    </row>
    <row r="56" spans="2:11" x14ac:dyDescent="0.2">
      <c r="B56" s="4"/>
      <c r="C56" t="s">
        <v>39</v>
      </c>
      <c r="D56" s="8">
        <v>0.15</v>
      </c>
      <c r="E56" s="8">
        <v>0.15</v>
      </c>
      <c r="F56" s="8">
        <v>0.15</v>
      </c>
      <c r="G56" s="8">
        <v>0.15</v>
      </c>
      <c r="H56" s="8">
        <v>0.15</v>
      </c>
      <c r="I56" s="8">
        <v>0.15</v>
      </c>
      <c r="J56" s="8">
        <v>0.15</v>
      </c>
    </row>
    <row r="57" spans="2:11" x14ac:dyDescent="0.2">
      <c r="C57" t="s">
        <v>40</v>
      </c>
      <c r="D57" s="8">
        <f>+D56*(D18+D27)</f>
        <v>19800</v>
      </c>
      <c r="E57" s="8">
        <f t="shared" ref="E57:J57" si="24">+E56*(E18+E27)</f>
        <v>20790</v>
      </c>
      <c r="F57" s="8">
        <f t="shared" si="24"/>
        <v>21829.5</v>
      </c>
      <c r="G57" s="8">
        <f t="shared" si="24"/>
        <v>22920.974999999999</v>
      </c>
      <c r="H57" s="8">
        <f t="shared" si="24"/>
        <v>24067.02375</v>
      </c>
      <c r="I57" s="8">
        <f t="shared" si="24"/>
        <v>25270.374937500001</v>
      </c>
      <c r="J57" s="8">
        <f t="shared" si="24"/>
        <v>26533.893684375005</v>
      </c>
      <c r="K57" s="9"/>
    </row>
    <row r="58" spans="2:11" x14ac:dyDescent="0.2">
      <c r="D58" s="9"/>
      <c r="E58" s="9"/>
      <c r="F58" s="9"/>
      <c r="G58" s="9"/>
      <c r="H58" s="9"/>
      <c r="I58" s="9"/>
      <c r="J58" s="9"/>
    </row>
    <row r="59" spans="2:11" x14ac:dyDescent="0.2">
      <c r="C59" t="s">
        <v>41</v>
      </c>
      <c r="D59" s="8">
        <v>0.15</v>
      </c>
      <c r="E59" s="8">
        <v>0.15</v>
      </c>
      <c r="F59" s="8">
        <v>0.15</v>
      </c>
      <c r="G59" s="8">
        <v>0.15</v>
      </c>
      <c r="H59" s="8">
        <v>0.15</v>
      </c>
      <c r="I59" s="8">
        <v>0.15</v>
      </c>
      <c r="J59" s="8">
        <v>0.15</v>
      </c>
    </row>
    <row r="60" spans="2:11" x14ac:dyDescent="0.2">
      <c r="C60" t="s">
        <v>42</v>
      </c>
      <c r="D60" s="8">
        <f>+D59*D36</f>
        <v>19800</v>
      </c>
      <c r="E60" s="8">
        <f t="shared" ref="E60:J60" si="25">+E59*E36</f>
        <v>21633.75</v>
      </c>
      <c r="F60" s="8">
        <f t="shared" si="25"/>
        <v>22715.4375</v>
      </c>
      <c r="G60" s="8">
        <f t="shared" si="25"/>
        <v>23851.209374999999</v>
      </c>
      <c r="H60" s="8">
        <f t="shared" si="25"/>
        <v>25043.76984375</v>
      </c>
      <c r="I60" s="8">
        <f t="shared" si="25"/>
        <v>26295.958335937499</v>
      </c>
      <c r="J60" s="8">
        <f t="shared" si="25"/>
        <v>27610.756252734383</v>
      </c>
    </row>
    <row r="61" spans="2:11" x14ac:dyDescent="0.2">
      <c r="D61" s="9"/>
      <c r="E61" s="9"/>
      <c r="F61" s="9"/>
      <c r="G61" s="9"/>
      <c r="H61" s="9"/>
      <c r="I61" s="9"/>
      <c r="J61" s="9"/>
    </row>
    <row r="62" spans="2:11" x14ac:dyDescent="0.2">
      <c r="C62" s="1" t="s">
        <v>29</v>
      </c>
      <c r="D62" s="7">
        <f>+D60+D57+D54+D51+D48+D45</f>
        <v>91350</v>
      </c>
      <c r="E62" s="7">
        <f t="shared" ref="E62:J62" si="26">+E60+E57+E54+E51+E48+E45</f>
        <v>96761.25</v>
      </c>
      <c r="F62" s="7">
        <f t="shared" si="26"/>
        <v>101599.3125</v>
      </c>
      <c r="G62" s="7">
        <f t="shared" si="26"/>
        <v>106679.278125</v>
      </c>
      <c r="H62" s="7">
        <f t="shared" si="26"/>
        <v>112013.24203125002</v>
      </c>
      <c r="I62" s="7">
        <f t="shared" si="26"/>
        <v>117613.90413281249</v>
      </c>
      <c r="J62" s="7">
        <f t="shared" si="26"/>
        <v>123494.59933945317</v>
      </c>
    </row>
    <row r="63" spans="2:11" x14ac:dyDescent="0.2">
      <c r="D63" s="9"/>
      <c r="E63" s="9"/>
      <c r="F63" s="9"/>
      <c r="G63" s="9"/>
      <c r="H63" s="9"/>
      <c r="I63" s="9"/>
      <c r="J63" s="9"/>
    </row>
    <row r="64" spans="2:11" x14ac:dyDescent="0.2">
      <c r="D64" s="8"/>
      <c r="E64" s="8"/>
      <c r="F64" s="8"/>
      <c r="G64" s="8"/>
      <c r="H64" s="8"/>
      <c r="I64" s="8"/>
      <c r="J64" s="8"/>
    </row>
    <row r="65" spans="2:10" x14ac:dyDescent="0.2">
      <c r="B65" s="1" t="s">
        <v>19</v>
      </c>
    </row>
    <row r="66" spans="2:10" x14ac:dyDescent="0.2">
      <c r="C66" t="s">
        <v>20</v>
      </c>
      <c r="D66" s="3">
        <v>350</v>
      </c>
      <c r="E66" s="3">
        <v>350</v>
      </c>
      <c r="F66" s="3">
        <v>350</v>
      </c>
      <c r="G66" s="3">
        <v>350</v>
      </c>
      <c r="H66" s="3">
        <v>350</v>
      </c>
      <c r="I66" s="3">
        <v>350</v>
      </c>
      <c r="J66" s="3">
        <v>350</v>
      </c>
    </row>
    <row r="67" spans="2:10" x14ac:dyDescent="0.2">
      <c r="C67" t="s">
        <v>21</v>
      </c>
      <c r="D67" s="3">
        <v>1500</v>
      </c>
      <c r="E67" s="3">
        <v>1500</v>
      </c>
      <c r="F67" s="3">
        <v>1500</v>
      </c>
      <c r="G67" s="3">
        <v>1500</v>
      </c>
      <c r="H67" s="3">
        <v>1500</v>
      </c>
      <c r="I67" s="3">
        <v>1500</v>
      </c>
      <c r="J67" s="3">
        <v>1500</v>
      </c>
    </row>
    <row r="68" spans="2:10" x14ac:dyDescent="0.2">
      <c r="C68" t="s">
        <v>22</v>
      </c>
      <c r="D68" s="3">
        <v>1750</v>
      </c>
      <c r="E68" s="3">
        <v>1750</v>
      </c>
      <c r="F68" s="3">
        <v>1750</v>
      </c>
      <c r="G68" s="3">
        <v>1750</v>
      </c>
      <c r="H68" s="3">
        <v>1750</v>
      </c>
      <c r="I68" s="3">
        <v>1750</v>
      </c>
      <c r="J68" s="3">
        <v>1750</v>
      </c>
    </row>
    <row r="69" spans="2:10" x14ac:dyDescent="0.2">
      <c r="D69" s="3"/>
      <c r="E69" s="3"/>
      <c r="F69" s="3"/>
      <c r="G69" s="3"/>
      <c r="H69" s="3"/>
      <c r="I69" s="3"/>
      <c r="J69" s="3"/>
    </row>
    <row r="70" spans="2:10" x14ac:dyDescent="0.2">
      <c r="C70" t="s">
        <v>46</v>
      </c>
      <c r="D70" s="4">
        <v>0.05</v>
      </c>
      <c r="E70" s="4">
        <v>0.05</v>
      </c>
      <c r="F70" s="4">
        <v>0.05</v>
      </c>
      <c r="G70" s="4">
        <v>0.05</v>
      </c>
      <c r="H70" s="4">
        <v>0.05</v>
      </c>
      <c r="I70" s="4">
        <v>0.05</v>
      </c>
      <c r="J70" s="4">
        <v>0.05</v>
      </c>
    </row>
    <row r="71" spans="2:10" x14ac:dyDescent="0.2">
      <c r="C71" t="s">
        <v>45</v>
      </c>
      <c r="D71" s="3">
        <f>+D70*D36</f>
        <v>6600</v>
      </c>
      <c r="E71" s="3">
        <f t="shared" ref="E71:J71" si="27">+E70*E36</f>
        <v>7211.25</v>
      </c>
      <c r="F71" s="3">
        <f t="shared" si="27"/>
        <v>7571.8125</v>
      </c>
      <c r="G71" s="3">
        <f t="shared" si="27"/>
        <v>7950.4031250000007</v>
      </c>
      <c r="H71" s="3">
        <f t="shared" si="27"/>
        <v>8347.9232812500013</v>
      </c>
      <c r="I71" s="3">
        <f t="shared" si="27"/>
        <v>8765.3194453125016</v>
      </c>
      <c r="J71" s="3">
        <f t="shared" si="27"/>
        <v>9203.5854175781278</v>
      </c>
    </row>
    <row r="72" spans="2:10" x14ac:dyDescent="0.2">
      <c r="D72" s="3"/>
      <c r="E72" s="3"/>
      <c r="F72" s="3"/>
      <c r="G72" s="3"/>
      <c r="H72" s="3"/>
      <c r="I72" s="3"/>
      <c r="J72" s="3"/>
    </row>
    <row r="73" spans="2:10" x14ac:dyDescent="0.2">
      <c r="C73" t="s">
        <v>23</v>
      </c>
      <c r="D73" s="3">
        <v>750</v>
      </c>
      <c r="E73" s="3">
        <v>750</v>
      </c>
      <c r="F73" s="3">
        <v>750</v>
      </c>
      <c r="G73" s="3">
        <v>750</v>
      </c>
      <c r="H73" s="3">
        <v>750</v>
      </c>
      <c r="I73" s="3">
        <v>750</v>
      </c>
      <c r="J73" s="3">
        <v>750</v>
      </c>
    </row>
    <row r="74" spans="2:10" x14ac:dyDescent="0.2">
      <c r="D74" s="3"/>
      <c r="E74" s="3"/>
      <c r="F74" s="3"/>
      <c r="G74" s="3"/>
      <c r="H74" s="3"/>
      <c r="I74" s="3"/>
      <c r="J74" s="3"/>
    </row>
    <row r="75" spans="2:10" x14ac:dyDescent="0.2">
      <c r="C75" t="s">
        <v>27</v>
      </c>
      <c r="D75" s="3">
        <v>1250</v>
      </c>
      <c r="E75" s="3">
        <v>1250</v>
      </c>
      <c r="F75" s="3">
        <v>1250</v>
      </c>
      <c r="G75" s="3">
        <v>1250</v>
      </c>
      <c r="H75" s="3">
        <v>1250</v>
      </c>
      <c r="I75" s="3">
        <v>1250</v>
      </c>
      <c r="J75" s="3">
        <v>1250</v>
      </c>
    </row>
    <row r="76" spans="2:10" x14ac:dyDescent="0.2">
      <c r="C76" s="2" t="s">
        <v>26</v>
      </c>
      <c r="D76" s="4">
        <v>0.03</v>
      </c>
      <c r="E76" s="4">
        <v>0.03</v>
      </c>
      <c r="F76" s="4">
        <v>0.03</v>
      </c>
      <c r="G76" s="4">
        <v>0.03</v>
      </c>
      <c r="H76" s="4">
        <v>0.03</v>
      </c>
      <c r="I76" s="4">
        <v>0.03</v>
      </c>
      <c r="J76" s="4">
        <v>0.03</v>
      </c>
    </row>
    <row r="77" spans="2:10" x14ac:dyDescent="0.2">
      <c r="C77" s="2" t="s">
        <v>47</v>
      </c>
      <c r="D77" s="3">
        <f>+D76*D36</f>
        <v>3960</v>
      </c>
      <c r="E77" s="3">
        <f t="shared" ref="E77:J77" si="28">+E76*E36</f>
        <v>4326.75</v>
      </c>
      <c r="F77" s="3">
        <f t="shared" si="28"/>
        <v>4543.0874999999996</v>
      </c>
      <c r="G77" s="3">
        <f t="shared" si="28"/>
        <v>4770.2418749999997</v>
      </c>
      <c r="H77" s="3">
        <f t="shared" si="28"/>
        <v>5008.7539687500002</v>
      </c>
      <c r="I77" s="3">
        <f t="shared" si="28"/>
        <v>5259.1916671874997</v>
      </c>
      <c r="J77" s="3">
        <f t="shared" si="28"/>
        <v>5522.1512505468763</v>
      </c>
    </row>
    <row r="78" spans="2:10" x14ac:dyDescent="0.2">
      <c r="C78" s="2" t="s">
        <v>28</v>
      </c>
      <c r="D78" s="3">
        <f>+D77+D75</f>
        <v>5210</v>
      </c>
      <c r="E78" s="3">
        <f t="shared" ref="E78:J78" si="29">+E77+E75</f>
        <v>5576.75</v>
      </c>
      <c r="F78" s="3">
        <f t="shared" si="29"/>
        <v>5793.0874999999996</v>
      </c>
      <c r="G78" s="3">
        <f t="shared" si="29"/>
        <v>6020.2418749999997</v>
      </c>
      <c r="H78" s="3">
        <f t="shared" si="29"/>
        <v>6258.7539687500002</v>
      </c>
      <c r="I78" s="3">
        <f t="shared" si="29"/>
        <v>6509.1916671874997</v>
      </c>
      <c r="J78" s="3">
        <f t="shared" si="29"/>
        <v>6772.1512505468763</v>
      </c>
    </row>
    <row r="79" spans="2:10" x14ac:dyDescent="0.2">
      <c r="C79" s="2"/>
      <c r="D79" s="3"/>
      <c r="E79" s="3"/>
      <c r="F79" s="3"/>
      <c r="G79" s="3"/>
      <c r="H79" s="3"/>
      <c r="I79" s="3"/>
      <c r="J79" s="3"/>
    </row>
    <row r="80" spans="2:10" x14ac:dyDescent="0.2">
      <c r="B80" s="4"/>
      <c r="C80" t="s">
        <v>24</v>
      </c>
    </row>
    <row r="81" spans="2:10" x14ac:dyDescent="0.2">
      <c r="B81" s="4"/>
      <c r="C81" t="s">
        <v>43</v>
      </c>
      <c r="D81" s="4">
        <v>0.35</v>
      </c>
      <c r="E81" s="4">
        <v>0.35</v>
      </c>
      <c r="F81" s="4">
        <v>0.35</v>
      </c>
      <c r="G81" s="4">
        <v>0.35</v>
      </c>
      <c r="H81" s="4">
        <v>0.35</v>
      </c>
      <c r="I81" s="4">
        <v>0.35</v>
      </c>
      <c r="J81" s="4">
        <v>0.35</v>
      </c>
    </row>
    <row r="82" spans="2:10" x14ac:dyDescent="0.2">
      <c r="B82" s="4"/>
    </row>
    <row r="83" spans="2:10" x14ac:dyDescent="0.2">
      <c r="C83" t="s">
        <v>25</v>
      </c>
    </row>
    <row r="84" spans="2:10" x14ac:dyDescent="0.2">
      <c r="C84" t="s">
        <v>44</v>
      </c>
      <c r="D84" s="4">
        <v>0.05</v>
      </c>
      <c r="E84" s="4">
        <v>0.05</v>
      </c>
      <c r="F84" s="4">
        <v>0.05</v>
      </c>
      <c r="G84" s="4">
        <v>0.05</v>
      </c>
      <c r="H84" s="4">
        <v>0.05</v>
      </c>
      <c r="I84" s="4">
        <v>0.05</v>
      </c>
      <c r="J84" s="4">
        <v>0.05</v>
      </c>
    </row>
    <row r="86" spans="2:10" x14ac:dyDescent="0.2">
      <c r="C86" s="1" t="s">
        <v>48</v>
      </c>
      <c r="D86" s="7">
        <f>+D83+D80+D78+D73+D71+SUM(D66:D68)</f>
        <v>16160</v>
      </c>
      <c r="E86" s="7">
        <f t="shared" ref="E86:J86" si="30">+E83+E80+E78+E73+E71+SUM(E66:E68)</f>
        <v>17138</v>
      </c>
      <c r="F86" s="7">
        <f t="shared" si="30"/>
        <v>17714.900000000001</v>
      </c>
      <c r="G86" s="7">
        <f t="shared" si="30"/>
        <v>18320.645</v>
      </c>
      <c r="H86" s="7">
        <f t="shared" si="30"/>
        <v>18956.677250000001</v>
      </c>
      <c r="I86" s="7">
        <f t="shared" si="30"/>
        <v>19624.5111125</v>
      </c>
      <c r="J86" s="7">
        <f t="shared" si="30"/>
        <v>20325.736668125006</v>
      </c>
    </row>
    <row r="89" spans="2:10" x14ac:dyDescent="0.2">
      <c r="B89" s="1" t="s">
        <v>49</v>
      </c>
    </row>
    <row r="90" spans="2:10" x14ac:dyDescent="0.2">
      <c r="C90" t="s">
        <v>5</v>
      </c>
      <c r="D90" s="3">
        <f>+D36</f>
        <v>132000</v>
      </c>
      <c r="E90" s="3">
        <f t="shared" ref="E90:J90" si="31">+E36</f>
        <v>144225</v>
      </c>
      <c r="F90" s="3">
        <f t="shared" si="31"/>
        <v>151436.25</v>
      </c>
      <c r="G90" s="3">
        <f t="shared" si="31"/>
        <v>159008.0625</v>
      </c>
      <c r="H90" s="3">
        <f t="shared" si="31"/>
        <v>166958.46562500001</v>
      </c>
      <c r="I90" s="3">
        <f t="shared" si="31"/>
        <v>175306.38890625001</v>
      </c>
      <c r="J90" s="3">
        <f t="shared" si="31"/>
        <v>184071.70835156256</v>
      </c>
    </row>
    <row r="91" spans="2:10" x14ac:dyDescent="0.2">
      <c r="C91" s="2" t="s">
        <v>50</v>
      </c>
      <c r="E91" s="4">
        <f>+E90/D90-1</f>
        <v>9.2613636363636287E-2</v>
      </c>
      <c r="F91" s="4">
        <f t="shared" ref="F91:J91" si="32">+F90/E90-1</f>
        <v>5.0000000000000044E-2</v>
      </c>
      <c r="G91" s="4">
        <f t="shared" si="32"/>
        <v>5.0000000000000044E-2</v>
      </c>
      <c r="H91" s="4">
        <f t="shared" si="32"/>
        <v>5.0000000000000044E-2</v>
      </c>
      <c r="I91" s="4">
        <f t="shared" si="32"/>
        <v>5.0000000000000044E-2</v>
      </c>
      <c r="J91" s="4">
        <f t="shared" si="32"/>
        <v>5.0000000000000266E-2</v>
      </c>
    </row>
    <row r="92" spans="2:10" x14ac:dyDescent="0.2">
      <c r="C92" s="2"/>
      <c r="E92" s="4"/>
      <c r="F92" s="4"/>
      <c r="G92" s="4"/>
      <c r="H92" s="4"/>
      <c r="I92" s="4"/>
      <c r="J92" s="4"/>
    </row>
    <row r="93" spans="2:10" x14ac:dyDescent="0.2">
      <c r="C93" t="s">
        <v>18</v>
      </c>
      <c r="D93" s="3">
        <f>+D62</f>
        <v>91350</v>
      </c>
      <c r="E93" s="3">
        <f t="shared" ref="E93:J93" si="33">+E62</f>
        <v>96761.25</v>
      </c>
      <c r="F93" s="3">
        <f t="shared" si="33"/>
        <v>101599.3125</v>
      </c>
      <c r="G93" s="3">
        <f t="shared" si="33"/>
        <v>106679.278125</v>
      </c>
      <c r="H93" s="3">
        <f t="shared" si="33"/>
        <v>112013.24203125002</v>
      </c>
      <c r="I93" s="3">
        <f t="shared" si="33"/>
        <v>117613.90413281249</v>
      </c>
      <c r="J93" s="3">
        <f t="shared" si="33"/>
        <v>123494.59933945317</v>
      </c>
    </row>
    <row r="94" spans="2:10" x14ac:dyDescent="0.2">
      <c r="C94" t="s">
        <v>51</v>
      </c>
      <c r="D94" s="3">
        <f>+D90-D93</f>
        <v>40650</v>
      </c>
      <c r="E94" s="3">
        <f t="shared" ref="E94:J94" si="34">+E90-E93</f>
        <v>47463.75</v>
      </c>
      <c r="F94" s="3">
        <f t="shared" si="34"/>
        <v>49836.9375</v>
      </c>
      <c r="G94" s="3">
        <f t="shared" si="34"/>
        <v>52328.784375000003</v>
      </c>
      <c r="H94" s="3">
        <f t="shared" si="34"/>
        <v>54945.223593749994</v>
      </c>
      <c r="I94" s="3">
        <f t="shared" si="34"/>
        <v>57692.484773437522</v>
      </c>
      <c r="J94" s="3">
        <f t="shared" si="34"/>
        <v>60577.109012109388</v>
      </c>
    </row>
    <row r="95" spans="2:10" x14ac:dyDescent="0.2">
      <c r="C95" s="2" t="s">
        <v>53</v>
      </c>
      <c r="D95" s="4">
        <f>+D94/D90</f>
        <v>0.30795454545454548</v>
      </c>
      <c r="E95" s="4">
        <f t="shared" ref="E95:J95" si="35">+E94/E90</f>
        <v>0.32909516380655224</v>
      </c>
      <c r="F95" s="4">
        <f t="shared" si="35"/>
        <v>0.32909516380655224</v>
      </c>
      <c r="G95" s="4">
        <f t="shared" si="35"/>
        <v>0.32909516380655229</v>
      </c>
      <c r="H95" s="4">
        <f t="shared" si="35"/>
        <v>0.32909516380655218</v>
      </c>
      <c r="I95" s="4">
        <f t="shared" si="35"/>
        <v>0.32909516380655235</v>
      </c>
      <c r="J95" s="4">
        <f t="shared" si="35"/>
        <v>0.32909516380655224</v>
      </c>
    </row>
    <row r="96" spans="2:10" x14ac:dyDescent="0.2">
      <c r="C96" s="2"/>
      <c r="D96" s="4"/>
      <c r="E96" s="4"/>
      <c r="F96" s="4"/>
      <c r="G96" s="4"/>
      <c r="H96" s="4"/>
      <c r="I96" s="4"/>
      <c r="J96" s="4"/>
    </row>
    <row r="97" spans="2:10" x14ac:dyDescent="0.2">
      <c r="C97" t="s">
        <v>19</v>
      </c>
      <c r="D97" s="3">
        <f>+D86</f>
        <v>16160</v>
      </c>
      <c r="E97" s="3">
        <f t="shared" ref="E97:J97" si="36">+E86</f>
        <v>17138</v>
      </c>
      <c r="F97" s="3">
        <f t="shared" si="36"/>
        <v>17714.900000000001</v>
      </c>
      <c r="G97" s="3">
        <f t="shared" si="36"/>
        <v>18320.645</v>
      </c>
      <c r="H97" s="3">
        <f t="shared" si="36"/>
        <v>18956.677250000001</v>
      </c>
      <c r="I97" s="3">
        <f t="shared" si="36"/>
        <v>19624.5111125</v>
      </c>
      <c r="J97" s="3">
        <f t="shared" si="36"/>
        <v>20325.736668125006</v>
      </c>
    </row>
    <row r="98" spans="2:10" x14ac:dyDescent="0.2">
      <c r="C98" t="s">
        <v>52</v>
      </c>
      <c r="D98" s="3">
        <f>+D94-D97</f>
        <v>24490</v>
      </c>
      <c r="E98" s="3">
        <f t="shared" ref="E98:J98" si="37">+E94-E97</f>
        <v>30325.75</v>
      </c>
      <c r="F98" s="3">
        <f t="shared" si="37"/>
        <v>32122.037499999999</v>
      </c>
      <c r="G98" s="3">
        <f t="shared" si="37"/>
        <v>34008.139374999999</v>
      </c>
      <c r="H98" s="3">
        <f t="shared" si="37"/>
        <v>35988.546343749993</v>
      </c>
      <c r="I98" s="3">
        <f t="shared" si="37"/>
        <v>38067.973660937525</v>
      </c>
      <c r="J98" s="3">
        <f t="shared" si="37"/>
        <v>40251.372343984382</v>
      </c>
    </row>
    <row r="99" spans="2:10" x14ac:dyDescent="0.2">
      <c r="C99" s="2" t="s">
        <v>53</v>
      </c>
      <c r="D99" s="4">
        <f>+D98/D90</f>
        <v>0.18553030303030302</v>
      </c>
      <c r="E99" s="4">
        <f t="shared" ref="E99:J99" si="38">+E98/E90</f>
        <v>0.21026694401109378</v>
      </c>
      <c r="F99" s="4">
        <f t="shared" si="38"/>
        <v>0.21211590685849654</v>
      </c>
      <c r="G99" s="4">
        <f t="shared" si="38"/>
        <v>0.21387682385602302</v>
      </c>
      <c r="H99" s="4">
        <f t="shared" si="38"/>
        <v>0.21555388766319103</v>
      </c>
      <c r="I99" s="4">
        <f t="shared" si="38"/>
        <v>0.21715109128906557</v>
      </c>
      <c r="J99" s="4">
        <f t="shared" si="38"/>
        <v>0.21867223759942192</v>
      </c>
    </row>
    <row r="103" spans="2:10" x14ac:dyDescent="0.2">
      <c r="B103" s="1"/>
    </row>
    <row r="104" spans="2:10" x14ac:dyDescent="0.2">
      <c r="C104" s="1"/>
    </row>
    <row r="105" spans="2:10" x14ac:dyDescent="0.2">
      <c r="D105" s="3"/>
    </row>
    <row r="107" spans="2:10" x14ac:dyDescent="0.2">
      <c r="D107" s="3"/>
    </row>
    <row r="110" spans="2:10" x14ac:dyDescent="0.2">
      <c r="D110" s="3"/>
    </row>
    <row r="112" spans="2:10" x14ac:dyDescent="0.2">
      <c r="C112" s="1"/>
    </row>
    <row r="117" spans="4:4" x14ac:dyDescent="0.2">
      <c r="D117" s="4"/>
    </row>
    <row r="118" spans="4:4" x14ac:dyDescent="0.2">
      <c r="D118" s="4"/>
    </row>
  </sheetData>
  <dataValidations count="1">
    <dataValidation type="list" allowBlank="1" showInputMessage="1" showErrorMessage="1" sqref="B3" xr:uid="{2F660AFD-89B3-4C1A-BCCC-1D7D95C1A869}">
      <formula1>$B$4:$B$6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BBD4-DD5C-4FC6-AB2F-0C566B92C7CA}">
  <dimension ref="B2:N24"/>
  <sheetViews>
    <sheetView topLeftCell="B1" workbookViewId="0">
      <selection activeCell="J24" sqref="J24"/>
    </sheetView>
  </sheetViews>
  <sheetFormatPr defaultRowHeight="11.25" x14ac:dyDescent="0.2"/>
  <cols>
    <col min="2" max="2" width="12" bestFit="1" customWidth="1"/>
    <col min="3" max="3" width="28.83203125" bestFit="1" customWidth="1"/>
    <col min="8" max="8" width="16.5" bestFit="1" customWidth="1"/>
    <col min="13" max="13" width="12" bestFit="1" customWidth="1"/>
  </cols>
  <sheetData>
    <row r="2" spans="2:14" x14ac:dyDescent="0.2">
      <c r="B2" s="1" t="s">
        <v>54</v>
      </c>
      <c r="J2" s="45" t="s">
        <v>88</v>
      </c>
      <c r="K2" s="45"/>
      <c r="L2" s="45"/>
    </row>
    <row r="3" spans="2:14" x14ac:dyDescent="0.2">
      <c r="C3" s="1" t="s">
        <v>61</v>
      </c>
      <c r="H3" s="10" t="s">
        <v>69</v>
      </c>
      <c r="I3" s="11" t="s">
        <v>82</v>
      </c>
      <c r="J3" s="11" t="s">
        <v>83</v>
      </c>
      <c r="K3" s="11" t="s">
        <v>84</v>
      </c>
      <c r="L3" s="11" t="s">
        <v>85</v>
      </c>
      <c r="M3" s="11" t="s">
        <v>86</v>
      </c>
      <c r="N3" s="11" t="s">
        <v>87</v>
      </c>
    </row>
    <row r="4" spans="2:14" x14ac:dyDescent="0.2">
      <c r="C4" t="s">
        <v>55</v>
      </c>
      <c r="D4" s="3">
        <v>30325.75</v>
      </c>
      <c r="H4" t="s">
        <v>70</v>
      </c>
      <c r="I4" s="3">
        <v>0</v>
      </c>
      <c r="J4" s="16">
        <f>+I4/$I$9</f>
        <v>0</v>
      </c>
    </row>
    <row r="5" spans="2:14" x14ac:dyDescent="0.2">
      <c r="C5" t="s">
        <v>56</v>
      </c>
      <c r="D5" s="3">
        <v>5</v>
      </c>
      <c r="H5" t="s">
        <v>71</v>
      </c>
      <c r="I5" s="3">
        <f>+K5*'Rev.Costs'!E98</f>
        <v>60651.5</v>
      </c>
      <c r="J5" s="16">
        <f t="shared" ref="J5:J9" si="0">+I5/$I$9</f>
        <v>0.38100032900119507</v>
      </c>
      <c r="K5">
        <v>2</v>
      </c>
      <c r="L5">
        <v>5</v>
      </c>
      <c r="M5" s="4">
        <v>0.01</v>
      </c>
      <c r="N5" s="3">
        <f>+M5*I5</f>
        <v>606.51499999999999</v>
      </c>
    </row>
    <row r="6" spans="2:14" x14ac:dyDescent="0.2">
      <c r="C6" t="s">
        <v>57</v>
      </c>
      <c r="D6" s="3">
        <v>151628.75</v>
      </c>
      <c r="H6" t="s">
        <v>72</v>
      </c>
      <c r="I6" s="3">
        <f>+K6*'Rev.Costs'!E98</f>
        <v>45488.625</v>
      </c>
      <c r="J6" s="16">
        <f t="shared" si="0"/>
        <v>0.28575024675089628</v>
      </c>
      <c r="K6">
        <v>1.5</v>
      </c>
      <c r="L6">
        <v>5</v>
      </c>
      <c r="M6" s="4">
        <v>0.01</v>
      </c>
      <c r="N6" s="3">
        <f>+M6*I6</f>
        <v>454.88625000000002</v>
      </c>
    </row>
    <row r="7" spans="2:14" x14ac:dyDescent="0.2">
      <c r="C7" t="s">
        <v>58</v>
      </c>
      <c r="D7" s="3">
        <v>0</v>
      </c>
      <c r="H7" t="s">
        <v>73</v>
      </c>
      <c r="I7" s="3">
        <f>+(D9*0.1)*0.5</f>
        <v>7581.4375</v>
      </c>
      <c r="J7" s="16">
        <f t="shared" si="0"/>
        <v>4.7625041125149384E-2</v>
      </c>
      <c r="K7">
        <v>0.25</v>
      </c>
      <c r="N7" s="3"/>
    </row>
    <row r="8" spans="2:14" ht="12" thickBot="1" x14ac:dyDescent="0.25">
      <c r="C8" t="s">
        <v>59</v>
      </c>
      <c r="D8" s="3">
        <v>0</v>
      </c>
      <c r="H8" t="s">
        <v>74</v>
      </c>
      <c r="I8" s="3">
        <f>+D9+I13+I14+I15-I5-I6-I7</f>
        <v>45468.588749999995</v>
      </c>
      <c r="J8" s="17">
        <f t="shared" si="0"/>
        <v>0.28562438312275928</v>
      </c>
      <c r="K8" s="13">
        <v>1.5</v>
      </c>
      <c r="N8" s="12"/>
    </row>
    <row r="9" spans="2:14" x14ac:dyDescent="0.2">
      <c r="C9" t="s">
        <v>60</v>
      </c>
      <c r="D9" s="3">
        <v>151628.75</v>
      </c>
      <c r="H9" s="1" t="s">
        <v>75</v>
      </c>
      <c r="I9" s="7">
        <f>SUM(I5:I8)</f>
        <v>159190.15125</v>
      </c>
      <c r="J9" s="5">
        <f t="shared" si="0"/>
        <v>1</v>
      </c>
      <c r="K9" s="1">
        <f>SUM(K5:K8)</f>
        <v>5.25</v>
      </c>
      <c r="N9" s="7">
        <f>+N5+N6</f>
        <v>1061.4012499999999</v>
      </c>
    </row>
    <row r="10" spans="2:14" x14ac:dyDescent="0.2">
      <c r="D10" s="3"/>
      <c r="H10" s="10" t="s">
        <v>76</v>
      </c>
      <c r="I10" s="3"/>
    </row>
    <row r="11" spans="2:14" x14ac:dyDescent="0.2">
      <c r="C11" s="1" t="s">
        <v>62</v>
      </c>
      <c r="D11" s="3"/>
      <c r="H11" t="s">
        <v>77</v>
      </c>
      <c r="I11" s="3">
        <v>144047</v>
      </c>
      <c r="J11" s="16">
        <f>+I11/$I$16</f>
        <v>0.90487559464281453</v>
      </c>
    </row>
    <row r="12" spans="2:14" x14ac:dyDescent="0.2">
      <c r="C12" t="s">
        <v>63</v>
      </c>
      <c r="D12" s="3">
        <v>3</v>
      </c>
      <c r="H12" t="s">
        <v>73</v>
      </c>
      <c r="I12" s="3">
        <f>+I7</f>
        <v>7581.4375</v>
      </c>
      <c r="J12" s="16">
        <f t="shared" ref="J12:J15" si="1">+I12/$I$16</f>
        <v>4.76251346162005E-2</v>
      </c>
    </row>
    <row r="13" spans="2:14" x14ac:dyDescent="0.2">
      <c r="C13" t="s">
        <v>64</v>
      </c>
      <c r="D13" s="3">
        <v>90977</v>
      </c>
      <c r="H13" t="s">
        <v>78</v>
      </c>
      <c r="I13" s="3">
        <v>5000</v>
      </c>
      <c r="J13" s="16">
        <f t="shared" si="1"/>
        <v>3.1409039919013046E-2</v>
      </c>
    </row>
    <row r="14" spans="2:14" x14ac:dyDescent="0.2">
      <c r="C14" t="s">
        <v>65</v>
      </c>
      <c r="D14" s="3">
        <v>5000</v>
      </c>
      <c r="H14" t="s">
        <v>79</v>
      </c>
      <c r="I14" s="3">
        <v>1500</v>
      </c>
      <c r="J14" s="16">
        <f t="shared" si="1"/>
        <v>9.4227119757039138E-3</v>
      </c>
    </row>
    <row r="15" spans="2:14" ht="12" thickBot="1" x14ac:dyDescent="0.25">
      <c r="C15" t="s">
        <v>66</v>
      </c>
      <c r="D15" s="3">
        <v>1500</v>
      </c>
      <c r="H15" t="s">
        <v>80</v>
      </c>
      <c r="I15" s="12">
        <f>0.01*(+I5+I6)</f>
        <v>1061.4012500000001</v>
      </c>
      <c r="J15" s="16">
        <f t="shared" si="1"/>
        <v>6.6675188462680703E-3</v>
      </c>
    </row>
    <row r="16" spans="2:14" x14ac:dyDescent="0.2">
      <c r="C16" t="s">
        <v>67</v>
      </c>
      <c r="D16" s="4">
        <v>0.1</v>
      </c>
      <c r="H16" s="1" t="s">
        <v>81</v>
      </c>
      <c r="I16" s="7">
        <f>+SUM(I11:I15)</f>
        <v>159189.83875</v>
      </c>
      <c r="J16" s="1"/>
    </row>
    <row r="17" spans="3:14" x14ac:dyDescent="0.2">
      <c r="C17" t="s">
        <v>68</v>
      </c>
      <c r="D17" s="4">
        <v>0.5</v>
      </c>
      <c r="J17" s="45" t="s">
        <v>89</v>
      </c>
      <c r="K17" s="45"/>
      <c r="L17" s="45"/>
    </row>
    <row r="18" spans="3:14" x14ac:dyDescent="0.2">
      <c r="H18" t="s">
        <v>90</v>
      </c>
      <c r="N18" s="3">
        <f>+D9</f>
        <v>151628.75</v>
      </c>
    </row>
    <row r="19" spans="3:14" ht="12" thickBot="1" x14ac:dyDescent="0.25">
      <c r="H19" t="s">
        <v>91</v>
      </c>
      <c r="N19" s="12">
        <v>18838</v>
      </c>
    </row>
    <row r="20" spans="3:14" x14ac:dyDescent="0.2">
      <c r="D20">
        <f>+D17*D16</f>
        <v>0.05</v>
      </c>
      <c r="H20" t="s">
        <v>92</v>
      </c>
      <c r="N20" s="7">
        <f>+N18-N19</f>
        <v>132790.75</v>
      </c>
    </row>
    <row r="24" spans="3:14" x14ac:dyDescent="0.2">
      <c r="H24">
        <f>+I7/I8</f>
        <v>0.16674011022609539</v>
      </c>
    </row>
  </sheetData>
  <mergeCells count="2">
    <mergeCell ref="J2:L2"/>
    <mergeCell ref="J17:L17"/>
  </mergeCells>
  <pageMargins left="0.7" right="0.7" top="0.75" bottom="0.75" header="0.3" footer="0.3"/>
  <ignoredErrors>
    <ignoredError sqref="J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8612-F919-46BD-9C60-C39F10E74B13}">
  <dimension ref="B2:H20"/>
  <sheetViews>
    <sheetView workbookViewId="0">
      <selection activeCell="F46" sqref="F46"/>
    </sheetView>
  </sheetViews>
  <sheetFormatPr defaultRowHeight="11.25" x14ac:dyDescent="0.2"/>
  <cols>
    <col min="2" max="2" width="23.33203125" bestFit="1" customWidth="1"/>
    <col min="5" max="5" width="25" bestFit="1" customWidth="1"/>
  </cols>
  <sheetData>
    <row r="2" spans="2:8" x14ac:dyDescent="0.2">
      <c r="C2" s="10">
        <v>2011</v>
      </c>
      <c r="E2" s="19" t="s">
        <v>106</v>
      </c>
      <c r="G2" s="10" t="s">
        <v>107</v>
      </c>
    </row>
    <row r="3" spans="2:8" x14ac:dyDescent="0.2">
      <c r="C3" s="10"/>
    </row>
    <row r="4" spans="2:8" x14ac:dyDescent="0.2">
      <c r="B4" t="s">
        <v>58</v>
      </c>
      <c r="C4" s="3">
        <v>0</v>
      </c>
      <c r="E4" s="20">
        <v>5000</v>
      </c>
      <c r="G4" s="3">
        <v>5000</v>
      </c>
    </row>
    <row r="5" spans="2:8" x14ac:dyDescent="0.2">
      <c r="B5" t="s">
        <v>93</v>
      </c>
      <c r="C5" s="3">
        <v>9816</v>
      </c>
      <c r="E5" s="14"/>
      <c r="G5" s="3">
        <f>+C5</f>
        <v>9816</v>
      </c>
    </row>
    <row r="6" spans="2:8" x14ac:dyDescent="0.2">
      <c r="B6" t="s">
        <v>94</v>
      </c>
      <c r="C6" s="3">
        <v>10268</v>
      </c>
      <c r="E6" s="14"/>
      <c r="G6" s="3">
        <f t="shared" ref="G6:G8" si="0">+C6</f>
        <v>10268</v>
      </c>
    </row>
    <row r="7" spans="2:8" x14ac:dyDescent="0.2">
      <c r="B7" t="s">
        <v>95</v>
      </c>
      <c r="C7" s="3">
        <v>2279</v>
      </c>
      <c r="E7" s="14"/>
      <c r="G7" s="3">
        <f t="shared" si="0"/>
        <v>2279</v>
      </c>
    </row>
    <row r="8" spans="2:8" x14ac:dyDescent="0.2">
      <c r="B8" t="s">
        <v>96</v>
      </c>
      <c r="C8" s="3">
        <v>6500</v>
      </c>
      <c r="E8" s="14"/>
      <c r="G8" s="3">
        <f t="shared" si="0"/>
        <v>6500</v>
      </c>
    </row>
    <row r="9" spans="2:8" x14ac:dyDescent="0.2">
      <c r="B9" t="s">
        <v>97</v>
      </c>
      <c r="C9" s="3"/>
      <c r="D9" s="3">
        <f>+C9+Depreciation!$D$5-Depreciation!G15</f>
        <v>200</v>
      </c>
      <c r="E9" s="3">
        <f>+D9+Depreciation!$D$5-Depreciation!H15</f>
        <v>100</v>
      </c>
      <c r="F9" s="3">
        <f>+E9+Depreciation!$D$5-Depreciation!I15</f>
        <v>-300</v>
      </c>
      <c r="G9" s="3">
        <f>+F9+Depreciation!$D$5-Depreciation!J15</f>
        <v>-1000</v>
      </c>
      <c r="H9" s="3">
        <f>+G9+Depreciation!$D$5-Depreciation!K15</f>
        <v>-2000</v>
      </c>
    </row>
    <row r="10" spans="2:8" x14ac:dyDescent="0.2">
      <c r="B10" t="s">
        <v>98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2:8" ht="12" thickBot="1" x14ac:dyDescent="0.25">
      <c r="B11" t="s">
        <v>99</v>
      </c>
      <c r="C11" s="12">
        <v>2587</v>
      </c>
      <c r="D11" s="12">
        <f>+C11+IS!D14</f>
        <v>2374.7197500000002</v>
      </c>
      <c r="E11" s="12">
        <f>+D11+IS!E14</f>
        <v>2162.4395000000004</v>
      </c>
      <c r="F11" s="12">
        <f>+E11+IS!F14</f>
        <v>1950.1592500000004</v>
      </c>
      <c r="G11" s="12">
        <f>+F11+IS!G14</f>
        <v>1737.8790000000004</v>
      </c>
      <c r="H11" s="12">
        <f>+G11+IS!H14</f>
        <v>1525.5987500000003</v>
      </c>
    </row>
    <row r="12" spans="2:8" x14ac:dyDescent="0.2">
      <c r="B12" s="1" t="s">
        <v>100</v>
      </c>
      <c r="C12" s="7">
        <v>32052</v>
      </c>
      <c r="D12" s="7">
        <v>32052</v>
      </c>
      <c r="E12" s="7">
        <v>32052</v>
      </c>
      <c r="F12" s="7">
        <v>32052</v>
      </c>
      <c r="G12" s="7">
        <v>32052</v>
      </c>
      <c r="H12" s="7">
        <v>32052</v>
      </c>
    </row>
    <row r="13" spans="2:8" x14ac:dyDescent="0.2">
      <c r="C13" s="3"/>
      <c r="D13">
        <f>+SUM(D5:D12)</f>
        <v>34626.719750000004</v>
      </c>
      <c r="E13">
        <f t="shared" ref="E13:H13" si="1">+SUM(E5:E12)</f>
        <v>34314.4395</v>
      </c>
      <c r="F13">
        <f t="shared" si="1"/>
        <v>33702.159249999997</v>
      </c>
      <c r="G13">
        <f t="shared" si="1"/>
        <v>61652.879000000001</v>
      </c>
      <c r="H13">
        <f t="shared" si="1"/>
        <v>31577.598750000001</v>
      </c>
    </row>
    <row r="14" spans="2:8" x14ac:dyDescent="0.2">
      <c r="B14" t="s">
        <v>101</v>
      </c>
      <c r="C14" s="3">
        <v>7550</v>
      </c>
      <c r="E14" s="14"/>
      <c r="G14" s="3">
        <f>+C14</f>
        <v>7550</v>
      </c>
    </row>
    <row r="15" spans="2:8" x14ac:dyDescent="0.2">
      <c r="B15" t="s">
        <v>95</v>
      </c>
      <c r="C15" s="3">
        <v>3793</v>
      </c>
      <c r="E15" s="14"/>
      <c r="G15" s="3">
        <f t="shared" ref="G15" si="2">+C15</f>
        <v>3793</v>
      </c>
    </row>
    <row r="16" spans="2:8" x14ac:dyDescent="0.2">
      <c r="B16" t="s">
        <v>102</v>
      </c>
      <c r="C16" s="3">
        <v>0</v>
      </c>
      <c r="E16" s="20">
        <f>+Transaction!I5</f>
        <v>60651.5</v>
      </c>
      <c r="G16" s="3">
        <f>+E16</f>
        <v>60651.5</v>
      </c>
    </row>
    <row r="17" spans="2:8" x14ac:dyDescent="0.2">
      <c r="B17" t="s">
        <v>103</v>
      </c>
      <c r="C17" s="3">
        <v>0</v>
      </c>
      <c r="D17" s="43">
        <f ca="1">+'Debt Schedule'!I8</f>
        <v>47654.570606833251</v>
      </c>
      <c r="E17" s="43">
        <f ca="1">+'Debt Schedule'!J8</f>
        <v>32981.453401195839</v>
      </c>
      <c r="F17" s="43">
        <f ca="1">+'Debt Schedule'!K8</f>
        <v>16462.556936566863</v>
      </c>
      <c r="G17" s="43">
        <f ca="1">+'Debt Schedule'!L8</f>
        <v>0</v>
      </c>
      <c r="H17" s="43">
        <f>+'Debt Schedule'!M8</f>
        <v>0</v>
      </c>
    </row>
    <row r="18" spans="2:8" x14ac:dyDescent="0.2">
      <c r="B18" t="s">
        <v>99</v>
      </c>
      <c r="C18" s="3">
        <v>1269</v>
      </c>
      <c r="E18" s="14"/>
      <c r="G18" s="3">
        <f>+C18</f>
        <v>1269</v>
      </c>
    </row>
    <row r="19" spans="2:8" ht="12" thickBot="1" x14ac:dyDescent="0.25">
      <c r="B19" t="s">
        <v>104</v>
      </c>
      <c r="C19" s="12">
        <v>18838</v>
      </c>
      <c r="E19" s="22">
        <f>+G19-C19</f>
        <v>32712</v>
      </c>
      <c r="G19" s="12">
        <f>170904-119354</f>
        <v>51550</v>
      </c>
    </row>
    <row r="20" spans="2:8" ht="12" thickBot="1" x14ac:dyDescent="0.25">
      <c r="B20" s="1" t="s">
        <v>105</v>
      </c>
      <c r="C20" s="7">
        <v>32052</v>
      </c>
      <c r="E20" s="22">
        <f ca="1">SUM(E14:E19)</f>
        <v>126344.95340119585</v>
      </c>
      <c r="G20" s="7">
        <f ca="1">SUM(G14:G19)</f>
        <v>124813.5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BCB-D851-4FBA-A23F-9494E2D89689}">
  <dimension ref="B2:H24"/>
  <sheetViews>
    <sheetView workbookViewId="0">
      <selection activeCell="L19" sqref="L19"/>
    </sheetView>
  </sheetViews>
  <sheetFormatPr defaultRowHeight="11.25" x14ac:dyDescent="0.2"/>
  <cols>
    <col min="2" max="2" width="24.1640625" bestFit="1" customWidth="1"/>
  </cols>
  <sheetData>
    <row r="2" spans="2:8" x14ac:dyDescent="0.2">
      <c r="C2" s="10">
        <v>2011</v>
      </c>
      <c r="D2" s="10">
        <f>+C2+1</f>
        <v>2012</v>
      </c>
      <c r="E2" s="10">
        <f t="shared" ref="E2:H2" si="0">+D2+1</f>
        <v>2013</v>
      </c>
      <c r="F2" s="10">
        <f t="shared" si="0"/>
        <v>2014</v>
      </c>
      <c r="G2" s="10">
        <f t="shared" si="0"/>
        <v>2015</v>
      </c>
      <c r="H2" s="10">
        <f t="shared" si="0"/>
        <v>2016</v>
      </c>
    </row>
    <row r="4" spans="2:8" ht="12" thickBot="1" x14ac:dyDescent="0.25">
      <c r="B4" s="1" t="s">
        <v>5</v>
      </c>
      <c r="C4" s="50">
        <v>132000</v>
      </c>
      <c r="D4" s="50">
        <v>151436.25</v>
      </c>
      <c r="E4" s="50">
        <v>159008.0625</v>
      </c>
      <c r="F4" s="50">
        <v>166958.46562500001</v>
      </c>
      <c r="G4" s="50">
        <v>175306.38890625001</v>
      </c>
      <c r="H4" s="50">
        <v>184071.70835156256</v>
      </c>
    </row>
    <row r="5" spans="2:8" x14ac:dyDescent="0.2">
      <c r="B5" s="2" t="s">
        <v>113</v>
      </c>
      <c r="C5" s="43">
        <f>+'Rev.Costs'!D93</f>
        <v>91350</v>
      </c>
      <c r="D5" s="43">
        <v>101599.3125</v>
      </c>
      <c r="E5" s="43">
        <v>106679.278125</v>
      </c>
      <c r="F5" s="43">
        <v>112013.24203125002</v>
      </c>
      <c r="G5" s="43">
        <v>117613.90413281249</v>
      </c>
      <c r="H5" s="43">
        <v>123494.59933945317</v>
      </c>
    </row>
    <row r="6" spans="2:8" x14ac:dyDescent="0.2">
      <c r="B6" s="1" t="s">
        <v>51</v>
      </c>
      <c r="C6" s="74">
        <f>+C4-C5</f>
        <v>40650</v>
      </c>
      <c r="D6" s="74">
        <v>49836.9375</v>
      </c>
      <c r="E6" s="74">
        <v>52328.784375000003</v>
      </c>
      <c r="F6" s="74">
        <v>54945.223593749994</v>
      </c>
      <c r="G6" s="74">
        <v>57692.484773437522</v>
      </c>
      <c r="H6" s="74">
        <v>60577.109012109388</v>
      </c>
    </row>
    <row r="7" spans="2:8" x14ac:dyDescent="0.2">
      <c r="B7" s="2" t="s">
        <v>114</v>
      </c>
      <c r="C7" s="43">
        <f>+'Rev.Costs'!D97</f>
        <v>16160</v>
      </c>
      <c r="D7" s="43">
        <v>17714.900000000001</v>
      </c>
      <c r="E7" s="43">
        <v>18320.645</v>
      </c>
      <c r="F7" s="43">
        <v>18956.677250000001</v>
      </c>
      <c r="G7" s="43">
        <v>19624.5111125</v>
      </c>
      <c r="H7" s="43">
        <v>20325.736668125006</v>
      </c>
    </row>
    <row r="8" spans="2:8" ht="12" thickBot="1" x14ac:dyDescent="0.25">
      <c r="B8" s="1" t="s">
        <v>115</v>
      </c>
      <c r="C8" s="50">
        <f>+C6-C7</f>
        <v>24490</v>
      </c>
      <c r="D8" s="50">
        <v>32122.037499999999</v>
      </c>
      <c r="E8" s="50">
        <v>34008.139374999999</v>
      </c>
      <c r="F8" s="50">
        <v>35988.546343749993</v>
      </c>
      <c r="G8" s="50">
        <v>38067.973660937525</v>
      </c>
      <c r="H8" s="50">
        <v>40251.372343984382</v>
      </c>
    </row>
    <row r="9" spans="2:8" x14ac:dyDescent="0.2">
      <c r="B9" s="2" t="s">
        <v>116</v>
      </c>
      <c r="C9" s="43">
        <f>+Depreciation!F15</f>
        <v>1000</v>
      </c>
      <c r="D9" s="43">
        <f>+Depreciation!G15</f>
        <v>1300</v>
      </c>
      <c r="E9" s="43">
        <f>+Depreciation!H15</f>
        <v>1600</v>
      </c>
      <c r="F9" s="43">
        <f>+Depreciation!I15</f>
        <v>1900</v>
      </c>
      <c r="G9" s="43">
        <f>+Depreciation!J15</f>
        <v>2200</v>
      </c>
      <c r="H9" s="43">
        <f>+Depreciation!K15</f>
        <v>2500</v>
      </c>
    </row>
    <row r="10" spans="2:8" x14ac:dyDescent="0.2">
      <c r="B10" s="1" t="s">
        <v>117</v>
      </c>
      <c r="C10" s="47">
        <f>+C8-C9</f>
        <v>23490</v>
      </c>
      <c r="D10" s="47">
        <f t="shared" ref="D10:H10" si="1">+D8-D9</f>
        <v>30822.037499999999</v>
      </c>
      <c r="E10" s="47">
        <f t="shared" si="1"/>
        <v>32408.139374999999</v>
      </c>
      <c r="F10" s="47">
        <f t="shared" si="1"/>
        <v>34088.546343749993</v>
      </c>
      <c r="G10" s="47">
        <f t="shared" si="1"/>
        <v>35867.973660937525</v>
      </c>
      <c r="H10" s="47">
        <f t="shared" si="1"/>
        <v>37751.372343984382</v>
      </c>
    </row>
    <row r="11" spans="2:8" x14ac:dyDescent="0.2">
      <c r="B11" s="2" t="s">
        <v>118</v>
      </c>
      <c r="C11" s="43"/>
      <c r="D11" s="43">
        <f ca="1">+-'Debt Schedule'!I22</f>
        <v>-7646.7053447220806</v>
      </c>
      <c r="E11" s="43">
        <f ca="1">+-'Debt Schedule'!J22</f>
        <v>-6915.0987322709825</v>
      </c>
      <c r="F11" s="43">
        <f ca="1">+-'Debt Schedule'!K22</f>
        <v>-5993.723150701695</v>
      </c>
      <c r="G11" s="43">
        <f ca="1">+-'Debt Schedule'!L22</f>
        <v>-4848.4844193809868</v>
      </c>
      <c r="H11" s="43">
        <f ca="1">+-'Debt Schedule'!M22</f>
        <v>-3407.7388382381773</v>
      </c>
    </row>
    <row r="12" spans="2:8" x14ac:dyDescent="0.2">
      <c r="B12" s="2" t="s">
        <v>119</v>
      </c>
      <c r="C12" s="43"/>
      <c r="D12" s="43">
        <f>+-'Debt Schedule'!I25</f>
        <v>-1819.5450000000001</v>
      </c>
      <c r="E12" s="43">
        <f>+-'Debt Schedule'!J25</f>
        <v>-1852.3268</v>
      </c>
      <c r="F12" s="43">
        <f>+-'Debt Schedule'!K25</f>
        <v>-1886.4198720000002</v>
      </c>
      <c r="G12" s="43">
        <f>+-'Debt Schedule'!L25</f>
        <v>-1921.8766668799999</v>
      </c>
      <c r="H12" s="43">
        <f ca="1">+-'Debt Schedule'!M25</f>
        <v>-1874.9538135504376</v>
      </c>
    </row>
    <row r="13" spans="2:8" x14ac:dyDescent="0.2">
      <c r="B13" s="2" t="s">
        <v>120</v>
      </c>
      <c r="C13" s="43"/>
      <c r="D13" s="43">
        <f>+'Debt Schedule'!I28</f>
        <v>50</v>
      </c>
      <c r="E13" s="43">
        <f>+'Debt Schedule'!J28</f>
        <v>50</v>
      </c>
      <c r="F13" s="43">
        <f>+'Debt Schedule'!K28</f>
        <v>50</v>
      </c>
      <c r="G13" s="43">
        <f>+'Debt Schedule'!L28</f>
        <v>50</v>
      </c>
      <c r="H13" s="43">
        <f>+'Debt Schedule'!M28</f>
        <v>50</v>
      </c>
    </row>
    <row r="14" spans="2:8" x14ac:dyDescent="0.2">
      <c r="B14" s="2" t="s">
        <v>121</v>
      </c>
      <c r="C14" s="43"/>
      <c r="D14" s="43">
        <f>+-Transaction!$I$15/5</f>
        <v>-212.28025000000002</v>
      </c>
      <c r="E14" s="43">
        <f>+-Transaction!$I$15/5</f>
        <v>-212.28025000000002</v>
      </c>
      <c r="F14" s="43">
        <f>+-Transaction!$I$15/5</f>
        <v>-212.28025000000002</v>
      </c>
      <c r="G14" s="43">
        <f>+-Transaction!$I$15/5</f>
        <v>-212.28025000000002</v>
      </c>
      <c r="H14" s="43">
        <f>+-Transaction!$I$15/5</f>
        <v>-212.28025000000002</v>
      </c>
    </row>
    <row r="15" spans="2:8" x14ac:dyDescent="0.2">
      <c r="B15" s="6" t="s">
        <v>122</v>
      </c>
      <c r="C15" s="43"/>
      <c r="D15" s="43">
        <f t="shared" ref="D15:H15" ca="1" si="2">+D10+SUM(D11:D14)</f>
        <v>21193.506905277918</v>
      </c>
      <c r="E15" s="43">
        <f t="shared" ca="1" si="2"/>
        <v>23478.433592729016</v>
      </c>
      <c r="F15" s="43">
        <f t="shared" ca="1" si="2"/>
        <v>26046.1230710483</v>
      </c>
      <c r="G15" s="43">
        <f t="shared" ca="1" si="2"/>
        <v>28935.332324676539</v>
      </c>
      <c r="H15" s="43">
        <f t="shared" ca="1" si="2"/>
        <v>32306.399442195769</v>
      </c>
    </row>
    <row r="16" spans="2:8" x14ac:dyDescent="0.2">
      <c r="B16" s="2" t="s">
        <v>123</v>
      </c>
      <c r="C16" s="43"/>
      <c r="D16" s="43">
        <f t="shared" ref="D16:H16" ca="1" si="3">+-D15*0.4</f>
        <v>-8477.4027621111672</v>
      </c>
      <c r="E16" s="43">
        <f t="shared" ca="1" si="3"/>
        <v>-9391.3734370916063</v>
      </c>
      <c r="F16" s="43">
        <f t="shared" ca="1" si="3"/>
        <v>-10418.44922841932</v>
      </c>
      <c r="G16" s="43">
        <f t="shared" ca="1" si="3"/>
        <v>-11574.132929870617</v>
      </c>
      <c r="H16" s="43">
        <f t="shared" ca="1" si="3"/>
        <v>-12922.559776878308</v>
      </c>
    </row>
    <row r="17" spans="2:8" x14ac:dyDescent="0.2">
      <c r="B17" s="6" t="s">
        <v>124</v>
      </c>
      <c r="C17" s="43"/>
      <c r="D17" s="43">
        <f t="shared" ref="D17:H17" ca="1" si="4">+D15+D16</f>
        <v>12716.104143166751</v>
      </c>
      <c r="E17" s="43">
        <f t="shared" ca="1" si="4"/>
        <v>14087.060155637409</v>
      </c>
      <c r="F17" s="43">
        <f t="shared" ca="1" si="4"/>
        <v>15627.673842628979</v>
      </c>
      <c r="G17" s="43">
        <f t="shared" ca="1" si="4"/>
        <v>17361.199394805924</v>
      </c>
      <c r="H17" s="43">
        <f t="shared" ca="1" si="4"/>
        <v>19383.83966531746</v>
      </c>
    </row>
    <row r="19" spans="2:8" ht="12" thickBot="1" x14ac:dyDescent="0.25"/>
    <row r="20" spans="2:8" x14ac:dyDescent="0.2">
      <c r="B20" s="23" t="s">
        <v>125</v>
      </c>
      <c r="C20" s="52">
        <v>0</v>
      </c>
      <c r="D20" s="51">
        <f>+D4/C4-1</f>
        <v>0.14724431818181816</v>
      </c>
      <c r="E20" s="51">
        <f t="shared" ref="E20:H20" si="5">+E4/D4-1</f>
        <v>5.0000000000000044E-2</v>
      </c>
      <c r="F20" s="51">
        <f t="shared" si="5"/>
        <v>5.0000000000000044E-2</v>
      </c>
      <c r="G20" s="51">
        <f t="shared" si="5"/>
        <v>5.0000000000000044E-2</v>
      </c>
      <c r="H20" s="55">
        <f t="shared" si="5"/>
        <v>5.0000000000000266E-2</v>
      </c>
    </row>
    <row r="21" spans="2:8" x14ac:dyDescent="0.2">
      <c r="B21" s="24" t="s">
        <v>126</v>
      </c>
      <c r="C21" s="53">
        <f>+C6/C4</f>
        <v>0.30795454545454548</v>
      </c>
      <c r="D21" s="53">
        <f t="shared" ref="D21:H21" si="6">+D6/D4</f>
        <v>0.32909516380655224</v>
      </c>
      <c r="E21" s="53">
        <f t="shared" si="6"/>
        <v>0.32909516380655229</v>
      </c>
      <c r="F21" s="53">
        <f t="shared" si="6"/>
        <v>0.32909516380655218</v>
      </c>
      <c r="G21" s="53">
        <f t="shared" si="6"/>
        <v>0.32909516380655235</v>
      </c>
      <c r="H21" s="56">
        <f t="shared" si="6"/>
        <v>0.32909516380655224</v>
      </c>
    </row>
    <row r="22" spans="2:8" x14ac:dyDescent="0.2">
      <c r="B22" s="24" t="s">
        <v>127</v>
      </c>
      <c r="C22" s="53">
        <f>+C8/C4</f>
        <v>0.18553030303030302</v>
      </c>
      <c r="D22" s="53">
        <f t="shared" ref="D22:H22" si="7">+D8/D4</f>
        <v>0.21211590685849654</v>
      </c>
      <c r="E22" s="53">
        <f t="shared" si="7"/>
        <v>0.21387682385602302</v>
      </c>
      <c r="F22" s="53">
        <f t="shared" si="7"/>
        <v>0.21555388766319103</v>
      </c>
      <c r="G22" s="53">
        <f t="shared" si="7"/>
        <v>0.21715109128906557</v>
      </c>
      <c r="H22" s="56">
        <f t="shared" si="7"/>
        <v>0.21867223759942192</v>
      </c>
    </row>
    <row r="23" spans="2:8" x14ac:dyDescent="0.2">
      <c r="B23" s="24" t="s">
        <v>128</v>
      </c>
      <c r="C23" s="54">
        <v>0</v>
      </c>
      <c r="D23" s="53">
        <f t="shared" ref="D23:H23" si="8">+D10/D4</f>
        <v>0.20353143649555505</v>
      </c>
      <c r="E23" s="53">
        <f t="shared" si="8"/>
        <v>0.20381444101301466</v>
      </c>
      <c r="F23" s="53">
        <f t="shared" si="8"/>
        <v>0.20417381182883634</v>
      </c>
      <c r="G23" s="53">
        <f t="shared" si="8"/>
        <v>0.20460163422862429</v>
      </c>
      <c r="H23" s="56">
        <f t="shared" si="8"/>
        <v>0.20509057411409587</v>
      </c>
    </row>
    <row r="24" spans="2:8" ht="12" thickBot="1" x14ac:dyDescent="0.25">
      <c r="B24" s="25" t="s">
        <v>129</v>
      </c>
      <c r="C24" s="57">
        <v>0</v>
      </c>
      <c r="D24" s="17">
        <v>0.4</v>
      </c>
      <c r="E24" s="17">
        <v>0.4</v>
      </c>
      <c r="F24" s="17">
        <v>0.4</v>
      </c>
      <c r="G24" s="17">
        <v>0.4</v>
      </c>
      <c r="H24" s="58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FE0C-D6C8-4EAB-8FF2-2C8FC426CF3C}">
  <dimension ref="B2:H20"/>
  <sheetViews>
    <sheetView workbookViewId="0">
      <selection activeCell="D21" sqref="D21"/>
    </sheetView>
  </sheetViews>
  <sheetFormatPr defaultRowHeight="11.25" x14ac:dyDescent="0.2"/>
  <cols>
    <col min="2" max="2" width="34.6640625" bestFit="1" customWidth="1"/>
  </cols>
  <sheetData>
    <row r="2" spans="2:8" x14ac:dyDescent="0.2">
      <c r="C2" s="30">
        <v>2011</v>
      </c>
      <c r="D2" s="30">
        <f>+C2+1</f>
        <v>2012</v>
      </c>
      <c r="E2" s="30">
        <f t="shared" ref="E2:H2" si="0">+D2+1</f>
        <v>2013</v>
      </c>
      <c r="F2" s="30">
        <f t="shared" si="0"/>
        <v>2014</v>
      </c>
      <c r="G2" s="30">
        <f t="shared" si="0"/>
        <v>2015</v>
      </c>
      <c r="H2" s="30">
        <f t="shared" si="0"/>
        <v>2016</v>
      </c>
    </row>
    <row r="4" spans="2:8" x14ac:dyDescent="0.2">
      <c r="B4" t="s">
        <v>154</v>
      </c>
      <c r="C4" s="3"/>
      <c r="D4" s="43">
        <f ca="1">+IS!D17</f>
        <v>12716.104143166751</v>
      </c>
      <c r="E4" s="43">
        <f ca="1">+IS!E17</f>
        <v>14087.060155637409</v>
      </c>
      <c r="F4" s="43">
        <f ca="1">+IS!F17</f>
        <v>15627.673842628979</v>
      </c>
      <c r="G4" s="43">
        <f ca="1">+IS!G17</f>
        <v>17361.199394805924</v>
      </c>
      <c r="H4" s="43">
        <f ca="1">+IS!H17</f>
        <v>19383.83966531746</v>
      </c>
    </row>
    <row r="5" spans="2:8" x14ac:dyDescent="0.2">
      <c r="B5" t="s">
        <v>155</v>
      </c>
      <c r="D5" s="43">
        <f>+Depreciation!G15</f>
        <v>1300</v>
      </c>
      <c r="E5" s="43">
        <f>+Depreciation!H15</f>
        <v>1600</v>
      </c>
      <c r="F5" s="43">
        <f>+Depreciation!I15</f>
        <v>1900</v>
      </c>
      <c r="G5" s="43">
        <f>+Depreciation!J15</f>
        <v>2200</v>
      </c>
      <c r="H5" s="43">
        <f>+Depreciation!K15</f>
        <v>2500</v>
      </c>
    </row>
    <row r="6" spans="2:8" x14ac:dyDescent="0.2">
      <c r="B6" t="s">
        <v>148</v>
      </c>
      <c r="C6" s="3"/>
      <c r="D6" s="43">
        <f>+'Debt Schedule'!I24</f>
        <v>1819.5450000000001</v>
      </c>
      <c r="E6" s="43">
        <f>+'Debt Schedule'!J24</f>
        <v>1852.3268</v>
      </c>
      <c r="F6" s="43">
        <f>+'Debt Schedule'!K24</f>
        <v>1886.4198720000002</v>
      </c>
      <c r="G6" s="43">
        <f>+'Debt Schedule'!L24</f>
        <v>1921.8766668799999</v>
      </c>
      <c r="H6" s="43">
        <f ca="1">+'Debt Schedule'!M24</f>
        <v>1874.9538135504376</v>
      </c>
    </row>
    <row r="7" spans="2:8" x14ac:dyDescent="0.2">
      <c r="B7" t="s">
        <v>156</v>
      </c>
      <c r="C7" s="15"/>
      <c r="D7" s="43">
        <f>+Transaction!$I$15/5</f>
        <v>212.28025000000002</v>
      </c>
      <c r="E7" s="43">
        <f>+Transaction!$I$15/5</f>
        <v>212.28025000000002</v>
      </c>
      <c r="F7" s="43">
        <f>+Transaction!$I$15/5</f>
        <v>212.28025000000002</v>
      </c>
      <c r="G7" s="43">
        <f>+Transaction!$I$15/5</f>
        <v>212.28025000000002</v>
      </c>
      <c r="H7" s="43">
        <f>+Transaction!$I$15/5</f>
        <v>212.28025000000002</v>
      </c>
    </row>
    <row r="8" spans="2:8" x14ac:dyDescent="0.2">
      <c r="B8" t="s">
        <v>157</v>
      </c>
      <c r="D8" s="43">
        <f>+(SUM('BS proj'!C5:C8)-SUM('BS proj'!C15:C16))-(SUM('BS proj'!D5:D8)-SUM('BS proj'!D15:D16))</f>
        <v>-551</v>
      </c>
      <c r="E8" s="43">
        <f>+(SUM('BS proj'!D5:D8)-SUM('BS proj'!D15:D16))-(SUM('BS proj'!E5:E8)-SUM('BS proj'!E15:E16))</f>
        <v>-578.54999999999563</v>
      </c>
      <c r="F8" s="43">
        <f>+(SUM('BS proj'!E5:E8)-SUM('BS proj'!E15:E16))-(SUM('BS proj'!F5:F8)-SUM('BS proj'!F15:F16))</f>
        <v>-607.47750000000451</v>
      </c>
      <c r="G8" s="43">
        <f>+(SUM('BS proj'!F5:F8)-SUM('BS proj'!F15:F16))-(SUM('BS proj'!G5:G8)-SUM('BS proj'!G15:G16))</f>
        <v>-637.85137500000201</v>
      </c>
      <c r="H8" s="43">
        <f>+(SUM('BS proj'!G5:G8)-SUM('BS proj'!G15:G16))-(SUM('BS proj'!H5:H8)-SUM('BS proj'!H15:H16))</f>
        <v>-669.74394374999974</v>
      </c>
    </row>
    <row r="9" spans="2:8" ht="12" thickBot="1" x14ac:dyDescent="0.25">
      <c r="B9" t="s">
        <v>158</v>
      </c>
      <c r="D9" s="44">
        <f>+-Depreciation!$D$5</f>
        <v>-1500</v>
      </c>
      <c r="E9" s="44">
        <f>+-Depreciation!$D$5</f>
        <v>-1500</v>
      </c>
      <c r="F9" s="44">
        <f>+-Depreciation!$D$5</f>
        <v>-1500</v>
      </c>
      <c r="G9" s="44">
        <f>+-Depreciation!$D$5</f>
        <v>-1500</v>
      </c>
      <c r="H9" s="44">
        <f>+-Depreciation!$D$5</f>
        <v>-1500</v>
      </c>
    </row>
    <row r="10" spans="2:8" x14ac:dyDescent="0.2">
      <c r="B10" s="1" t="s">
        <v>159</v>
      </c>
      <c r="C10" s="3"/>
      <c r="D10" s="43">
        <f t="shared" ref="D10:E10" ca="1" si="1">+SUM(D4:D9)</f>
        <v>13996.929393166751</v>
      </c>
      <c r="E10" s="43">
        <f t="shared" ref="E10:F10" ca="1" si="2">+SUM(E4:E9)</f>
        <v>15673.117205637413</v>
      </c>
      <c r="F10" s="43">
        <f t="shared" ca="1" si="2"/>
        <v>17518.896464628975</v>
      </c>
      <c r="G10" s="43">
        <f t="shared" ref="G10:H10" ca="1" si="3">+SUM(G4:G9)</f>
        <v>19557.504936685924</v>
      </c>
      <c r="H10" s="43">
        <f t="shared" ref="H10" ca="1" si="4">+SUM(H4:H9)</f>
        <v>21801.329785117898</v>
      </c>
    </row>
    <row r="11" spans="2:8" x14ac:dyDescent="0.2">
      <c r="D11" s="43"/>
      <c r="E11" s="43"/>
      <c r="F11" s="43"/>
      <c r="G11" s="43"/>
      <c r="H11" s="43"/>
    </row>
    <row r="12" spans="2:8" x14ac:dyDescent="0.2">
      <c r="B12" s="1" t="s">
        <v>160</v>
      </c>
      <c r="D12" s="43">
        <f>+'BS proj'!C5</f>
        <v>5000</v>
      </c>
      <c r="E12" s="43">
        <f>+'BS proj'!D5</f>
        <v>5000</v>
      </c>
      <c r="F12" s="43">
        <f>+'BS proj'!E5</f>
        <v>5000</v>
      </c>
      <c r="G12" s="43">
        <f>+'BS proj'!F5</f>
        <v>5000</v>
      </c>
      <c r="H12" s="43">
        <f>+'BS proj'!G5</f>
        <v>5000</v>
      </c>
    </row>
    <row r="13" spans="2:8" x14ac:dyDescent="0.2">
      <c r="B13" s="2" t="s">
        <v>161</v>
      </c>
      <c r="D13" s="43">
        <f>+-Transaction!$I$13</f>
        <v>-5000</v>
      </c>
      <c r="E13" s="43">
        <f>+-Transaction!$I$13</f>
        <v>-5000</v>
      </c>
      <c r="F13" s="43">
        <f>+-Transaction!$I$13</f>
        <v>-5000</v>
      </c>
      <c r="G13" s="43">
        <f>+-Transaction!$I$13</f>
        <v>-5000</v>
      </c>
      <c r="H13" s="43">
        <f>+-Transaction!$I$13</f>
        <v>-5000</v>
      </c>
    </row>
    <row r="14" spans="2:8" x14ac:dyDescent="0.2">
      <c r="B14" s="2" t="s">
        <v>162</v>
      </c>
      <c r="D14" s="49">
        <f ca="1">+D10</f>
        <v>13996.929393166751</v>
      </c>
      <c r="E14" s="49">
        <f t="shared" ref="E14:F14" ca="1" si="5">+E10</f>
        <v>15673.117205637413</v>
      </c>
      <c r="F14" s="49">
        <f t="shared" ca="1" si="5"/>
        <v>17518.896464628975</v>
      </c>
      <c r="G14" s="49">
        <f t="shared" ref="G14:H14" ca="1" si="6">+G10</f>
        <v>19557.504936685924</v>
      </c>
      <c r="H14" s="49">
        <f t="shared" ref="H14" ca="1" si="7">+H10</f>
        <v>21801.329785117898</v>
      </c>
    </row>
    <row r="15" spans="2:8" x14ac:dyDescent="0.2">
      <c r="B15" s="1" t="s">
        <v>163</v>
      </c>
      <c r="D15" s="47">
        <f ca="1">+SUM(D12:D14)</f>
        <v>13996.929393166751</v>
      </c>
      <c r="E15" s="47">
        <f t="shared" ref="E15:H15" ca="1" si="8">+SUM(E12:E14)</f>
        <v>15673.117205637413</v>
      </c>
      <c r="F15" s="47">
        <f t="shared" ca="1" si="8"/>
        <v>17518.896464628975</v>
      </c>
      <c r="G15" s="47">
        <f t="shared" ca="1" si="8"/>
        <v>19557.504936685924</v>
      </c>
      <c r="H15" s="47">
        <f t="shared" ref="H15" ca="1" si="9">+SUM(H12:H14)</f>
        <v>21801.329785117898</v>
      </c>
    </row>
    <row r="16" spans="2:8" x14ac:dyDescent="0.2">
      <c r="B16" s="2" t="s">
        <v>164</v>
      </c>
      <c r="D16" s="43">
        <v>-1000</v>
      </c>
      <c r="E16" s="43">
        <v>-1000</v>
      </c>
      <c r="F16" s="43">
        <v>-1000</v>
      </c>
      <c r="G16" s="43">
        <v>-1000</v>
      </c>
      <c r="H16" s="43">
        <v>-1000</v>
      </c>
    </row>
    <row r="17" spans="2:8" ht="12" thickBot="1" x14ac:dyDescent="0.25">
      <c r="B17" s="6" t="s">
        <v>165</v>
      </c>
      <c r="D17" s="50">
        <f ca="1">+D15+D16</f>
        <v>12996.929393166751</v>
      </c>
      <c r="E17" s="50">
        <f t="shared" ref="E17:H17" ca="1" si="10">+E15+E16</f>
        <v>14673.117205637413</v>
      </c>
      <c r="F17" s="50">
        <f t="shared" ca="1" si="10"/>
        <v>16518.896464628975</v>
      </c>
      <c r="G17" s="50">
        <f t="shared" ca="1" si="10"/>
        <v>18557.504936685924</v>
      </c>
      <c r="H17" s="50">
        <f t="shared" ref="H17" ca="1" si="11">+H15+H16</f>
        <v>20801.329785117898</v>
      </c>
    </row>
    <row r="18" spans="2:8" x14ac:dyDescent="0.2">
      <c r="B18" s="2" t="s">
        <v>166</v>
      </c>
      <c r="D18" s="43">
        <f ca="1">+-D17</f>
        <v>-12996.929393166751</v>
      </c>
      <c r="E18" s="43">
        <f t="shared" ref="E18:H18" ca="1" si="12">+-E17</f>
        <v>-14673.117205637413</v>
      </c>
      <c r="F18" s="43">
        <f t="shared" ca="1" si="12"/>
        <v>-16518.896464628975</v>
      </c>
      <c r="G18" s="43">
        <f t="shared" ca="1" si="12"/>
        <v>-18557.504936685924</v>
      </c>
      <c r="H18" s="43">
        <f t="shared" ref="H18" ca="1" si="13">+-H17</f>
        <v>-20801.329785117898</v>
      </c>
    </row>
    <row r="19" spans="2:8" x14ac:dyDescent="0.2">
      <c r="B19" s="18" t="s">
        <v>167</v>
      </c>
      <c r="D19" s="43">
        <f ca="1">+D17+D18</f>
        <v>0</v>
      </c>
      <c r="E19" s="43">
        <f t="shared" ref="E19:H19" ca="1" si="14">+E17+E18</f>
        <v>0</v>
      </c>
      <c r="F19" s="43">
        <f t="shared" ca="1" si="14"/>
        <v>0</v>
      </c>
      <c r="G19" s="43">
        <f t="shared" ca="1" si="14"/>
        <v>0</v>
      </c>
      <c r="H19" s="43">
        <f t="shared" ref="H19" ca="1" si="15">+H17+H18</f>
        <v>0</v>
      </c>
    </row>
    <row r="20" spans="2:8" x14ac:dyDescent="0.2">
      <c r="B20" s="1" t="s">
        <v>168</v>
      </c>
      <c r="D20" s="47">
        <f ca="1">+D12+D19</f>
        <v>5000</v>
      </c>
      <c r="E20" s="47">
        <f t="shared" ref="E20:H20" ca="1" si="16">+E12+E19</f>
        <v>5000</v>
      </c>
      <c r="F20" s="47">
        <f t="shared" ca="1" si="16"/>
        <v>5000</v>
      </c>
      <c r="G20" s="47">
        <f t="shared" ca="1" si="16"/>
        <v>5000</v>
      </c>
      <c r="H20" s="47">
        <f t="shared" ref="H20" ca="1" si="17">+H12+H19</f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2D98-2CBF-4EF9-8E79-3E8814BE76C0}">
  <dimension ref="B4:H31"/>
  <sheetViews>
    <sheetView workbookViewId="0">
      <selection activeCell="J15" sqref="J15"/>
    </sheetView>
  </sheetViews>
  <sheetFormatPr defaultRowHeight="11.25" x14ac:dyDescent="0.2"/>
  <cols>
    <col min="2" max="2" width="31.1640625" bestFit="1" customWidth="1"/>
    <col min="3" max="3" width="9.6640625" bestFit="1" customWidth="1"/>
  </cols>
  <sheetData>
    <row r="4" spans="2:8" x14ac:dyDescent="0.2">
      <c r="C4" s="1" t="s">
        <v>169</v>
      </c>
      <c r="D4" s="1">
        <v>2012</v>
      </c>
      <c r="E4" s="1">
        <f>+D4+1</f>
        <v>2013</v>
      </c>
      <c r="F4" s="1">
        <f t="shared" ref="F4:H4" si="0">+E4+1</f>
        <v>2014</v>
      </c>
      <c r="G4" s="1">
        <f t="shared" si="0"/>
        <v>2015</v>
      </c>
      <c r="H4" s="1">
        <f t="shared" si="0"/>
        <v>2016</v>
      </c>
    </row>
    <row r="5" spans="2:8" x14ac:dyDescent="0.2">
      <c r="B5" t="s">
        <v>58</v>
      </c>
      <c r="C5" s="3">
        <v>5000</v>
      </c>
      <c r="D5" s="3">
        <v>5000</v>
      </c>
      <c r="E5" s="3">
        <v>5000</v>
      </c>
      <c r="F5" s="3">
        <v>5000</v>
      </c>
      <c r="G5" s="3">
        <v>5000</v>
      </c>
      <c r="H5" s="3">
        <v>5000</v>
      </c>
    </row>
    <row r="6" spans="2:8" x14ac:dyDescent="0.2">
      <c r="B6" t="s">
        <v>93</v>
      </c>
      <c r="C6" s="3">
        <v>9816</v>
      </c>
      <c r="D6" s="3">
        <f>+(D24/365)*D27</f>
        <v>10306.800000000001</v>
      </c>
      <c r="E6" s="3">
        <f t="shared" ref="E6:H6" si="1">+(E24/365)*E27</f>
        <v>10822.14</v>
      </c>
      <c r="F6" s="3">
        <f t="shared" si="1"/>
        <v>11363.247000000001</v>
      </c>
      <c r="G6" s="3">
        <f t="shared" si="1"/>
        <v>11931.409350000002</v>
      </c>
      <c r="H6" s="3">
        <f t="shared" si="1"/>
        <v>12527.979817500003</v>
      </c>
    </row>
    <row r="7" spans="2:8" x14ac:dyDescent="0.2">
      <c r="B7" t="s">
        <v>94</v>
      </c>
      <c r="C7" s="3">
        <v>10268</v>
      </c>
      <c r="D7" s="3">
        <f>+(D25/365)*D28</f>
        <v>10781.4</v>
      </c>
      <c r="E7" s="3">
        <f t="shared" ref="E7:H7" si="2">+(E25/365)*E28</f>
        <v>11320.469999999998</v>
      </c>
      <c r="F7" s="3">
        <f t="shared" si="2"/>
        <v>11886.4935</v>
      </c>
      <c r="G7" s="3">
        <f t="shared" si="2"/>
        <v>12480.818174999997</v>
      </c>
      <c r="H7" s="3">
        <f t="shared" si="2"/>
        <v>13104.859083750005</v>
      </c>
    </row>
    <row r="8" spans="2:8" x14ac:dyDescent="0.2">
      <c r="B8" t="s">
        <v>95</v>
      </c>
      <c r="C8" s="3">
        <v>2279</v>
      </c>
      <c r="D8" s="3">
        <f>+D24*D29</f>
        <v>2392.9499999999998</v>
      </c>
      <c r="E8" s="3">
        <f t="shared" ref="E8:H8" si="3">+E24*E29</f>
        <v>2512.5974999999999</v>
      </c>
      <c r="F8" s="3">
        <f t="shared" si="3"/>
        <v>2638.2273750000004</v>
      </c>
      <c r="G8" s="3">
        <f t="shared" si="3"/>
        <v>2770.1387437500002</v>
      </c>
      <c r="H8" s="3">
        <f t="shared" si="3"/>
        <v>2908.6456809375009</v>
      </c>
    </row>
    <row r="9" spans="2:8" x14ac:dyDescent="0.2">
      <c r="B9" t="s">
        <v>96</v>
      </c>
      <c r="C9" s="3">
        <v>6500</v>
      </c>
      <c r="D9" s="3">
        <f>+C9+Depreciation!$D$5-Depreciation!G15</f>
        <v>6700</v>
      </c>
      <c r="E9" s="3">
        <f>+D9+Depreciation!$D$5-Depreciation!H15</f>
        <v>6600</v>
      </c>
      <c r="F9" s="3">
        <f>+E9+Depreciation!$D$5-Depreciation!I15</f>
        <v>6200</v>
      </c>
      <c r="G9" s="3">
        <f>+F9+Depreciation!$D$5-Depreciation!J15</f>
        <v>5500</v>
      </c>
      <c r="H9" s="3">
        <f>+G9+Depreciation!$D$5-Depreciation!K15</f>
        <v>4500</v>
      </c>
    </row>
    <row r="10" spans="2:8" x14ac:dyDescent="0.2">
      <c r="B10" t="s">
        <v>97</v>
      </c>
      <c r="C10" s="3">
        <v>132790.75</v>
      </c>
      <c r="D10" s="3">
        <v>132790.75</v>
      </c>
      <c r="E10" s="3">
        <v>132790.75</v>
      </c>
      <c r="F10" s="3">
        <v>132790.75</v>
      </c>
      <c r="G10" s="3">
        <v>132790.75</v>
      </c>
      <c r="H10" s="3">
        <v>132790.75</v>
      </c>
    </row>
    <row r="11" spans="2:8" x14ac:dyDescent="0.2">
      <c r="B11" t="s">
        <v>98</v>
      </c>
      <c r="C11" s="3">
        <v>1061.4012500000001</v>
      </c>
      <c r="D11" s="3">
        <f>+C11+IS!D14</f>
        <v>849.12100000000009</v>
      </c>
      <c r="E11" s="3">
        <f>+D11+IS!E14</f>
        <v>636.84075000000007</v>
      </c>
      <c r="F11" s="3">
        <f>+E11+IS!F14</f>
        <v>424.56050000000005</v>
      </c>
      <c r="G11" s="3">
        <f>+F11+IS!G14</f>
        <v>212.28025000000002</v>
      </c>
      <c r="H11" s="3">
        <f>+G11+IS!H14</f>
        <v>0</v>
      </c>
    </row>
    <row r="12" spans="2:8" x14ac:dyDescent="0.2">
      <c r="B12" t="s">
        <v>99</v>
      </c>
      <c r="C12" s="3">
        <v>2587</v>
      </c>
      <c r="D12" s="3">
        <v>2587</v>
      </c>
      <c r="E12" s="3">
        <v>2587</v>
      </c>
      <c r="F12" s="3">
        <v>2587</v>
      </c>
      <c r="G12" s="3">
        <v>2587</v>
      </c>
      <c r="H12" s="3">
        <v>2587</v>
      </c>
    </row>
    <row r="13" spans="2:8" x14ac:dyDescent="0.2">
      <c r="B13" s="1" t="s">
        <v>100</v>
      </c>
      <c r="C13" s="3">
        <v>170302.15125</v>
      </c>
      <c r="D13" s="3">
        <f>+SUM(D5:D12)</f>
        <v>171408.02100000001</v>
      </c>
      <c r="E13" s="3">
        <f t="shared" ref="E13:H13" si="4">+SUM(E5:E12)</f>
        <v>172269.79824999999</v>
      </c>
      <c r="F13" s="3">
        <f t="shared" si="4"/>
        <v>172890.27837499999</v>
      </c>
      <c r="G13" s="3">
        <f t="shared" si="4"/>
        <v>173272.39651875</v>
      </c>
      <c r="H13" s="3">
        <f t="shared" si="4"/>
        <v>173419.23458218749</v>
      </c>
    </row>
    <row r="14" spans="2:8" x14ac:dyDescent="0.2">
      <c r="C14" s="3"/>
    </row>
    <row r="15" spans="2:8" x14ac:dyDescent="0.2">
      <c r="B15" t="s">
        <v>101</v>
      </c>
      <c r="C15" s="3">
        <v>7550</v>
      </c>
      <c r="D15" s="3">
        <f>+(D25/365)*D30</f>
        <v>7927.5000000000009</v>
      </c>
      <c r="E15" s="3">
        <f t="shared" ref="E15:H15" si="5">+(E25/365)*E30</f>
        <v>8323.875</v>
      </c>
      <c r="F15" s="3">
        <f t="shared" si="5"/>
        <v>8740.0687500000022</v>
      </c>
      <c r="G15" s="3">
        <f t="shared" si="5"/>
        <v>9177.0721874999981</v>
      </c>
      <c r="H15" s="3">
        <f t="shared" si="5"/>
        <v>9635.9257968750044</v>
      </c>
    </row>
    <row r="16" spans="2:8" x14ac:dyDescent="0.2">
      <c r="B16" t="s">
        <v>95</v>
      </c>
      <c r="C16" s="3">
        <v>3793</v>
      </c>
      <c r="D16" s="3">
        <f>+D31*D24</f>
        <v>3982.6499999999996</v>
      </c>
      <c r="E16" s="3">
        <f t="shared" ref="E16:H16" si="6">+E31*E24</f>
        <v>4181.7824999999993</v>
      </c>
      <c r="F16" s="3">
        <f t="shared" si="6"/>
        <v>4390.8716249999998</v>
      </c>
      <c r="G16" s="3">
        <f t="shared" si="6"/>
        <v>4610.4152062499998</v>
      </c>
      <c r="H16" s="3">
        <f t="shared" si="6"/>
        <v>4840.9359665625016</v>
      </c>
    </row>
    <row r="17" spans="2:8" x14ac:dyDescent="0.2">
      <c r="B17" t="s">
        <v>102</v>
      </c>
      <c r="C17" s="3">
        <v>60651.5</v>
      </c>
      <c r="D17" s="43">
        <f ca="1">+'Debt Schedule'!I8</f>
        <v>47654.570606833251</v>
      </c>
      <c r="E17" s="43">
        <f ca="1">+'Debt Schedule'!J8</f>
        <v>32981.453401195839</v>
      </c>
      <c r="F17" s="43">
        <f ca="1">+'Debt Schedule'!K8</f>
        <v>16462.556936566863</v>
      </c>
      <c r="G17" s="43">
        <f ca="1">+'Debt Schedule'!L8</f>
        <v>0</v>
      </c>
      <c r="H17" s="43">
        <f>+'Debt Schedule'!M8</f>
        <v>0</v>
      </c>
    </row>
    <row r="18" spans="2:8" x14ac:dyDescent="0.2">
      <c r="B18" t="s">
        <v>103</v>
      </c>
      <c r="C18" s="3">
        <v>45488.625</v>
      </c>
      <c r="D18" s="43">
        <f>+'Debt Schedule'!I16</f>
        <v>46308.17</v>
      </c>
      <c r="E18" s="43">
        <f>+'Debt Schedule'!J16</f>
        <v>47160.496800000001</v>
      </c>
      <c r="F18" s="43">
        <f>+'Debt Schedule'!K16</f>
        <v>48046.916671999999</v>
      </c>
      <c r="G18" s="43">
        <f ca="1">+'Debt Schedule'!L16</f>
        <v>46873.845338760941</v>
      </c>
      <c r="H18" s="43">
        <f ca="1">+'Debt Schedule'!M16</f>
        <v>26947.46936719348</v>
      </c>
    </row>
    <row r="19" spans="2:8" x14ac:dyDescent="0.2">
      <c r="B19" t="s">
        <v>99</v>
      </c>
      <c r="C19" s="3">
        <v>1269</v>
      </c>
      <c r="D19" s="3">
        <v>1269</v>
      </c>
      <c r="E19" s="3">
        <v>1269</v>
      </c>
      <c r="F19" s="3">
        <v>1269</v>
      </c>
      <c r="G19" s="3">
        <v>1269</v>
      </c>
      <c r="H19" s="3">
        <v>1269</v>
      </c>
    </row>
    <row r="20" spans="2:8" x14ac:dyDescent="0.2">
      <c r="B20" t="s">
        <v>104</v>
      </c>
      <c r="C20" s="3">
        <v>51550</v>
      </c>
      <c r="D20" s="3">
        <f ca="1">+C20+IS!D17</f>
        <v>64266.104143166755</v>
      </c>
      <c r="E20" s="3">
        <f ca="1">+D20+IS!E17</f>
        <v>78353.164298804157</v>
      </c>
      <c r="F20" s="3">
        <f ca="1">+E20+IS!F17</f>
        <v>93980.838141433138</v>
      </c>
      <c r="G20" s="3">
        <f ca="1">+F20+IS!G17</f>
        <v>111342.03753623906</v>
      </c>
      <c r="H20" s="3">
        <f ca="1">+G20+IS!H17</f>
        <v>130725.87720155652</v>
      </c>
    </row>
    <row r="21" spans="2:8" x14ac:dyDescent="0.2">
      <c r="B21" s="1" t="s">
        <v>105</v>
      </c>
      <c r="C21" s="3">
        <v>170302.125</v>
      </c>
      <c r="D21" s="3">
        <f ca="1">+SUM(D15:D20)</f>
        <v>171407.99475000001</v>
      </c>
      <c r="E21" s="3">
        <f t="shared" ref="E21:H21" ca="1" si="7">+SUM(E15:E20)</f>
        <v>172269.772</v>
      </c>
      <c r="F21" s="3">
        <f t="shared" ca="1" si="7"/>
        <v>172890.252125</v>
      </c>
      <c r="G21" s="3">
        <f t="shared" ca="1" si="7"/>
        <v>173272.37026875</v>
      </c>
      <c r="H21" s="3">
        <f t="shared" ca="1" si="7"/>
        <v>173419.2083321875</v>
      </c>
    </row>
    <row r="24" spans="2:8" x14ac:dyDescent="0.2">
      <c r="B24" s="31" t="s">
        <v>170</v>
      </c>
      <c r="C24" s="32">
        <f>+'Rev.Costs'!E36</f>
        <v>144225</v>
      </c>
      <c r="D24" s="32">
        <f>+'Rev.Costs'!F36</f>
        <v>151436.25</v>
      </c>
      <c r="E24" s="32">
        <f>+'Rev.Costs'!G36</f>
        <v>159008.0625</v>
      </c>
      <c r="F24" s="32">
        <f>+'Rev.Costs'!H36</f>
        <v>166958.46562500001</v>
      </c>
      <c r="G24" s="32">
        <f>+'Rev.Costs'!I36</f>
        <v>175306.38890625001</v>
      </c>
      <c r="H24" s="33">
        <f>+'Rev.Costs'!J36</f>
        <v>184071.70835156256</v>
      </c>
    </row>
    <row r="25" spans="2:8" x14ac:dyDescent="0.2">
      <c r="B25" s="34" t="s">
        <v>18</v>
      </c>
      <c r="C25" s="3">
        <f>+'Rev.Costs'!E62</f>
        <v>96761.25</v>
      </c>
      <c r="D25" s="3">
        <f>+'Rev.Costs'!F62</f>
        <v>101599.3125</v>
      </c>
      <c r="E25" s="3">
        <f>+'Rev.Costs'!G62</f>
        <v>106679.278125</v>
      </c>
      <c r="F25" s="3">
        <f>+'Rev.Costs'!H62</f>
        <v>112013.24203125002</v>
      </c>
      <c r="G25" s="3">
        <f>+'Rev.Costs'!I62</f>
        <v>117613.90413281249</v>
      </c>
      <c r="H25" s="35">
        <f>+'Rev.Costs'!J62</f>
        <v>123494.59933945317</v>
      </c>
    </row>
    <row r="26" spans="2:8" x14ac:dyDescent="0.2">
      <c r="B26" s="34"/>
      <c r="H26" s="36"/>
    </row>
    <row r="27" spans="2:8" x14ac:dyDescent="0.2">
      <c r="B27" s="34" t="s">
        <v>171</v>
      </c>
      <c r="C27" s="37">
        <f>+($C$6/$C$24)*365</f>
        <v>24.842017680707229</v>
      </c>
      <c r="D27" s="37">
        <f t="shared" ref="D27:H27" si="8">+($C$6/$C$24)*365</f>
        <v>24.842017680707229</v>
      </c>
      <c r="E27" s="37">
        <f t="shared" si="8"/>
        <v>24.842017680707229</v>
      </c>
      <c r="F27" s="37">
        <f t="shared" si="8"/>
        <v>24.842017680707229</v>
      </c>
      <c r="G27" s="37">
        <f t="shared" si="8"/>
        <v>24.842017680707229</v>
      </c>
      <c r="H27" s="38">
        <f t="shared" si="8"/>
        <v>24.842017680707229</v>
      </c>
    </row>
    <row r="28" spans="2:8" x14ac:dyDescent="0.2">
      <c r="B28" s="34" t="s">
        <v>172</v>
      </c>
      <c r="C28" s="37">
        <f>+($C$7/$C$25)*365</f>
        <v>38.732653825782528</v>
      </c>
      <c r="D28" s="37">
        <f t="shared" ref="D28:H28" si="9">+($C$7/$C$25)*365</f>
        <v>38.732653825782528</v>
      </c>
      <c r="E28" s="37">
        <f t="shared" si="9"/>
        <v>38.732653825782528</v>
      </c>
      <c r="F28" s="37">
        <f t="shared" si="9"/>
        <v>38.732653825782528</v>
      </c>
      <c r="G28" s="37">
        <f t="shared" si="9"/>
        <v>38.732653825782528</v>
      </c>
      <c r="H28" s="38">
        <f t="shared" si="9"/>
        <v>38.732653825782528</v>
      </c>
    </row>
    <row r="29" spans="2:8" x14ac:dyDescent="0.2">
      <c r="B29" s="34" t="s">
        <v>173</v>
      </c>
      <c r="C29" s="16">
        <f>+$C$8/$C$24</f>
        <v>1.5801698734616051E-2</v>
      </c>
      <c r="D29" s="16">
        <f t="shared" ref="D29:H29" si="10">+$C$8/$C$24</f>
        <v>1.5801698734616051E-2</v>
      </c>
      <c r="E29" s="16">
        <f t="shared" si="10"/>
        <v>1.5801698734616051E-2</v>
      </c>
      <c r="F29" s="16">
        <f t="shared" si="10"/>
        <v>1.5801698734616051E-2</v>
      </c>
      <c r="G29" s="16">
        <f t="shared" si="10"/>
        <v>1.5801698734616051E-2</v>
      </c>
      <c r="H29" s="39">
        <f t="shared" si="10"/>
        <v>1.5801698734616051E-2</v>
      </c>
    </row>
    <row r="30" spans="2:8" x14ac:dyDescent="0.2">
      <c r="B30" s="34" t="s">
        <v>174</v>
      </c>
      <c r="C30" s="37">
        <f>+($C$15/$C$25)*365</f>
        <v>28.479892518957744</v>
      </c>
      <c r="D30" s="37">
        <f t="shared" ref="D30:H30" si="11">+($C$15/$C$25)*365</f>
        <v>28.479892518957744</v>
      </c>
      <c r="E30" s="37">
        <f t="shared" si="11"/>
        <v>28.479892518957744</v>
      </c>
      <c r="F30" s="37">
        <f t="shared" si="11"/>
        <v>28.479892518957744</v>
      </c>
      <c r="G30" s="37">
        <f t="shared" si="11"/>
        <v>28.479892518957744</v>
      </c>
      <c r="H30" s="38">
        <f t="shared" si="11"/>
        <v>28.479892518957744</v>
      </c>
    </row>
    <row r="31" spans="2:8" x14ac:dyDescent="0.2">
      <c r="B31" s="40" t="s">
        <v>175</v>
      </c>
      <c r="C31" s="41">
        <f>+$C$16/$C$24</f>
        <v>2.6299185300745362E-2</v>
      </c>
      <c r="D31" s="41">
        <f t="shared" ref="D31:H31" si="12">+$C$16/$C$24</f>
        <v>2.6299185300745362E-2</v>
      </c>
      <c r="E31" s="41">
        <f t="shared" si="12"/>
        <v>2.6299185300745362E-2</v>
      </c>
      <c r="F31" s="41">
        <f t="shared" si="12"/>
        <v>2.6299185300745362E-2</v>
      </c>
      <c r="G31" s="41">
        <f t="shared" si="12"/>
        <v>2.6299185300745362E-2</v>
      </c>
      <c r="H31" s="42">
        <f t="shared" si="12"/>
        <v>2.6299185300745362E-2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580-F35B-411E-9F3F-49C4C1C353FD}">
  <dimension ref="C3:K15"/>
  <sheetViews>
    <sheetView workbookViewId="0">
      <selection activeCell="E48" sqref="E48"/>
    </sheetView>
  </sheetViews>
  <sheetFormatPr defaultRowHeight="11.25" x14ac:dyDescent="0.2"/>
  <cols>
    <col min="3" max="3" width="11" bestFit="1" customWidth="1"/>
  </cols>
  <sheetData>
    <row r="3" spans="3:11" x14ac:dyDescent="0.2">
      <c r="C3" t="s">
        <v>108</v>
      </c>
      <c r="D3">
        <v>5</v>
      </c>
    </row>
    <row r="4" spans="3:11" x14ac:dyDescent="0.2">
      <c r="C4" t="s">
        <v>109</v>
      </c>
      <c r="D4">
        <v>6500</v>
      </c>
    </row>
    <row r="5" spans="3:11" x14ac:dyDescent="0.2">
      <c r="C5" t="s">
        <v>110</v>
      </c>
      <c r="D5">
        <v>1500</v>
      </c>
    </row>
    <row r="6" spans="3:11" x14ac:dyDescent="0.2">
      <c r="C6" t="s">
        <v>111</v>
      </c>
      <c r="D6">
        <v>1000</v>
      </c>
    </row>
    <row r="7" spans="3:11" x14ac:dyDescent="0.2">
      <c r="C7" t="s">
        <v>112</v>
      </c>
      <c r="D7">
        <f>+D5/D3</f>
        <v>300</v>
      </c>
      <c r="F7" s="1">
        <v>2011</v>
      </c>
      <c r="G7" s="1">
        <f>+F7+1</f>
        <v>2012</v>
      </c>
      <c r="H7" s="1">
        <f t="shared" ref="H7:K7" si="0">+G7+1</f>
        <v>2013</v>
      </c>
      <c r="I7" s="1">
        <f t="shared" si="0"/>
        <v>2014</v>
      </c>
      <c r="J7" s="1">
        <f t="shared" si="0"/>
        <v>2015</v>
      </c>
      <c r="K7" s="1">
        <f t="shared" si="0"/>
        <v>2016</v>
      </c>
    </row>
    <row r="9" spans="3:11" x14ac:dyDescent="0.2">
      <c r="F9">
        <f>+$D$6</f>
        <v>1000</v>
      </c>
      <c r="G9">
        <f t="shared" ref="G9:K9" si="1">+$D$6</f>
        <v>1000</v>
      </c>
      <c r="H9">
        <f t="shared" si="1"/>
        <v>1000</v>
      </c>
      <c r="I9">
        <f t="shared" si="1"/>
        <v>1000</v>
      </c>
      <c r="J9">
        <f t="shared" si="1"/>
        <v>1000</v>
      </c>
      <c r="K9">
        <f t="shared" si="1"/>
        <v>1000</v>
      </c>
    </row>
    <row r="10" spans="3:11" x14ac:dyDescent="0.2">
      <c r="G10">
        <f t="shared" ref="G10:K11" si="2">+$D$7</f>
        <v>300</v>
      </c>
      <c r="H10">
        <f t="shared" si="2"/>
        <v>300</v>
      </c>
      <c r="I10">
        <f t="shared" si="2"/>
        <v>300</v>
      </c>
      <c r="J10">
        <f t="shared" si="2"/>
        <v>300</v>
      </c>
      <c r="K10">
        <f t="shared" si="2"/>
        <v>300</v>
      </c>
    </row>
    <row r="11" spans="3:11" x14ac:dyDescent="0.2">
      <c r="H11">
        <f>+$D$7</f>
        <v>300</v>
      </c>
      <c r="I11">
        <f t="shared" si="2"/>
        <v>300</v>
      </c>
      <c r="J11">
        <f t="shared" si="2"/>
        <v>300</v>
      </c>
      <c r="K11">
        <f t="shared" si="2"/>
        <v>300</v>
      </c>
    </row>
    <row r="12" spans="3:11" x14ac:dyDescent="0.2">
      <c r="I12">
        <f>+$H$11</f>
        <v>300</v>
      </c>
      <c r="J12">
        <f t="shared" ref="J12:K12" si="3">+$H$11</f>
        <v>300</v>
      </c>
      <c r="K12">
        <f t="shared" si="3"/>
        <v>300</v>
      </c>
    </row>
    <row r="13" spans="3:11" x14ac:dyDescent="0.2">
      <c r="J13">
        <f>+$J$12</f>
        <v>300</v>
      </c>
      <c r="K13">
        <f t="shared" ref="K13" si="4">+$J$12</f>
        <v>300</v>
      </c>
    </row>
    <row r="14" spans="3:11" x14ac:dyDescent="0.2">
      <c r="K14">
        <f>+$K$13</f>
        <v>300</v>
      </c>
    </row>
    <row r="15" spans="3:11" x14ac:dyDescent="0.2">
      <c r="F15" s="1">
        <f>SUM(F9:F14)</f>
        <v>1000</v>
      </c>
      <c r="G15" s="1">
        <f t="shared" ref="G15:K15" si="5">SUM(G9:G14)</f>
        <v>1300</v>
      </c>
      <c r="H15" s="1">
        <f t="shared" si="5"/>
        <v>1600</v>
      </c>
      <c r="I15" s="1">
        <f t="shared" si="5"/>
        <v>1900</v>
      </c>
      <c r="J15" s="1">
        <f t="shared" si="5"/>
        <v>2200</v>
      </c>
      <c r="K15" s="1">
        <f t="shared" si="5"/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033F-1D4E-44C9-BC66-F924C7CAE7FA}">
  <dimension ref="B2:O32"/>
  <sheetViews>
    <sheetView showGridLines="0" workbookViewId="0">
      <selection activeCell="H9" sqref="H9"/>
    </sheetView>
  </sheetViews>
  <sheetFormatPr defaultRowHeight="11.25" x14ac:dyDescent="0.2"/>
  <cols>
    <col min="1" max="1" width="2.33203125" customWidth="1"/>
    <col min="7" max="7" width="11.1640625" customWidth="1"/>
  </cols>
  <sheetData>
    <row r="2" spans="2:15" x14ac:dyDescent="0.2">
      <c r="B2" s="70" t="s">
        <v>188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2:15" x14ac:dyDescent="0.2">
      <c r="B3" s="71" t="s">
        <v>187</v>
      </c>
      <c r="C3" s="69"/>
      <c r="D3" s="69"/>
      <c r="E3" s="69"/>
      <c r="F3" s="69"/>
      <c r="G3" s="69"/>
      <c r="H3" s="73">
        <v>2011</v>
      </c>
      <c r="I3" s="73">
        <f>+H3+1</f>
        <v>2012</v>
      </c>
      <c r="J3" s="73">
        <f t="shared" ref="J3:M3" si="0">+I3+1</f>
        <v>2013</v>
      </c>
      <c r="K3" s="73">
        <f t="shared" si="0"/>
        <v>2014</v>
      </c>
      <c r="L3" s="73">
        <f t="shared" si="0"/>
        <v>2015</v>
      </c>
      <c r="M3" s="73">
        <f t="shared" si="0"/>
        <v>2016</v>
      </c>
    </row>
    <row r="4" spans="2:15" x14ac:dyDescent="0.2">
      <c r="B4" s="10" t="s">
        <v>130</v>
      </c>
    </row>
    <row r="5" spans="2:15" x14ac:dyDescent="0.2">
      <c r="B5" t="s">
        <v>131</v>
      </c>
      <c r="H5" s="43"/>
      <c r="I5" s="43">
        <f>+H8</f>
        <v>60651.5</v>
      </c>
      <c r="J5" s="43">
        <f ca="1">+I8</f>
        <v>47654.570606833251</v>
      </c>
      <c r="K5" s="43">
        <f t="shared" ref="K5:M5" ca="1" si="1">+J8</f>
        <v>32981.453401195839</v>
      </c>
      <c r="L5" s="43">
        <f t="shared" ref="L5:M5" ca="1" si="2">+K8</f>
        <v>16462.556936566863</v>
      </c>
      <c r="M5" s="43"/>
    </row>
    <row r="6" spans="2:15" x14ac:dyDescent="0.2">
      <c r="B6" t="s">
        <v>132</v>
      </c>
      <c r="H6" s="43"/>
      <c r="I6" s="43">
        <v>0</v>
      </c>
      <c r="J6" s="43"/>
      <c r="K6" s="43"/>
      <c r="L6" s="43"/>
      <c r="M6" s="43"/>
    </row>
    <row r="7" spans="2:15" ht="12" thickBot="1" x14ac:dyDescent="0.25">
      <c r="B7" t="s">
        <v>133</v>
      </c>
      <c r="H7" s="44"/>
      <c r="I7" s="44">
        <f ca="1">+CF!D18</f>
        <v>-12996.929393166751</v>
      </c>
      <c r="J7" s="44">
        <f ca="1">+CF!E18</f>
        <v>-14673.117205637413</v>
      </c>
      <c r="K7" s="44">
        <f ca="1">+CF!F18</f>
        <v>-16518.896464628975</v>
      </c>
      <c r="L7" s="44">
        <f ca="1">-+L5</f>
        <v>-16462.556936566863</v>
      </c>
      <c r="M7" s="44"/>
      <c r="O7" s="43"/>
    </row>
    <row r="8" spans="2:15" x14ac:dyDescent="0.2">
      <c r="B8" t="s">
        <v>134</v>
      </c>
      <c r="H8" s="43">
        <f>+' BS PF'!G16</f>
        <v>60651.5</v>
      </c>
      <c r="I8" s="43">
        <f ca="1">SUM(I5:I7)</f>
        <v>47654.570606833251</v>
      </c>
      <c r="J8" s="43">
        <f ca="1">SUM(J5:J7)</f>
        <v>32981.453401195839</v>
      </c>
      <c r="K8" s="43">
        <f t="shared" ref="K8" ca="1" si="3">SUM(K5:K7)</f>
        <v>16462.556936566863</v>
      </c>
      <c r="L8" s="43">
        <f ca="1">SUM(L5:L7)</f>
        <v>0</v>
      </c>
      <c r="M8" s="43"/>
    </row>
    <row r="9" spans="2:15" x14ac:dyDescent="0.2">
      <c r="B9" s="26" t="s">
        <v>135</v>
      </c>
      <c r="H9" s="43">
        <f>+$G$21-H8</f>
        <v>30325.75</v>
      </c>
      <c r="I9" s="43">
        <f t="shared" ref="I9:J9" ca="1" si="4">+$G$21-I8</f>
        <v>43322.679393166749</v>
      </c>
      <c r="J9" s="43">
        <f t="shared" ca="1" si="4"/>
        <v>57995.796598804161</v>
      </c>
      <c r="K9" s="43">
        <f t="shared" ref="K9:M9" ca="1" si="5">+$G$21-K8</f>
        <v>74514.693063433137</v>
      </c>
      <c r="L9" s="43">
        <f t="shared" ref="L9:M9" ca="1" si="6">+$G$21-L8</f>
        <v>90977.25</v>
      </c>
      <c r="M9" s="43">
        <f t="shared" si="6"/>
        <v>90977.25</v>
      </c>
    </row>
    <row r="10" spans="2:15" x14ac:dyDescent="0.2">
      <c r="H10" s="43"/>
      <c r="I10" s="43"/>
      <c r="J10" s="43"/>
      <c r="K10" s="43"/>
      <c r="L10" s="43"/>
      <c r="M10" s="43"/>
    </row>
    <row r="11" spans="2:15" x14ac:dyDescent="0.2">
      <c r="B11" s="10" t="s">
        <v>136</v>
      </c>
      <c r="H11" s="43"/>
      <c r="I11" s="43"/>
      <c r="J11" s="43"/>
      <c r="K11" s="43"/>
      <c r="L11" s="43"/>
      <c r="M11" s="43"/>
    </row>
    <row r="12" spans="2:15" x14ac:dyDescent="0.2">
      <c r="B12" t="s">
        <v>131</v>
      </c>
      <c r="H12" s="43"/>
      <c r="I12" s="43">
        <f>+H16</f>
        <v>45488.625</v>
      </c>
      <c r="J12" s="43">
        <f>+I16</f>
        <v>46308.17</v>
      </c>
      <c r="K12" s="43">
        <f t="shared" ref="K12:M12" si="7">+J16</f>
        <v>47160.496800000001</v>
      </c>
      <c r="L12" s="43">
        <f t="shared" ref="L12:M12" si="8">+K16</f>
        <v>48046.916671999999</v>
      </c>
      <c r="M12" s="43">
        <f t="shared" ca="1" si="8"/>
        <v>46873.845338760941</v>
      </c>
    </row>
    <row r="13" spans="2:15" x14ac:dyDescent="0.2">
      <c r="B13" t="s">
        <v>132</v>
      </c>
      <c r="H13" s="43"/>
      <c r="I13" s="43">
        <v>-1000</v>
      </c>
      <c r="J13" s="43">
        <v>-1000</v>
      </c>
      <c r="K13" s="43">
        <v>-1000</v>
      </c>
      <c r="L13" s="43">
        <v>-1000</v>
      </c>
      <c r="M13" s="43">
        <v>-1000</v>
      </c>
    </row>
    <row r="14" spans="2:15" x14ac:dyDescent="0.2">
      <c r="B14" t="s">
        <v>133</v>
      </c>
      <c r="H14" s="43"/>
      <c r="I14" s="43"/>
      <c r="J14" s="43"/>
      <c r="K14" s="43"/>
      <c r="L14" s="43">
        <f ca="1">+CF!G18-'Debt Schedule'!L7</f>
        <v>-2094.9480001190605</v>
      </c>
      <c r="M14" s="43">
        <f ca="1">+CF!H18</f>
        <v>-20801.329785117898</v>
      </c>
    </row>
    <row r="15" spans="2:15" ht="12" thickBot="1" x14ac:dyDescent="0.25">
      <c r="B15" t="s">
        <v>137</v>
      </c>
      <c r="H15" s="44"/>
      <c r="I15" s="44">
        <f>+I24</f>
        <v>1819.5450000000001</v>
      </c>
      <c r="J15" s="44">
        <f>+J24</f>
        <v>1852.3268</v>
      </c>
      <c r="K15" s="44">
        <f t="shared" ref="K15:M15" si="9">+K24</f>
        <v>1886.4198720000002</v>
      </c>
      <c r="L15" s="44">
        <f t="shared" ref="L15:M15" si="10">+L24</f>
        <v>1921.8766668799999</v>
      </c>
      <c r="M15" s="44">
        <f t="shared" ca="1" si="10"/>
        <v>1874.9538135504376</v>
      </c>
    </row>
    <row r="16" spans="2:15" x14ac:dyDescent="0.2">
      <c r="B16" t="s">
        <v>138</v>
      </c>
      <c r="H16" s="43">
        <f>+'BS proj'!C18</f>
        <v>45488.625</v>
      </c>
      <c r="I16" s="43">
        <f>+I12+SUM(I13:I15)</f>
        <v>46308.17</v>
      </c>
      <c r="J16" s="43">
        <f>+J12+SUM(J13:J15)</f>
        <v>47160.496800000001</v>
      </c>
      <c r="K16" s="43">
        <f t="shared" ref="K16:M16" si="11">+K12+SUM(K13:K15)</f>
        <v>48046.916671999999</v>
      </c>
      <c r="L16" s="43">
        <f t="shared" ca="1" si="11"/>
        <v>46873.845338760941</v>
      </c>
      <c r="M16" s="43">
        <f t="shared" ref="M16" ca="1" si="12">+M12+SUM(M13:M15)</f>
        <v>26947.46936719348</v>
      </c>
    </row>
    <row r="17" spans="2:13" x14ac:dyDescent="0.2">
      <c r="H17" s="43"/>
      <c r="I17" s="43"/>
      <c r="J17" s="43"/>
      <c r="K17" s="43"/>
      <c r="L17" s="43"/>
      <c r="M17" s="43"/>
    </row>
    <row r="18" spans="2:13" ht="12" thickBot="1" x14ac:dyDescent="0.25">
      <c r="B18" s="10" t="s">
        <v>139</v>
      </c>
      <c r="E18" s="21" t="s">
        <v>143</v>
      </c>
      <c r="F18" s="21" t="s">
        <v>144</v>
      </c>
      <c r="H18" s="43"/>
      <c r="I18" s="43"/>
      <c r="J18" s="43"/>
      <c r="K18" s="43"/>
      <c r="L18" s="43"/>
      <c r="M18" s="43"/>
    </row>
    <row r="19" spans="2:13" x14ac:dyDescent="0.2">
      <c r="B19" t="s">
        <v>130</v>
      </c>
      <c r="E19" s="14" t="s">
        <v>145</v>
      </c>
      <c r="F19" s="27">
        <v>0.04</v>
      </c>
      <c r="H19" s="43"/>
      <c r="I19" s="43">
        <f ca="1">+AVERAGE(H8:I8)*($F$19+I31)</f>
        <v>3790.7124712391642</v>
      </c>
      <c r="J19" s="43">
        <f ca="1">+AVERAGE(I8:J8)*($F$19+J31)</f>
        <v>2923.0558702910548</v>
      </c>
      <c r="K19" s="43">
        <f t="shared" ref="K19:M19" ca="1" si="13">+AVERAGE(J8:K8)*($F$19+K31)</f>
        <v>1854.1503876661016</v>
      </c>
      <c r="L19" s="43">
        <f t="shared" ref="L19:M19" ca="1" si="14">+AVERAGE(K8:L8)*($F$19+L31)</f>
        <v>637.9240812919661</v>
      </c>
      <c r="M19" s="43">
        <f t="shared" ref="M19" ca="1" si="15">+AVERAGE(L8:M8)*($F$19+M31)</f>
        <v>0</v>
      </c>
    </row>
    <row r="20" spans="2:13" ht="12" thickBot="1" x14ac:dyDescent="0.25">
      <c r="B20" t="s">
        <v>140</v>
      </c>
      <c r="E20" s="14" t="s">
        <v>146</v>
      </c>
      <c r="F20" s="27">
        <v>0.08</v>
      </c>
      <c r="G20" s="14" t="s">
        <v>151</v>
      </c>
      <c r="H20" s="43"/>
      <c r="I20" s="43">
        <f>+((I16+H16)/2)*$F$20</f>
        <v>3671.8717999999999</v>
      </c>
      <c r="J20" s="43">
        <f>+((J16+I16)/2)*$F$20</f>
        <v>3738.7466720000002</v>
      </c>
      <c r="K20" s="43">
        <f t="shared" ref="K20:M20" si="16">+((K16+J16)/2)*$F$20</f>
        <v>3808.2965388800003</v>
      </c>
      <c r="L20" s="43">
        <f t="shared" ref="L20:M20" ca="1" si="17">+((L16+K16)/2)*$F$20</f>
        <v>3796.8304804304375</v>
      </c>
      <c r="M20" s="43">
        <f t="shared" ref="M20" ca="1" si="18">+((M16+L16)/2)*$F$20</f>
        <v>2952.8525882381773</v>
      </c>
    </row>
    <row r="21" spans="2:13" ht="12" thickBot="1" x14ac:dyDescent="0.25">
      <c r="B21" t="s">
        <v>141</v>
      </c>
      <c r="E21" s="14" t="s">
        <v>146</v>
      </c>
      <c r="F21" s="27">
        <v>5.0000000000000001E-3</v>
      </c>
      <c r="G21" s="28">
        <f>3*'Rev.Costs'!E98</f>
        <v>90977.25</v>
      </c>
      <c r="H21" s="43"/>
      <c r="I21" s="46">
        <f ca="1">+AVERAGE(H9:I9)*$F$21</f>
        <v>184.12107348291687</v>
      </c>
      <c r="J21" s="46">
        <f t="shared" ref="J21:K21" ca="1" si="19">+AVERAGE(I9:J9)*$F$21</f>
        <v>253.29618997992731</v>
      </c>
      <c r="K21" s="46">
        <f t="shared" ca="1" si="19"/>
        <v>331.27622415559324</v>
      </c>
      <c r="L21" s="46">
        <f t="shared" ref="L21:M21" ca="1" si="20">+AVERAGE(K9:L9)*$F$21</f>
        <v>413.72985765858283</v>
      </c>
      <c r="M21" s="46">
        <f t="shared" ref="M21" ca="1" si="21">+AVERAGE(L9:M9)*$F$21</f>
        <v>454.88625000000002</v>
      </c>
    </row>
    <row r="22" spans="2:13" x14ac:dyDescent="0.2">
      <c r="B22" s="1" t="s">
        <v>142</v>
      </c>
      <c r="H22" s="43"/>
      <c r="I22" s="48">
        <f t="shared" ref="I22:J22" ca="1" si="22">+SUM(I19:I21)</f>
        <v>7646.7053447220806</v>
      </c>
      <c r="J22" s="48">
        <f t="shared" ca="1" si="22"/>
        <v>6915.0987322709825</v>
      </c>
      <c r="K22" s="48">
        <f t="shared" ref="K22:M22" ca="1" si="23">+SUM(K19:K21)</f>
        <v>5993.723150701695</v>
      </c>
      <c r="L22" s="48">
        <f t="shared" ref="L22:M22" ca="1" si="24">+SUM(L19:L21)</f>
        <v>4848.4844193809868</v>
      </c>
      <c r="M22" s="48">
        <f t="shared" ref="M22" ca="1" si="25">+SUM(M19:M21)</f>
        <v>3407.7388382381773</v>
      </c>
    </row>
    <row r="23" spans="2:13" x14ac:dyDescent="0.2">
      <c r="H23" s="43"/>
      <c r="I23" s="43"/>
      <c r="J23" s="43"/>
      <c r="K23" s="43"/>
      <c r="L23" s="43"/>
      <c r="M23" s="43"/>
    </row>
    <row r="24" spans="2:13" ht="12" thickBot="1" x14ac:dyDescent="0.25">
      <c r="B24" t="s">
        <v>147</v>
      </c>
      <c r="E24" s="14" t="s">
        <v>146</v>
      </c>
      <c r="F24" s="27">
        <v>0.04</v>
      </c>
      <c r="H24" s="43"/>
      <c r="I24" s="44">
        <f>+I12*$F$24</f>
        <v>1819.5450000000001</v>
      </c>
      <c r="J24" s="44">
        <f>+J12*$F$24</f>
        <v>1852.3268</v>
      </c>
      <c r="K24" s="44">
        <f t="shared" ref="K24:M24" si="26">+K12*$F$24</f>
        <v>1886.4198720000002</v>
      </c>
      <c r="L24" s="44">
        <f t="shared" ref="L24:M24" si="27">+L12*$F$24</f>
        <v>1921.8766668799999</v>
      </c>
      <c r="M24" s="44">
        <f t="shared" ref="M24" ca="1" si="28">+M12*$F$24</f>
        <v>1874.9538135504376</v>
      </c>
    </row>
    <row r="25" spans="2:13" x14ac:dyDescent="0.2">
      <c r="B25" s="1" t="s">
        <v>148</v>
      </c>
      <c r="H25" s="43"/>
      <c r="I25" s="47">
        <f>+I24</f>
        <v>1819.5450000000001</v>
      </c>
      <c r="J25" s="47">
        <f>+J24</f>
        <v>1852.3268</v>
      </c>
      <c r="K25" s="47">
        <f t="shared" ref="K25:M25" si="29">+K24</f>
        <v>1886.4198720000002</v>
      </c>
      <c r="L25" s="47">
        <f t="shared" si="29"/>
        <v>1921.8766668799999</v>
      </c>
      <c r="M25" s="47">
        <f t="shared" ref="M25" ca="1" si="30">+M24</f>
        <v>1874.9538135504376</v>
      </c>
    </row>
    <row r="26" spans="2:13" x14ac:dyDescent="0.2">
      <c r="B26" s="1" t="s">
        <v>149</v>
      </c>
      <c r="H26" s="43"/>
      <c r="I26" s="47">
        <f ca="1">+I25+I22</f>
        <v>9466.2503447220806</v>
      </c>
      <c r="J26" s="47">
        <f ca="1">+J25+J22</f>
        <v>8767.4255322709832</v>
      </c>
      <c r="K26" s="47">
        <f t="shared" ref="K26:M26" ca="1" si="31">+K25+K22</f>
        <v>7880.1430227016954</v>
      </c>
      <c r="L26" s="47">
        <f t="shared" ca="1" si="31"/>
        <v>6770.3610862609867</v>
      </c>
      <c r="M26" s="47">
        <f t="shared" ref="M26" ca="1" si="32">+M25+M22</f>
        <v>5282.692651788615</v>
      </c>
    </row>
    <row r="27" spans="2:13" x14ac:dyDescent="0.2">
      <c r="H27" s="43"/>
      <c r="I27" s="43"/>
      <c r="J27" s="43"/>
      <c r="K27" s="43"/>
      <c r="L27" s="43"/>
      <c r="M27" s="43"/>
    </row>
    <row r="28" spans="2:13" x14ac:dyDescent="0.2">
      <c r="B28" s="1" t="s">
        <v>150</v>
      </c>
      <c r="F28" s="27">
        <v>0.01</v>
      </c>
      <c r="H28" s="43"/>
      <c r="I28" s="43">
        <f>+$F$28*' BS PF'!$G$4</f>
        <v>50</v>
      </c>
      <c r="J28" s="43">
        <f>+$F$28*' BS PF'!$G$4</f>
        <v>50</v>
      </c>
      <c r="K28" s="43">
        <f>+$F$28*' BS PF'!$G$4</f>
        <v>50</v>
      </c>
      <c r="L28" s="43">
        <f>+$F$28*' BS PF'!$G$4</f>
        <v>50</v>
      </c>
      <c r="M28" s="43">
        <f>+$F$28*' BS PF'!$G$4</f>
        <v>50</v>
      </c>
    </row>
    <row r="31" spans="2:13" x14ac:dyDescent="0.2">
      <c r="B31" t="s">
        <v>152</v>
      </c>
      <c r="I31" s="29">
        <v>0.03</v>
      </c>
      <c r="J31" s="29">
        <f>+I31+J32</f>
        <v>3.2500000000000001E-2</v>
      </c>
      <c r="K31" s="29">
        <f t="shared" ref="K31:M31" si="33">+J31+K32</f>
        <v>3.5000000000000003E-2</v>
      </c>
      <c r="L31" s="29">
        <f t="shared" si="33"/>
        <v>3.7500000000000006E-2</v>
      </c>
      <c r="M31" s="29">
        <f t="shared" si="33"/>
        <v>4.0000000000000008E-2</v>
      </c>
    </row>
    <row r="32" spans="2:13" x14ac:dyDescent="0.2">
      <c r="B32" s="26" t="s">
        <v>153</v>
      </c>
      <c r="I32" s="29"/>
      <c r="J32" s="29">
        <v>2.5000000000000001E-3</v>
      </c>
      <c r="K32" s="29">
        <v>2.5000000000000001E-3</v>
      </c>
      <c r="L32" s="29">
        <v>2.5000000000000001E-3</v>
      </c>
      <c r="M32" s="29">
        <v>2.5000000000000001E-3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B236-EADD-466D-8E28-EC2FD17DB610}">
  <dimension ref="C2:K43"/>
  <sheetViews>
    <sheetView showGridLines="0" tabSelected="1" workbookViewId="0">
      <selection activeCell="O19" sqref="O19"/>
    </sheetView>
  </sheetViews>
  <sheetFormatPr defaultRowHeight="11.25" x14ac:dyDescent="0.2"/>
  <cols>
    <col min="3" max="3" width="19.6640625" bestFit="1" customWidth="1"/>
    <col min="4" max="4" width="10.33203125" bestFit="1" customWidth="1"/>
    <col min="5" max="5" width="9.33203125" customWidth="1"/>
    <col min="6" max="6" width="11.6640625" customWidth="1"/>
    <col min="7" max="7" width="9.33203125" customWidth="1"/>
  </cols>
  <sheetData>
    <row r="2" spans="3:11" x14ac:dyDescent="0.2">
      <c r="C2" s="70" t="s">
        <v>183</v>
      </c>
      <c r="D2" s="69"/>
      <c r="E2" s="69"/>
      <c r="F2" s="69"/>
      <c r="G2" s="69"/>
      <c r="H2" s="69"/>
      <c r="I2" s="69"/>
      <c r="J2" s="69"/>
      <c r="K2" s="69"/>
    </row>
    <row r="3" spans="3:11" ht="12" thickBot="1" x14ac:dyDescent="0.25">
      <c r="C3" s="71" t="s">
        <v>187</v>
      </c>
      <c r="D3" s="69"/>
      <c r="E3" s="69"/>
      <c r="F3" s="69"/>
      <c r="G3" s="68">
        <v>2012</v>
      </c>
      <c r="H3" s="68">
        <f>+G3+1</f>
        <v>2013</v>
      </c>
      <c r="I3" s="68">
        <f t="shared" ref="I3:K3" si="0">+H3+1</f>
        <v>2014</v>
      </c>
      <c r="J3" s="68">
        <f t="shared" si="0"/>
        <v>2015</v>
      </c>
      <c r="K3" s="68">
        <f t="shared" si="0"/>
        <v>2016</v>
      </c>
    </row>
    <row r="4" spans="3:11" ht="12" thickBot="1" x14ac:dyDescent="0.25">
      <c r="C4" s="13" t="s">
        <v>176</v>
      </c>
      <c r="D4" s="13"/>
      <c r="E4" s="13"/>
      <c r="F4" s="13"/>
      <c r="G4" s="13">
        <v>1</v>
      </c>
      <c r="H4" s="13">
        <v>2</v>
      </c>
      <c r="I4" s="13">
        <v>3</v>
      </c>
      <c r="J4" s="13">
        <v>4</v>
      </c>
      <c r="K4" s="13">
        <v>5</v>
      </c>
    </row>
    <row r="5" spans="3:11" x14ac:dyDescent="0.2">
      <c r="C5" t="s">
        <v>115</v>
      </c>
      <c r="G5" s="3">
        <f>+IS!D8</f>
        <v>32122.037499999999</v>
      </c>
      <c r="H5" s="3">
        <f>+IS!E8</f>
        <v>34008.139374999999</v>
      </c>
      <c r="I5" s="3">
        <f>+IS!F8</f>
        <v>35988.546343749993</v>
      </c>
      <c r="J5" s="3">
        <f>+IS!G8</f>
        <v>38067.973660937525</v>
      </c>
      <c r="K5" s="3">
        <f>+IS!H8</f>
        <v>40251.372343984382</v>
      </c>
    </row>
    <row r="7" spans="3:11" ht="12" thickBot="1" x14ac:dyDescent="0.25">
      <c r="E7" s="66" t="s">
        <v>178</v>
      </c>
      <c r="F7" s="61"/>
    </row>
    <row r="8" spans="3:11" x14ac:dyDescent="0.2">
      <c r="C8" t="s">
        <v>177</v>
      </c>
      <c r="E8" s="64">
        <v>4</v>
      </c>
      <c r="F8" s="62"/>
      <c r="G8" s="3">
        <f>+G$5*$E8</f>
        <v>128488.15</v>
      </c>
      <c r="H8" s="3">
        <f t="shared" ref="H8:K11" si="1">+H$5*$E8</f>
        <v>136032.5575</v>
      </c>
      <c r="I8" s="3">
        <f t="shared" si="1"/>
        <v>143954.18537499997</v>
      </c>
      <c r="J8" s="3">
        <f t="shared" si="1"/>
        <v>152271.8946437501</v>
      </c>
      <c r="K8" s="3">
        <f t="shared" si="1"/>
        <v>161005.48937593753</v>
      </c>
    </row>
    <row r="9" spans="3:11" x14ac:dyDescent="0.2">
      <c r="E9" s="59">
        <v>5</v>
      </c>
      <c r="F9" s="62"/>
      <c r="G9" s="3">
        <f t="shared" ref="G9:K11" si="2">+G$5*$E9</f>
        <v>160610.1875</v>
      </c>
      <c r="H9" s="3">
        <f t="shared" si="1"/>
        <v>170040.69687499999</v>
      </c>
      <c r="I9" s="3">
        <f t="shared" si="1"/>
        <v>179942.73171874997</v>
      </c>
      <c r="J9" s="3">
        <f t="shared" si="1"/>
        <v>190339.86830468761</v>
      </c>
      <c r="K9" s="3">
        <f t="shared" si="1"/>
        <v>201256.8617199219</v>
      </c>
    </row>
    <row r="10" spans="3:11" x14ac:dyDescent="0.2">
      <c r="E10" s="59">
        <v>6</v>
      </c>
      <c r="F10" s="62"/>
      <c r="G10" s="3">
        <f t="shared" si="2"/>
        <v>192732.22499999998</v>
      </c>
      <c r="H10" s="3">
        <f t="shared" si="1"/>
        <v>204048.83624999999</v>
      </c>
      <c r="I10" s="3">
        <f t="shared" si="1"/>
        <v>215931.27806249994</v>
      </c>
      <c r="J10" s="3">
        <f t="shared" si="1"/>
        <v>228407.84196562515</v>
      </c>
      <c r="K10" s="3">
        <f t="shared" si="1"/>
        <v>241508.2340639063</v>
      </c>
    </row>
    <row r="11" spans="3:11" ht="12" thickBot="1" x14ac:dyDescent="0.25">
      <c r="E11" s="60">
        <v>7</v>
      </c>
      <c r="F11" s="62"/>
      <c r="G11" s="3">
        <f t="shared" si="2"/>
        <v>224854.26249999998</v>
      </c>
      <c r="H11" s="3">
        <f t="shared" si="1"/>
        <v>238056.97562499999</v>
      </c>
      <c r="I11" s="3">
        <f t="shared" si="1"/>
        <v>251919.82440624994</v>
      </c>
      <c r="J11" s="3">
        <f t="shared" si="1"/>
        <v>266475.81562656269</v>
      </c>
      <c r="K11" s="3">
        <f t="shared" si="1"/>
        <v>281759.60640789068</v>
      </c>
    </row>
    <row r="13" spans="3:11" x14ac:dyDescent="0.2">
      <c r="C13" t="s">
        <v>179</v>
      </c>
      <c r="G13" s="3">
        <f ca="1">+('BS proj'!D17+'BS proj'!D18)-'BS proj'!D5</f>
        <v>88962.740606833249</v>
      </c>
      <c r="H13" s="3">
        <f ca="1">+('BS proj'!E17+'BS proj'!E18)-'BS proj'!E5</f>
        <v>75141.950201195839</v>
      </c>
      <c r="I13" s="3">
        <f ca="1">+('BS proj'!F17+'BS proj'!F18)-'BS proj'!F5</f>
        <v>59509.473608566863</v>
      </c>
      <c r="J13" s="3">
        <f ca="1">+('BS proj'!G17+'BS proj'!G18)-'BS proj'!G5</f>
        <v>41873.845338760941</v>
      </c>
      <c r="K13" s="3">
        <f ca="1">+('BS proj'!H17+'BS proj'!H18)-'BS proj'!H5</f>
        <v>21947.46936719348</v>
      </c>
    </row>
    <row r="15" spans="3:11" ht="12" thickBot="1" x14ac:dyDescent="0.25">
      <c r="E15" s="66" t="s">
        <v>178</v>
      </c>
      <c r="F15" s="61"/>
    </row>
    <row r="16" spans="3:11" x14ac:dyDescent="0.2">
      <c r="C16" t="s">
        <v>180</v>
      </c>
      <c r="E16" s="64">
        <v>4</v>
      </c>
      <c r="F16" s="62"/>
      <c r="G16" s="3">
        <f ca="1">+G8-G$13</f>
        <v>39525.409393166745</v>
      </c>
      <c r="H16" s="3">
        <f t="shared" ref="H16:K16" ca="1" si="3">+H8-H$13</f>
        <v>60890.607298804156</v>
      </c>
      <c r="I16" s="3">
        <f t="shared" ca="1" si="3"/>
        <v>84444.711766433116</v>
      </c>
      <c r="J16" s="3">
        <f t="shared" ca="1" si="3"/>
        <v>110398.04930498917</v>
      </c>
      <c r="K16" s="3">
        <f t="shared" ca="1" si="3"/>
        <v>139058.02000874403</v>
      </c>
    </row>
    <row r="17" spans="3:11" x14ac:dyDescent="0.2">
      <c r="E17" s="59">
        <v>5</v>
      </c>
      <c r="F17" s="62"/>
      <c r="G17" s="3">
        <f t="shared" ref="G17:K17" ca="1" si="4">+G9-G$13</f>
        <v>71647.446893166751</v>
      </c>
      <c r="H17" s="3">
        <f t="shared" ca="1" si="4"/>
        <v>94898.746673804155</v>
      </c>
      <c r="I17" s="3">
        <f t="shared" ca="1" si="4"/>
        <v>120433.25811018312</v>
      </c>
      <c r="J17" s="3">
        <f t="shared" ca="1" si="4"/>
        <v>148466.02296592668</v>
      </c>
      <c r="K17" s="3">
        <f t="shared" ca="1" si="4"/>
        <v>179309.39235272841</v>
      </c>
    </row>
    <row r="18" spans="3:11" x14ac:dyDescent="0.2">
      <c r="E18" s="59">
        <v>6</v>
      </c>
      <c r="F18" s="62"/>
      <c r="G18" s="3">
        <f t="shared" ref="G18:K18" ca="1" si="5">+G10-G$13</f>
        <v>103769.48439316673</v>
      </c>
      <c r="H18" s="3">
        <f t="shared" ca="1" si="5"/>
        <v>128906.88604880415</v>
      </c>
      <c r="I18" s="3">
        <f t="shared" ca="1" si="5"/>
        <v>156421.80445393309</v>
      </c>
      <c r="J18" s="3">
        <f t="shared" ca="1" si="5"/>
        <v>186533.99662686422</v>
      </c>
      <c r="K18" s="3">
        <f t="shared" ca="1" si="5"/>
        <v>219560.76469671284</v>
      </c>
    </row>
    <row r="19" spans="3:11" ht="12" thickBot="1" x14ac:dyDescent="0.25">
      <c r="E19" s="60">
        <v>7</v>
      </c>
      <c r="F19" s="62"/>
      <c r="G19" s="3">
        <f t="shared" ref="G19:K19" ca="1" si="6">+G11-G$13</f>
        <v>135891.52189316673</v>
      </c>
      <c r="H19" s="3">
        <f t="shared" ca="1" si="6"/>
        <v>162915.02542380415</v>
      </c>
      <c r="I19" s="3">
        <f t="shared" ca="1" si="6"/>
        <v>192410.35079768309</v>
      </c>
      <c r="J19" s="3">
        <f t="shared" ca="1" si="6"/>
        <v>224601.97028780176</v>
      </c>
      <c r="K19" s="3">
        <f t="shared" ca="1" si="6"/>
        <v>259812.13704069721</v>
      </c>
    </row>
    <row r="21" spans="3:11" ht="12" thickBot="1" x14ac:dyDescent="0.25">
      <c r="D21" s="16"/>
      <c r="E21" s="66" t="s">
        <v>178</v>
      </c>
      <c r="F21" s="61"/>
    </row>
    <row r="22" spans="3:11" ht="12" thickBot="1" x14ac:dyDescent="0.25">
      <c r="C22" t="s">
        <v>181</v>
      </c>
      <c r="D22" s="72">
        <f>+Transaction!I7/' BS PF'!G19</f>
        <v>0.14706959262851602</v>
      </c>
      <c r="E22" s="64">
        <v>4</v>
      </c>
      <c r="F22" s="62"/>
      <c r="G22" s="3">
        <f ca="1">+$D$22*G16</f>
        <v>5812.9858579283537</v>
      </c>
      <c r="H22" s="3">
        <f t="shared" ref="H22:K22" ca="1" si="7">+$D$22*H16</f>
        <v>8955.1568103380705</v>
      </c>
      <c r="I22" s="3">
        <f t="shared" ca="1" si="7"/>
        <v>12419.249359121772</v>
      </c>
      <c r="J22" s="3">
        <f t="shared" ca="1" si="7"/>
        <v>16236.196138267582</v>
      </c>
      <c r="K22" s="3">
        <f t="shared" ca="1" si="7"/>
        <v>20451.206354414015</v>
      </c>
    </row>
    <row r="23" spans="3:11" x14ac:dyDescent="0.2">
      <c r="E23" s="59">
        <v>5</v>
      </c>
      <c r="F23" s="62"/>
      <c r="G23" s="3">
        <f t="shared" ref="G23:K23" ca="1" si="8">+$D$22*G17</f>
        <v>10537.160827451269</v>
      </c>
      <c r="H23" s="3">
        <f t="shared" ca="1" si="8"/>
        <v>13956.720014273116</v>
      </c>
      <c r="I23" s="3">
        <f t="shared" ca="1" si="8"/>
        <v>17712.070209189555</v>
      </c>
      <c r="J23" s="3">
        <f t="shared" ca="1" si="8"/>
        <v>21834.83751677474</v>
      </c>
      <c r="K23" s="3">
        <f t="shared" ca="1" si="8"/>
        <v>26370.959287782513</v>
      </c>
    </row>
    <row r="24" spans="3:11" x14ac:dyDescent="0.2">
      <c r="E24" s="59">
        <v>6</v>
      </c>
      <c r="F24" s="62"/>
      <c r="G24" s="3">
        <f t="shared" ref="G24:K24" ca="1" si="9">+$D$22*G18</f>
        <v>15261.335796974181</v>
      </c>
      <c r="H24" s="3">
        <f t="shared" ca="1" si="9"/>
        <v>18958.283218208162</v>
      </c>
      <c r="I24" s="3">
        <f t="shared" ca="1" si="9"/>
        <v>23004.89105925733</v>
      </c>
      <c r="J24" s="3">
        <f t="shared" ca="1" si="9"/>
        <v>27433.4788952819</v>
      </c>
      <c r="K24" s="3">
        <f t="shared" ca="1" si="9"/>
        <v>32290.712221151018</v>
      </c>
    </row>
    <row r="25" spans="3:11" ht="12" thickBot="1" x14ac:dyDescent="0.25">
      <c r="E25" s="60">
        <v>7</v>
      </c>
      <c r="F25" s="62"/>
      <c r="G25" s="3">
        <f t="shared" ref="G25:K25" ca="1" si="10">+$D$22*G19</f>
        <v>19985.510766497096</v>
      </c>
      <c r="H25" s="3">
        <f t="shared" ca="1" si="10"/>
        <v>23959.846422143208</v>
      </c>
      <c r="I25" s="3">
        <f t="shared" ca="1" si="10"/>
        <v>28297.711909325113</v>
      </c>
      <c r="J25" s="3">
        <f t="shared" ca="1" si="10"/>
        <v>33032.120273789064</v>
      </c>
      <c r="K25" s="3">
        <f t="shared" ca="1" si="10"/>
        <v>38210.465154519516</v>
      </c>
    </row>
    <row r="27" spans="3:11" ht="12" thickBot="1" x14ac:dyDescent="0.25">
      <c r="E27" s="66" t="s">
        <v>178</v>
      </c>
      <c r="F27" s="61"/>
    </row>
    <row r="28" spans="3:11" x14ac:dyDescent="0.2">
      <c r="C28" t="s">
        <v>182</v>
      </c>
      <c r="D28" s="16"/>
      <c r="E28" s="64">
        <v>4</v>
      </c>
      <c r="F28" s="62"/>
      <c r="G28" s="3">
        <f ca="1">+G16-G22</f>
        <v>33712.423535238391</v>
      </c>
      <c r="H28" s="3">
        <f t="shared" ref="H28:K28" ca="1" si="11">+H16-H22</f>
        <v>51935.450488466086</v>
      </c>
      <c r="I28" s="3">
        <f t="shared" ca="1" si="11"/>
        <v>72025.462407311337</v>
      </c>
      <c r="J28" s="3">
        <f t="shared" ca="1" si="11"/>
        <v>94161.853166721587</v>
      </c>
      <c r="K28" s="3">
        <f t="shared" ca="1" si="11"/>
        <v>118606.81365433002</v>
      </c>
    </row>
    <row r="29" spans="3:11" x14ac:dyDescent="0.2">
      <c r="E29" s="59">
        <v>5</v>
      </c>
      <c r="F29" s="62"/>
      <c r="G29" s="3">
        <f t="shared" ref="G29:K29" ca="1" si="12">+G17-G23</f>
        <v>61110.286065715482</v>
      </c>
      <c r="H29" s="3">
        <f t="shared" ca="1" si="12"/>
        <v>80942.026659531039</v>
      </c>
      <c r="I29" s="3">
        <f t="shared" ca="1" si="12"/>
        <v>102721.18790099357</v>
      </c>
      <c r="J29" s="3">
        <f t="shared" ca="1" si="12"/>
        <v>126631.18544915193</v>
      </c>
      <c r="K29" s="3">
        <f t="shared" ca="1" si="12"/>
        <v>152938.43306494589</v>
      </c>
    </row>
    <row r="30" spans="3:11" x14ac:dyDescent="0.2">
      <c r="E30" s="59">
        <v>6</v>
      </c>
      <c r="F30" s="62"/>
      <c r="G30" s="3">
        <f t="shared" ref="G30:K30" ca="1" si="13">+G18-G24</f>
        <v>88508.14859619255</v>
      </c>
      <c r="H30" s="3">
        <f t="shared" ca="1" si="13"/>
        <v>109948.60283059599</v>
      </c>
      <c r="I30" s="3">
        <f t="shared" ca="1" si="13"/>
        <v>133416.91339467576</v>
      </c>
      <c r="J30" s="3">
        <f t="shared" ca="1" si="13"/>
        <v>159100.51773158231</v>
      </c>
      <c r="K30" s="3">
        <f t="shared" ca="1" si="13"/>
        <v>187270.05247556182</v>
      </c>
    </row>
    <row r="31" spans="3:11" ht="12" thickBot="1" x14ac:dyDescent="0.25">
      <c r="E31" s="60">
        <v>7</v>
      </c>
      <c r="F31" s="62"/>
      <c r="G31" s="3">
        <f t="shared" ref="G31:K31" ca="1" si="14">+G19-G25</f>
        <v>115906.01112666963</v>
      </c>
      <c r="H31" s="3">
        <f t="shared" ca="1" si="14"/>
        <v>138955.17900166096</v>
      </c>
      <c r="I31" s="3">
        <f t="shared" ca="1" si="14"/>
        <v>164112.63888835796</v>
      </c>
      <c r="J31" s="3">
        <f t="shared" ca="1" si="14"/>
        <v>191569.85001401269</v>
      </c>
      <c r="K31" s="3">
        <f t="shared" ca="1" si="14"/>
        <v>221601.6718861777</v>
      </c>
    </row>
    <row r="33" spans="3:11" ht="12" thickBot="1" x14ac:dyDescent="0.25">
      <c r="D33" t="s">
        <v>185</v>
      </c>
      <c r="E33" s="66" t="s">
        <v>178</v>
      </c>
      <c r="F33" s="61"/>
    </row>
    <row r="34" spans="3:11" ht="12" thickBot="1" x14ac:dyDescent="0.25">
      <c r="C34" t="s">
        <v>183</v>
      </c>
      <c r="D34" s="65">
        <f>+Transaction!I8</f>
        <v>45468.588749999995</v>
      </c>
      <c r="E34" s="64">
        <v>4</v>
      </c>
      <c r="F34" s="62"/>
      <c r="G34" s="16">
        <f ca="1">+((G40)^(1/G$4))-1</f>
        <v>-0.25855575327839053</v>
      </c>
      <c r="H34" s="16">
        <f t="shared" ref="H34:K34" ca="1" si="15">+((H40)^(1/H$4))-1</f>
        <v>6.875021256317404E-2</v>
      </c>
      <c r="I34" s="16">
        <f t="shared" ca="1" si="15"/>
        <v>0.16571269679807821</v>
      </c>
      <c r="J34" s="16">
        <f t="shared" ca="1" si="15"/>
        <v>0.19961221853392597</v>
      </c>
      <c r="K34" s="16">
        <f t="shared" ca="1" si="15"/>
        <v>0.21137786244706969</v>
      </c>
    </row>
    <row r="35" spans="3:11" x14ac:dyDescent="0.2">
      <c r="E35" s="59">
        <v>5</v>
      </c>
      <c r="F35" s="62"/>
      <c r="G35" s="16">
        <f t="shared" ref="G35:K35" ca="1" si="16">+((G41)^(1/G$4))-1</f>
        <v>0.34401105786938424</v>
      </c>
      <c r="H35" s="16">
        <f t="shared" ca="1" si="16"/>
        <v>0.33423183784433319</v>
      </c>
      <c r="I35" s="16">
        <f t="shared" ca="1" si="16"/>
        <v>0.31214809045502867</v>
      </c>
      <c r="J35" s="16">
        <f t="shared" ca="1" si="16"/>
        <v>0.29183575140363471</v>
      </c>
      <c r="K35" s="16">
        <f t="shared" ca="1" si="16"/>
        <v>0.2745621939470495</v>
      </c>
    </row>
    <row r="36" spans="3:11" x14ac:dyDescent="0.2">
      <c r="E36" s="59">
        <v>6</v>
      </c>
      <c r="F36" s="62"/>
      <c r="G36" s="16">
        <f t="shared" ref="G36:K36" ca="1" si="17">+((G42)^(1/G$4))-1</f>
        <v>0.94657786901715868</v>
      </c>
      <c r="H36" s="16">
        <f t="shared" ca="1" si="17"/>
        <v>0.55503124643240032</v>
      </c>
      <c r="I36" s="16">
        <f t="shared" ca="1" si="17"/>
        <v>0.43163773860639076</v>
      </c>
      <c r="J36" s="16">
        <f t="shared" ca="1" si="17"/>
        <v>0.3676974257981771</v>
      </c>
      <c r="K36" s="16">
        <f t="shared" ca="1" si="17"/>
        <v>0.3272458359374355</v>
      </c>
    </row>
    <row r="37" spans="3:11" ht="12" thickBot="1" x14ac:dyDescent="0.25">
      <c r="E37" s="60">
        <v>7</v>
      </c>
      <c r="F37" s="62"/>
      <c r="G37" s="16">
        <f t="shared" ref="G37:K37" ca="1" si="18">+((G43)^(1/G$4))-1</f>
        <v>1.5491446801649333</v>
      </c>
      <c r="H37" s="16">
        <f t="shared" ca="1" si="18"/>
        <v>0.74816182249949126</v>
      </c>
      <c r="I37" s="16">
        <f t="shared" ca="1" si="18"/>
        <v>0.53394640058162124</v>
      </c>
      <c r="J37" s="16">
        <f t="shared" ca="1" si="18"/>
        <v>0.43269558015226961</v>
      </c>
      <c r="K37" s="16">
        <f t="shared" ca="1" si="18"/>
        <v>0.37268949961877995</v>
      </c>
    </row>
    <row r="39" spans="3:11" ht="12" thickBot="1" x14ac:dyDescent="0.25">
      <c r="D39" t="s">
        <v>185</v>
      </c>
      <c r="E39" s="66" t="s">
        <v>178</v>
      </c>
      <c r="F39" s="61"/>
    </row>
    <row r="40" spans="3:11" ht="12" thickBot="1" x14ac:dyDescent="0.25">
      <c r="C40" t="s">
        <v>184</v>
      </c>
      <c r="D40" s="63">
        <f>+Transaction!I8</f>
        <v>45468.588749999995</v>
      </c>
      <c r="E40" s="64">
        <v>4</v>
      </c>
      <c r="F40" s="62"/>
      <c r="G40" s="67">
        <f ca="1">+G28/$D$40</f>
        <v>0.74144424672160947</v>
      </c>
      <c r="H40" s="67">
        <f t="shared" ref="H40:K40" ca="1" si="19">+H28/$D$40</f>
        <v>1.1422270168538295</v>
      </c>
      <c r="I40" s="67">
        <f t="shared" ca="1" si="19"/>
        <v>1.5840707703361774</v>
      </c>
      <c r="J40" s="67">
        <f t="shared" ca="1" si="19"/>
        <v>2.0709209534620006</v>
      </c>
      <c r="K40" s="67">
        <f t="shared" ca="1" si="19"/>
        <v>2.6085439842099789</v>
      </c>
    </row>
    <row r="41" spans="3:11" x14ac:dyDescent="0.2">
      <c r="E41" s="59">
        <v>5</v>
      </c>
      <c r="F41" s="62"/>
      <c r="G41" s="67">
        <f t="shared" ref="G41:K41" ca="1" si="20">+G29/$D$40</f>
        <v>1.3440110578693842</v>
      </c>
      <c r="H41" s="67">
        <f t="shared" ca="1" si="20"/>
        <v>1.7801745971174672</v>
      </c>
      <c r="I41" s="67">
        <f t="shared" ca="1" si="20"/>
        <v>2.2591681581714713</v>
      </c>
      <c r="J41" s="67">
        <f t="shared" ca="1" si="20"/>
        <v>2.7850256392475332</v>
      </c>
      <c r="K41" s="67">
        <f t="shared" ca="1" si="20"/>
        <v>3.3636063328432622</v>
      </c>
    </row>
    <row r="42" spans="3:11" x14ac:dyDescent="0.2">
      <c r="E42" s="59">
        <v>6</v>
      </c>
      <c r="F42" s="62"/>
      <c r="G42" s="67">
        <f t="shared" ref="G42:K42" ca="1" si="21">+G30/$D$40</f>
        <v>1.9465778690171587</v>
      </c>
      <c r="H42" s="67">
        <f t="shared" ca="1" si="21"/>
        <v>2.4181221773811048</v>
      </c>
      <c r="I42" s="67">
        <f t="shared" ca="1" si="21"/>
        <v>2.9342655460067646</v>
      </c>
      <c r="J42" s="67">
        <f t="shared" ca="1" si="21"/>
        <v>3.4991303250330663</v>
      </c>
      <c r="K42" s="67">
        <f t="shared" ca="1" si="21"/>
        <v>4.1186686814765467</v>
      </c>
    </row>
    <row r="43" spans="3:11" ht="12" thickBot="1" x14ac:dyDescent="0.25">
      <c r="E43" s="60">
        <v>7</v>
      </c>
      <c r="F43" s="62"/>
      <c r="G43" s="67">
        <f t="shared" ref="G43:K43" ca="1" si="22">+G31/$D$40</f>
        <v>2.5491446801649333</v>
      </c>
      <c r="H43" s="67">
        <f t="shared" ca="1" si="22"/>
        <v>3.0560697576447429</v>
      </c>
      <c r="I43" s="67">
        <f t="shared" ca="1" si="22"/>
        <v>3.6093629338420579</v>
      </c>
      <c r="J43" s="67">
        <f t="shared" ca="1" si="22"/>
        <v>4.2132350108185994</v>
      </c>
      <c r="K43" s="67">
        <f t="shared" ca="1" si="22"/>
        <v>4.8737310301098296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2EA729E40B64C9E3BDE9867A86F8E" ma:contentTypeVersion="7" ma:contentTypeDescription="Create a new document." ma:contentTypeScope="" ma:versionID="a3df3378ab4ea891e59dec3f25070614">
  <xsd:schema xmlns:xsd="http://www.w3.org/2001/XMLSchema" xmlns:xs="http://www.w3.org/2001/XMLSchema" xmlns:p="http://schemas.microsoft.com/office/2006/metadata/properties" xmlns:ns3="8c43cc51-5868-4a98-ab1b-1dfe0ccc5bca" xmlns:ns4="f3f9a561-298b-4309-aa23-401c63cea76b" targetNamespace="http://schemas.microsoft.com/office/2006/metadata/properties" ma:root="true" ma:fieldsID="5a09ec91cd0fcc0dab17d603ebdc27aa" ns3:_="" ns4:_="">
    <xsd:import namespace="8c43cc51-5868-4a98-ab1b-1dfe0ccc5bca"/>
    <xsd:import namespace="f3f9a561-298b-4309-aa23-401c63cea7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3cc51-5868-4a98-ab1b-1dfe0ccc5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a561-298b-4309-aa23-401c63cea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499422-40B8-439C-831F-1D841E584AD0}">
  <ds:schemaRefs>
    <ds:schemaRef ds:uri="http://www.w3.org/XML/1998/namespace"/>
    <ds:schemaRef ds:uri="http://schemas.microsoft.com/office/2006/documentManagement/types"/>
    <ds:schemaRef ds:uri="http://purl.org/dc/terms/"/>
    <ds:schemaRef ds:uri="f3f9a561-298b-4309-aa23-401c63cea76b"/>
    <ds:schemaRef ds:uri="http://purl.org/dc/dcmitype/"/>
    <ds:schemaRef ds:uri="http://purl.org/dc/elements/1.1/"/>
    <ds:schemaRef ds:uri="8c43cc51-5868-4a98-ab1b-1dfe0ccc5bc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734D114-2D9F-43DF-A039-8669605141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290B3-881A-4C7B-B06F-406B4262C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3cc51-5868-4a98-ab1b-1dfe0ccc5bca"/>
    <ds:schemaRef ds:uri="f3f9a561-298b-4309-aa23-401c63cea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Rev.Costs</vt:lpstr>
      <vt:lpstr>Transaction</vt:lpstr>
      <vt:lpstr> BS PF</vt:lpstr>
      <vt:lpstr>IS</vt:lpstr>
      <vt:lpstr>CF</vt:lpstr>
      <vt:lpstr>BS proj</vt:lpstr>
      <vt:lpstr>Depreciation</vt:lpstr>
      <vt:lpstr>Debt Schedule</vt:lpstr>
      <vt:lpstr>Return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Umbright</dc:creator>
  <cp:lastModifiedBy>Connor Umbright</cp:lastModifiedBy>
  <dcterms:created xsi:type="dcterms:W3CDTF">2023-01-28T20:29:35Z</dcterms:created>
  <dcterms:modified xsi:type="dcterms:W3CDTF">2023-01-31T15:16:17Z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0x01010098F2EA729E40B64C9E3BDE9867A86F8E</vt:lpwstr>
  </property>
</Properties>
</file>