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 Umbright\Downloads\"/>
    </mc:Choice>
  </mc:AlternateContent>
  <xr:revisionPtr revIDLastSave="0" documentId="8_{57C86379-F4C9-4FA5-B450-3BB3170E9562}" xr6:coauthVersionLast="47" xr6:coauthVersionMax="47" xr10:uidLastSave="{00000000-0000-0000-0000-000000000000}"/>
  <bookViews>
    <workbookView xWindow="-120" yWindow="-120" windowWidth="29040" windowHeight="15720" activeTab="2" xr2:uid="{06AF9250-A94F-4A85-848C-E689CD3142F9}"/>
  </bookViews>
  <sheets>
    <sheet name="Cover" sheetId="4" r:id="rId1"/>
    <sheet name="Assumptions" sheetId="3" r:id="rId2"/>
    <sheet name="Model" sheetId="1" r:id="rId3"/>
  </sheets>
  <definedNames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Assumptions!$K$50</definedName>
    <definedName name="solver_lhs2" localSheetId="1" hidden="1">Assumptions!$K$50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0" i="3" l="1"/>
  <c r="G51" i="3"/>
  <c r="G52" i="3"/>
  <c r="G53" i="3"/>
  <c r="E103" i="3" s="1"/>
  <c r="G54" i="3"/>
  <c r="G55" i="3"/>
  <c r="G56" i="3"/>
  <c r="D106" i="3" s="1"/>
  <c r="D118" i="3" s="1"/>
  <c r="G57" i="3"/>
  <c r="G107" i="3" s="1"/>
  <c r="G58" i="3"/>
  <c r="G49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D100" i="3"/>
  <c r="E100" i="3"/>
  <c r="F100" i="3"/>
  <c r="G100" i="3"/>
  <c r="H100" i="3"/>
  <c r="I100" i="3"/>
  <c r="J100" i="3"/>
  <c r="K100" i="3"/>
  <c r="L100" i="3"/>
  <c r="M100" i="3"/>
  <c r="N100" i="3"/>
  <c r="D101" i="3"/>
  <c r="D113" i="3" s="1"/>
  <c r="E101" i="3"/>
  <c r="E113" i="3" s="1"/>
  <c r="F101" i="3"/>
  <c r="G101" i="3"/>
  <c r="H101" i="3"/>
  <c r="I101" i="3"/>
  <c r="J101" i="3"/>
  <c r="K101" i="3"/>
  <c r="L101" i="3"/>
  <c r="M101" i="3"/>
  <c r="N101" i="3"/>
  <c r="D102" i="3"/>
  <c r="E102" i="3"/>
  <c r="F102" i="3"/>
  <c r="G102" i="3"/>
  <c r="H102" i="3"/>
  <c r="I102" i="3"/>
  <c r="J102" i="3"/>
  <c r="K102" i="3"/>
  <c r="L102" i="3"/>
  <c r="M102" i="3"/>
  <c r="N102" i="3"/>
  <c r="D103" i="3"/>
  <c r="H103" i="3"/>
  <c r="L103" i="3"/>
  <c r="D104" i="3"/>
  <c r="E104" i="3"/>
  <c r="F104" i="3"/>
  <c r="G104" i="3"/>
  <c r="H104" i="3"/>
  <c r="I104" i="3"/>
  <c r="J104" i="3"/>
  <c r="K104" i="3"/>
  <c r="L104" i="3"/>
  <c r="M104" i="3"/>
  <c r="N104" i="3"/>
  <c r="D105" i="3"/>
  <c r="D117" i="3" s="1"/>
  <c r="E105" i="3"/>
  <c r="E117" i="3" s="1"/>
  <c r="F105" i="3"/>
  <c r="F117" i="3" s="1"/>
  <c r="G105" i="3"/>
  <c r="G117" i="3" s="1"/>
  <c r="H105" i="3"/>
  <c r="H117" i="3" s="1"/>
  <c r="I105" i="3"/>
  <c r="J105" i="3"/>
  <c r="K105" i="3"/>
  <c r="L105" i="3"/>
  <c r="M105" i="3"/>
  <c r="N105" i="3"/>
  <c r="F106" i="3"/>
  <c r="G106" i="3"/>
  <c r="J106" i="3"/>
  <c r="K106" i="3"/>
  <c r="N106" i="3"/>
  <c r="F107" i="3"/>
  <c r="F119" i="3" s="1"/>
  <c r="J107" i="3"/>
  <c r="N107" i="3"/>
  <c r="D108" i="3"/>
  <c r="E108" i="3"/>
  <c r="F108" i="3"/>
  <c r="G108" i="3"/>
  <c r="H108" i="3"/>
  <c r="I108" i="3"/>
  <c r="J108" i="3"/>
  <c r="K108" i="3"/>
  <c r="L108" i="3"/>
  <c r="M108" i="3"/>
  <c r="N108" i="3"/>
  <c r="E99" i="3"/>
  <c r="E111" i="3" s="1"/>
  <c r="F99" i="3"/>
  <c r="F111" i="3" s="1"/>
  <c r="G99" i="3"/>
  <c r="G111" i="3" s="1"/>
  <c r="H99" i="3"/>
  <c r="H111" i="3" s="1"/>
  <c r="I99" i="3"/>
  <c r="J99" i="3"/>
  <c r="K99" i="3"/>
  <c r="L99" i="3"/>
  <c r="M99" i="3"/>
  <c r="N99" i="3"/>
  <c r="D99" i="3"/>
  <c r="D111" i="3" s="1"/>
  <c r="D84" i="3"/>
  <c r="G83" i="3"/>
  <c r="F83" i="3"/>
  <c r="E83" i="3"/>
  <c r="D83" i="3"/>
  <c r="E82" i="3"/>
  <c r="D82" i="3"/>
  <c r="I81" i="3"/>
  <c r="H81" i="3"/>
  <c r="G81" i="3"/>
  <c r="F81" i="3"/>
  <c r="E81" i="3"/>
  <c r="D81" i="3"/>
  <c r="D80" i="3"/>
  <c r="D79" i="3"/>
  <c r="G78" i="3"/>
  <c r="F78" i="3"/>
  <c r="E78" i="3"/>
  <c r="D78" i="3"/>
  <c r="F77" i="3"/>
  <c r="E77" i="3"/>
  <c r="D77" i="3"/>
  <c r="D76" i="3"/>
  <c r="I75" i="3"/>
  <c r="H75" i="3"/>
  <c r="G75" i="3"/>
  <c r="F75" i="3"/>
  <c r="E75" i="3"/>
  <c r="D75" i="3"/>
  <c r="K103" i="3" l="1"/>
  <c r="G103" i="3"/>
  <c r="N103" i="3"/>
  <c r="J103" i="3"/>
  <c r="F103" i="3"/>
  <c r="E79" i="3"/>
  <c r="M103" i="3"/>
  <c r="I103" i="3"/>
  <c r="M107" i="3"/>
  <c r="I107" i="3"/>
  <c r="E107" i="3"/>
  <c r="E119" i="3" s="1"/>
  <c r="L107" i="3"/>
  <c r="H107" i="3"/>
  <c r="D107" i="3"/>
  <c r="D119" i="3" s="1"/>
  <c r="K107" i="3"/>
  <c r="F82" i="3"/>
  <c r="M106" i="3"/>
  <c r="I106" i="3"/>
  <c r="E106" i="3"/>
  <c r="E118" i="3" s="1"/>
  <c r="L106" i="3"/>
  <c r="H106" i="3"/>
  <c r="G74" i="1" l="1"/>
  <c r="G116" i="1" s="1"/>
  <c r="F74" i="1"/>
  <c r="F116" i="1" s="1"/>
  <c r="Q71" i="1"/>
  <c r="Q114" i="1" s="1"/>
  <c r="P71" i="1"/>
  <c r="P114" i="1" s="1"/>
  <c r="O71" i="1"/>
  <c r="O114" i="1" s="1"/>
  <c r="N71" i="1"/>
  <c r="N114" i="1" s="1"/>
  <c r="M71" i="1"/>
  <c r="M114" i="1" s="1"/>
  <c r="L71" i="1"/>
  <c r="L114" i="1" s="1"/>
  <c r="K71" i="1"/>
  <c r="K114" i="1" s="1"/>
  <c r="J71" i="1"/>
  <c r="J114" i="1" s="1"/>
  <c r="I71" i="1"/>
  <c r="I114" i="1" s="1"/>
  <c r="H71" i="1"/>
  <c r="H114" i="1" s="1"/>
  <c r="F71" i="1"/>
  <c r="F114" i="1" s="1"/>
  <c r="F10" i="1"/>
  <c r="Q18" i="1"/>
  <c r="P18" i="1"/>
  <c r="O18" i="1"/>
  <c r="N18" i="1"/>
  <c r="M18" i="1"/>
  <c r="L18" i="1"/>
  <c r="K18" i="1"/>
  <c r="J18" i="1"/>
  <c r="I18" i="1"/>
  <c r="H18" i="1"/>
  <c r="G18" i="1"/>
  <c r="F18" i="1"/>
  <c r="B72" i="3"/>
  <c r="B84" i="3" s="1"/>
  <c r="B71" i="3"/>
  <c r="B83" i="3" s="1"/>
  <c r="B70" i="3"/>
  <c r="B82" i="3" s="1"/>
  <c r="B69" i="3"/>
  <c r="B81" i="3" s="1"/>
  <c r="B68" i="3"/>
  <c r="B80" i="3" s="1"/>
  <c r="B67" i="3"/>
  <c r="B79" i="3" s="1"/>
  <c r="B66" i="3"/>
  <c r="B78" i="3" s="1"/>
  <c r="B65" i="3"/>
  <c r="B77" i="3" s="1"/>
  <c r="B64" i="3"/>
  <c r="B76" i="3" s="1"/>
  <c r="B63" i="3"/>
  <c r="B75" i="3" s="1"/>
  <c r="B92" i="3" l="1"/>
  <c r="B104" i="3" s="1"/>
  <c r="B89" i="3"/>
  <c r="B101" i="3" s="1"/>
  <c r="B93" i="3"/>
  <c r="B105" i="3" s="1"/>
  <c r="B96" i="3"/>
  <c r="B108" i="3" s="1"/>
  <c r="B90" i="3"/>
  <c r="B102" i="3" s="1"/>
  <c r="B94" i="3"/>
  <c r="B106" i="3" s="1"/>
  <c r="B88" i="3"/>
  <c r="B100" i="3" s="1"/>
  <c r="B87" i="3"/>
  <c r="B99" i="3" s="1"/>
  <c r="B91" i="3"/>
  <c r="B103" i="3" s="1"/>
  <c r="B95" i="3"/>
  <c r="B107" i="3" s="1"/>
  <c r="B113" i="3"/>
  <c r="B135" i="3" s="1"/>
  <c r="B117" i="3"/>
  <c r="B139" i="3" s="1"/>
  <c r="B111" i="3"/>
  <c r="B133" i="3" s="1"/>
  <c r="B115" i="3"/>
  <c r="B137" i="3" s="1"/>
  <c r="B119" i="3"/>
  <c r="B141" i="3" s="1"/>
  <c r="B112" i="3"/>
  <c r="B134" i="3" s="1"/>
  <c r="B116" i="3"/>
  <c r="B138" i="3" s="1"/>
  <c r="B120" i="3"/>
  <c r="B142" i="3" s="1"/>
  <c r="B118" i="3"/>
  <c r="B140" i="3" s="1"/>
  <c r="B114" i="3"/>
  <c r="B136" i="3" s="1"/>
  <c r="G88" i="1"/>
  <c r="G90" i="1" s="1"/>
  <c r="G105" i="1" s="1"/>
  <c r="G70" i="1" l="1"/>
  <c r="H88" i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F46" i="1"/>
  <c r="H90" i="1"/>
  <c r="I88" i="1" s="1"/>
  <c r="O101" i="3"/>
  <c r="O107" i="3"/>
  <c r="B152" i="3"/>
  <c r="B148" i="3"/>
  <c r="D91" i="3"/>
  <c r="D115" i="3" s="1"/>
  <c r="B150" i="3"/>
  <c r="B145" i="3"/>
  <c r="B151" i="3"/>
  <c r="B147" i="3"/>
  <c r="B154" i="3"/>
  <c r="B146" i="3"/>
  <c r="B153" i="3"/>
  <c r="B149" i="3"/>
  <c r="G89" i="3"/>
  <c r="G113" i="3" s="1"/>
  <c r="I89" i="3"/>
  <c r="I113" i="3" s="1"/>
  <c r="M89" i="3"/>
  <c r="M113" i="3" s="1"/>
  <c r="H89" i="3"/>
  <c r="H113" i="3" s="1"/>
  <c r="N89" i="3"/>
  <c r="N113" i="3" s="1"/>
  <c r="J89" i="3"/>
  <c r="J113" i="3" s="1"/>
  <c r="O89" i="3"/>
  <c r="L89" i="3"/>
  <c r="L113" i="3" s="1"/>
  <c r="K89" i="3"/>
  <c r="K113" i="3" s="1"/>
  <c r="F89" i="3"/>
  <c r="F113" i="3" s="1"/>
  <c r="O93" i="3"/>
  <c r="K93" i="3"/>
  <c r="K117" i="3" s="1"/>
  <c r="N93" i="3"/>
  <c r="N117" i="3" s="1"/>
  <c r="J93" i="3"/>
  <c r="J117" i="3" s="1"/>
  <c r="I93" i="3"/>
  <c r="I117" i="3" s="1"/>
  <c r="M93" i="3"/>
  <c r="M117" i="3" s="1"/>
  <c r="L93" i="3"/>
  <c r="L117" i="3" s="1"/>
  <c r="O108" i="3"/>
  <c r="O103" i="3"/>
  <c r="L96" i="3"/>
  <c r="L120" i="3" s="1"/>
  <c r="H96" i="3"/>
  <c r="H120" i="3" s="1"/>
  <c r="D96" i="3"/>
  <c r="D120" i="3" s="1"/>
  <c r="O96" i="3"/>
  <c r="K96" i="3"/>
  <c r="K120" i="3" s="1"/>
  <c r="G96" i="3"/>
  <c r="G120" i="3" s="1"/>
  <c r="N96" i="3"/>
  <c r="N120" i="3" s="1"/>
  <c r="J96" i="3"/>
  <c r="J120" i="3" s="1"/>
  <c r="F96" i="3"/>
  <c r="F120" i="3" s="1"/>
  <c r="I96" i="3"/>
  <c r="I120" i="3" s="1"/>
  <c r="M96" i="3"/>
  <c r="M120" i="3" s="1"/>
  <c r="E96" i="3"/>
  <c r="E120" i="3" s="1"/>
  <c r="M94" i="3"/>
  <c r="M118" i="3" s="1"/>
  <c r="I94" i="3"/>
  <c r="I118" i="3" s="1"/>
  <c r="L94" i="3"/>
  <c r="L118" i="3" s="1"/>
  <c r="H94" i="3"/>
  <c r="H118" i="3" s="1"/>
  <c r="O94" i="3"/>
  <c r="K94" i="3"/>
  <c r="K118" i="3" s="1"/>
  <c r="G94" i="3"/>
  <c r="G118" i="3" s="1"/>
  <c r="F94" i="3"/>
  <c r="F118" i="3" s="1"/>
  <c r="J94" i="3"/>
  <c r="J118" i="3" s="1"/>
  <c r="N94" i="3"/>
  <c r="N118" i="3" s="1"/>
  <c r="O104" i="3"/>
  <c r="M92" i="3"/>
  <c r="M116" i="3" s="1"/>
  <c r="I92" i="3"/>
  <c r="I116" i="3" s="1"/>
  <c r="E92" i="3"/>
  <c r="E116" i="3" s="1"/>
  <c r="L92" i="3"/>
  <c r="L116" i="3" s="1"/>
  <c r="H92" i="3"/>
  <c r="H116" i="3" s="1"/>
  <c r="O92" i="3"/>
  <c r="K92" i="3"/>
  <c r="K116" i="3" s="1"/>
  <c r="G92" i="3"/>
  <c r="G116" i="3" s="1"/>
  <c r="D92" i="3"/>
  <c r="D116" i="3" s="1"/>
  <c r="J92" i="3"/>
  <c r="J116" i="3" s="1"/>
  <c r="F92" i="3"/>
  <c r="F116" i="3" s="1"/>
  <c r="N92" i="3"/>
  <c r="N116" i="3" s="1"/>
  <c r="J87" i="3"/>
  <c r="J111" i="3" s="1"/>
  <c r="N87" i="3"/>
  <c r="N111" i="3" s="1"/>
  <c r="I87" i="3"/>
  <c r="I111" i="3" s="1"/>
  <c r="K87" i="3"/>
  <c r="K111" i="3" s="1"/>
  <c r="O87" i="3"/>
  <c r="M87" i="3"/>
  <c r="M111" i="3" s="1"/>
  <c r="L87" i="3"/>
  <c r="L111" i="3" s="1"/>
  <c r="L91" i="3"/>
  <c r="L115" i="3" s="1"/>
  <c r="H91" i="3"/>
  <c r="H115" i="3" s="1"/>
  <c r="O91" i="3"/>
  <c r="K91" i="3"/>
  <c r="K115" i="3" s="1"/>
  <c r="G91" i="3"/>
  <c r="G115" i="3" s="1"/>
  <c r="N91" i="3"/>
  <c r="N115" i="3" s="1"/>
  <c r="J91" i="3"/>
  <c r="J115" i="3" s="1"/>
  <c r="F91" i="3"/>
  <c r="F115" i="3" s="1"/>
  <c r="E91" i="3"/>
  <c r="E115" i="3" s="1"/>
  <c r="I91" i="3"/>
  <c r="I115" i="3" s="1"/>
  <c r="M91" i="3"/>
  <c r="M115" i="3" s="1"/>
  <c r="O95" i="3"/>
  <c r="K95" i="3"/>
  <c r="K119" i="3" s="1"/>
  <c r="G95" i="3"/>
  <c r="G119" i="3" s="1"/>
  <c r="N95" i="3"/>
  <c r="N119" i="3" s="1"/>
  <c r="J95" i="3"/>
  <c r="J119" i="3" s="1"/>
  <c r="M95" i="3"/>
  <c r="M119" i="3" s="1"/>
  <c r="I95" i="3"/>
  <c r="I119" i="3" s="1"/>
  <c r="L95" i="3"/>
  <c r="L119" i="3" s="1"/>
  <c r="H95" i="3"/>
  <c r="H119" i="3" s="1"/>
  <c r="O106" i="3"/>
  <c r="O102" i="3"/>
  <c r="O100" i="3"/>
  <c r="O99" i="3"/>
  <c r="O105" i="3"/>
  <c r="E52" i="1"/>
  <c r="E51" i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E46" i="1"/>
  <c r="E44" i="1"/>
  <c r="F124" i="1" s="1"/>
  <c r="E43" i="1"/>
  <c r="E42" i="1"/>
  <c r="F42" i="1" s="1"/>
  <c r="E37" i="1"/>
  <c r="E36" i="1"/>
  <c r="F93" i="1" s="1"/>
  <c r="E34" i="1"/>
  <c r="E33" i="1"/>
  <c r="E32" i="1"/>
  <c r="E31" i="1"/>
  <c r="F112" i="1" s="1"/>
  <c r="M39" i="3"/>
  <c r="M33" i="3"/>
  <c r="M31" i="3"/>
  <c r="D35" i="3"/>
  <c r="D32" i="3"/>
  <c r="D62" i="3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O116" i="3" l="1"/>
  <c r="O115" i="3"/>
  <c r="F79" i="1"/>
  <c r="G71" i="1"/>
  <c r="G114" i="1" s="1"/>
  <c r="I90" i="1"/>
  <c r="J88" i="1" s="1"/>
  <c r="J90" i="1" s="1"/>
  <c r="K88" i="1" s="1"/>
  <c r="K90" i="1" s="1"/>
  <c r="L88" i="1" s="1"/>
  <c r="L90" i="1" s="1"/>
  <c r="M88" i="1" s="1"/>
  <c r="M90" i="1" s="1"/>
  <c r="N88" i="1" s="1"/>
  <c r="N90" i="1" s="1"/>
  <c r="O88" i="1" s="1"/>
  <c r="O90" i="1" s="1"/>
  <c r="P88" i="1" s="1"/>
  <c r="P90" i="1" s="1"/>
  <c r="Q88" i="1" s="1"/>
  <c r="Q90" i="1" s="1"/>
  <c r="F94" i="1"/>
  <c r="F95" i="1" s="1"/>
  <c r="D165" i="3"/>
  <c r="G42" i="1"/>
  <c r="F65" i="1"/>
  <c r="F32" i="1"/>
  <c r="O113" i="3"/>
  <c r="N125" i="3"/>
  <c r="K125" i="3"/>
  <c r="P103" i="3"/>
  <c r="E158" i="3"/>
  <c r="G12" i="1" s="1"/>
  <c r="O119" i="3"/>
  <c r="J158" i="3"/>
  <c r="L12" i="1" s="1"/>
  <c r="D158" i="3"/>
  <c r="F12" i="1" s="1"/>
  <c r="N88" i="3"/>
  <c r="N112" i="3" s="1"/>
  <c r="J88" i="3"/>
  <c r="J112" i="3" s="1"/>
  <c r="F88" i="3"/>
  <c r="F112" i="3" s="1"/>
  <c r="L88" i="3"/>
  <c r="L112" i="3" s="1"/>
  <c r="H88" i="3"/>
  <c r="H112" i="3" s="1"/>
  <c r="K88" i="3"/>
  <c r="K112" i="3" s="1"/>
  <c r="M88" i="3"/>
  <c r="M112" i="3" s="1"/>
  <c r="I88" i="3"/>
  <c r="I112" i="3" s="1"/>
  <c r="E88" i="3"/>
  <c r="E112" i="3" s="1"/>
  <c r="D88" i="3"/>
  <c r="D112" i="3" s="1"/>
  <c r="O88" i="3"/>
  <c r="O112" i="3" s="1"/>
  <c r="G88" i="3"/>
  <c r="G112" i="3" s="1"/>
  <c r="F43" i="1"/>
  <c r="F66" i="1" s="1"/>
  <c r="P105" i="3"/>
  <c r="J125" i="3"/>
  <c r="H158" i="3"/>
  <c r="J12" i="1" s="1"/>
  <c r="H125" i="3"/>
  <c r="E125" i="3"/>
  <c r="P101" i="3"/>
  <c r="F125" i="3"/>
  <c r="E90" i="3"/>
  <c r="E114" i="3" s="1"/>
  <c r="N158" i="3"/>
  <c r="P12" i="1" s="1"/>
  <c r="K158" i="3"/>
  <c r="M12" i="1" s="1"/>
  <c r="L158" i="3"/>
  <c r="N12" i="1" s="1"/>
  <c r="M158" i="3"/>
  <c r="O12" i="1" s="1"/>
  <c r="I125" i="3"/>
  <c r="P107" i="3"/>
  <c r="P104" i="3"/>
  <c r="P102" i="3"/>
  <c r="D90" i="3"/>
  <c r="D114" i="3" s="1"/>
  <c r="G158" i="3"/>
  <c r="I12" i="1" s="1"/>
  <c r="I158" i="3"/>
  <c r="K12" i="1" s="1"/>
  <c r="L125" i="3"/>
  <c r="O125" i="3"/>
  <c r="O111" i="3"/>
  <c r="P106" i="3"/>
  <c r="P99" i="3"/>
  <c r="P108" i="3"/>
  <c r="O118" i="3"/>
  <c r="O120" i="3"/>
  <c r="G125" i="3"/>
  <c r="O117" i="3"/>
  <c r="P100" i="3"/>
  <c r="F90" i="3"/>
  <c r="F114" i="3" s="1"/>
  <c r="M125" i="3"/>
  <c r="F158" i="3"/>
  <c r="H12" i="1" s="1"/>
  <c r="O158" i="3"/>
  <c r="Q12" i="1" s="1"/>
  <c r="P92" i="3"/>
  <c r="P87" i="3"/>
  <c r="P95" i="3"/>
  <c r="P93" i="3"/>
  <c r="P94" i="3"/>
  <c r="P96" i="3"/>
  <c r="N90" i="3"/>
  <c r="N114" i="3" s="1"/>
  <c r="J90" i="3"/>
  <c r="J114" i="3" s="1"/>
  <c r="M90" i="3"/>
  <c r="M114" i="3" s="1"/>
  <c r="I90" i="3"/>
  <c r="I114" i="3" s="1"/>
  <c r="L90" i="3"/>
  <c r="L114" i="3" s="1"/>
  <c r="H90" i="3"/>
  <c r="H114" i="3" s="1"/>
  <c r="O90" i="3"/>
  <c r="O114" i="3" s="1"/>
  <c r="K90" i="3"/>
  <c r="K114" i="3" s="1"/>
  <c r="G90" i="3"/>
  <c r="G114" i="3" s="1"/>
  <c r="P89" i="3"/>
  <c r="P91" i="3"/>
  <c r="D36" i="3"/>
  <c r="M34" i="3"/>
  <c r="M40" i="3" s="1"/>
  <c r="E53" i="1"/>
  <c r="E47" i="1"/>
  <c r="E45" i="1"/>
  <c r="F161" i="3" l="1"/>
  <c r="H13" i="1" s="1"/>
  <c r="H14" i="1" s="1"/>
  <c r="G32" i="1"/>
  <c r="G62" i="1" s="1"/>
  <c r="H42" i="1"/>
  <c r="G65" i="1"/>
  <c r="F97" i="1"/>
  <c r="F36" i="1" s="1"/>
  <c r="G93" i="1"/>
  <c r="H103" i="1"/>
  <c r="G46" i="1"/>
  <c r="F99" i="1"/>
  <c r="F22" i="1" s="1"/>
  <c r="F61" i="1" s="1"/>
  <c r="G94" i="1"/>
  <c r="F62" i="1"/>
  <c r="I127" i="3"/>
  <c r="D127" i="3"/>
  <c r="J127" i="3"/>
  <c r="P115" i="3"/>
  <c r="K127" i="3"/>
  <c r="O127" i="3"/>
  <c r="O166" i="3" s="1"/>
  <c r="N127" i="3"/>
  <c r="L123" i="3"/>
  <c r="P117" i="3"/>
  <c r="M127" i="3"/>
  <c r="L127" i="3"/>
  <c r="P120" i="3"/>
  <c r="N123" i="3"/>
  <c r="D161" i="3"/>
  <c r="F13" i="1" s="1"/>
  <c r="F14" i="1" s="1"/>
  <c r="G161" i="3"/>
  <c r="I13" i="1" s="1"/>
  <c r="I14" i="1" s="1"/>
  <c r="M161" i="3"/>
  <c r="O13" i="1" s="1"/>
  <c r="O14" i="1" s="1"/>
  <c r="P111" i="3"/>
  <c r="J123" i="3"/>
  <c r="L161" i="3"/>
  <c r="N13" i="1" s="1"/>
  <c r="N14" i="1" s="1"/>
  <c r="N161" i="3"/>
  <c r="P13" i="1" s="1"/>
  <c r="P14" i="1" s="1"/>
  <c r="I161" i="3"/>
  <c r="K13" i="1" s="1"/>
  <c r="K14" i="1" s="1"/>
  <c r="M123" i="3"/>
  <c r="P114" i="3"/>
  <c r="F127" i="3"/>
  <c r="F123" i="3"/>
  <c r="K123" i="3"/>
  <c r="G123" i="3"/>
  <c r="G127" i="3"/>
  <c r="P88" i="3"/>
  <c r="O161" i="3"/>
  <c r="Q13" i="1" s="1"/>
  <c r="Q14" i="1" s="1"/>
  <c r="J161" i="3"/>
  <c r="L13" i="1" s="1"/>
  <c r="L14" i="1" s="1"/>
  <c r="E161" i="3"/>
  <c r="G13" i="1" s="1"/>
  <c r="G14" i="1" s="1"/>
  <c r="P119" i="3"/>
  <c r="P116" i="3"/>
  <c r="P113" i="3"/>
  <c r="I123" i="3"/>
  <c r="H161" i="3"/>
  <c r="J13" i="1" s="1"/>
  <c r="J14" i="1" s="1"/>
  <c r="K161" i="3"/>
  <c r="M13" i="1" s="1"/>
  <c r="M14" i="1" s="1"/>
  <c r="P118" i="3"/>
  <c r="O123" i="3"/>
  <c r="G43" i="1"/>
  <c r="E127" i="3"/>
  <c r="E123" i="3"/>
  <c r="H127" i="3"/>
  <c r="H123" i="3"/>
  <c r="P90" i="3"/>
  <c r="E48" i="1"/>
  <c r="E54" i="1" s="1"/>
  <c r="E35" i="1"/>
  <c r="E38" i="1"/>
  <c r="B2" i="1"/>
  <c r="I129" i="3" l="1"/>
  <c r="K10" i="1" s="1"/>
  <c r="F167" i="3"/>
  <c r="E166" i="3"/>
  <c r="M167" i="3"/>
  <c r="L166" i="3"/>
  <c r="N166" i="3"/>
  <c r="O167" i="3"/>
  <c r="K167" i="3"/>
  <c r="J166" i="3"/>
  <c r="N167" i="3"/>
  <c r="M166" i="3"/>
  <c r="E167" i="3"/>
  <c r="D166" i="3"/>
  <c r="D168" i="3" s="1"/>
  <c r="F166" i="3"/>
  <c r="G167" i="3"/>
  <c r="L167" i="3"/>
  <c r="K166" i="3"/>
  <c r="I166" i="3"/>
  <c r="J167" i="3"/>
  <c r="I167" i="3"/>
  <c r="H166" i="3"/>
  <c r="H167" i="3"/>
  <c r="G166" i="3"/>
  <c r="O104" i="1"/>
  <c r="O74" i="1" s="1"/>
  <c r="O116" i="1" s="1"/>
  <c r="K104" i="1"/>
  <c r="K74" i="1" s="1"/>
  <c r="K116" i="1" s="1"/>
  <c r="N104" i="1"/>
  <c r="N74" i="1" s="1"/>
  <c r="N116" i="1" s="1"/>
  <c r="J104" i="1"/>
  <c r="J74" i="1" s="1"/>
  <c r="J116" i="1" s="1"/>
  <c r="P104" i="1"/>
  <c r="P74" i="1" s="1"/>
  <c r="P116" i="1" s="1"/>
  <c r="H104" i="1"/>
  <c r="H74" i="1" s="1"/>
  <c r="H116" i="1" s="1"/>
  <c r="Q104" i="1"/>
  <c r="Q74" i="1" s="1"/>
  <c r="Q116" i="1" s="1"/>
  <c r="M104" i="1"/>
  <c r="M74" i="1" s="1"/>
  <c r="M116" i="1" s="1"/>
  <c r="I104" i="1"/>
  <c r="I74" i="1" s="1"/>
  <c r="I116" i="1" s="1"/>
  <c r="L104" i="1"/>
  <c r="L74" i="1" s="1"/>
  <c r="L116" i="1" s="1"/>
  <c r="I42" i="1"/>
  <c r="H65" i="1"/>
  <c r="H43" i="1"/>
  <c r="G66" i="1"/>
  <c r="H32" i="1"/>
  <c r="H62" i="1" s="1"/>
  <c r="H94" i="1"/>
  <c r="G99" i="1"/>
  <c r="G22" i="1" s="1"/>
  <c r="G61" i="1" s="1"/>
  <c r="G95" i="1"/>
  <c r="J129" i="3"/>
  <c r="L10" i="1" s="1"/>
  <c r="G129" i="3"/>
  <c r="I10" i="1" s="1"/>
  <c r="K129" i="3"/>
  <c r="M10" i="1" s="1"/>
  <c r="E129" i="3"/>
  <c r="G10" i="1" s="1"/>
  <c r="N129" i="3"/>
  <c r="P10" i="1" s="1"/>
  <c r="L129" i="3"/>
  <c r="N10" i="1" s="1"/>
  <c r="M129" i="3"/>
  <c r="O10" i="1" s="1"/>
  <c r="H129" i="3"/>
  <c r="J10" i="1" s="1"/>
  <c r="F129" i="3"/>
  <c r="H10" i="1" s="1"/>
  <c r="O129" i="3"/>
  <c r="Q10" i="1" s="1"/>
  <c r="P112" i="3"/>
  <c r="E39" i="1"/>
  <c r="E55" i="1" s="1"/>
  <c r="F33" i="1" l="1"/>
  <c r="F63" i="1" s="1"/>
  <c r="E165" i="3"/>
  <c r="E168" i="3" s="1"/>
  <c r="H105" i="1"/>
  <c r="I103" i="1" s="1"/>
  <c r="I32" i="1"/>
  <c r="I62" i="1" s="1"/>
  <c r="J42" i="1"/>
  <c r="I65" i="1"/>
  <c r="I43" i="1"/>
  <c r="H66" i="1"/>
  <c r="H93" i="1"/>
  <c r="H95" i="1" s="1"/>
  <c r="G97" i="1"/>
  <c r="G36" i="1" s="1"/>
  <c r="H99" i="1"/>
  <c r="H22" i="1" s="1"/>
  <c r="H61" i="1" s="1"/>
  <c r="I94" i="1"/>
  <c r="B2" i="3"/>
  <c r="F165" i="3" l="1"/>
  <c r="F168" i="3" s="1"/>
  <c r="G33" i="1"/>
  <c r="G63" i="1" s="1"/>
  <c r="I105" i="1"/>
  <c r="J103" i="1" s="1"/>
  <c r="H46" i="1"/>
  <c r="K42" i="1"/>
  <c r="J65" i="1"/>
  <c r="J43" i="1"/>
  <c r="I66" i="1"/>
  <c r="J32" i="1"/>
  <c r="J62" i="1" s="1"/>
  <c r="J94" i="1"/>
  <c r="I99" i="1"/>
  <c r="I22" i="1" s="1"/>
  <c r="I61" i="1" s="1"/>
  <c r="I93" i="1"/>
  <c r="I95" i="1" s="1"/>
  <c r="H97" i="1"/>
  <c r="H36" i="1" s="1"/>
  <c r="F5" i="1"/>
  <c r="F129" i="1" s="1"/>
  <c r="F23" i="1" s="1"/>
  <c r="H33" i="1" l="1"/>
  <c r="H63" i="1" s="1"/>
  <c r="G165" i="3"/>
  <c r="G168" i="3" s="1"/>
  <c r="F34" i="1"/>
  <c r="F64" i="1" s="1"/>
  <c r="J105" i="1"/>
  <c r="K103" i="1" s="1"/>
  <c r="K32" i="1"/>
  <c r="K62" i="1" s="1"/>
  <c r="K43" i="1"/>
  <c r="J66" i="1"/>
  <c r="L42" i="1"/>
  <c r="K65" i="1"/>
  <c r="J93" i="1"/>
  <c r="J95" i="1" s="1"/>
  <c r="I97" i="1"/>
  <c r="I36" i="1" s="1"/>
  <c r="I46" i="1"/>
  <c r="K94" i="1"/>
  <c r="J99" i="1"/>
  <c r="J22" i="1" s="1"/>
  <c r="J61" i="1" s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E5" i="1"/>
  <c r="G4" i="1"/>
  <c r="H165" i="3" l="1"/>
  <c r="H168" i="3" s="1"/>
  <c r="I33" i="1"/>
  <c r="I63" i="1" s="1"/>
  <c r="K105" i="1"/>
  <c r="L103" i="1" s="1"/>
  <c r="L32" i="1"/>
  <c r="L62" i="1" s="1"/>
  <c r="M42" i="1"/>
  <c r="L65" i="1"/>
  <c r="L43" i="1"/>
  <c r="K66" i="1"/>
  <c r="K93" i="1"/>
  <c r="K95" i="1" s="1"/>
  <c r="J97" i="1"/>
  <c r="J36" i="1" s="1"/>
  <c r="K99" i="1"/>
  <c r="K22" i="1" s="1"/>
  <c r="K61" i="1" s="1"/>
  <c r="L94" i="1"/>
  <c r="G5" i="1"/>
  <c r="G34" i="1" s="1"/>
  <c r="J33" i="1" l="1"/>
  <c r="J63" i="1" s="1"/>
  <c r="I165" i="3"/>
  <c r="I168" i="3" s="1"/>
  <c r="L105" i="1"/>
  <c r="M103" i="1" s="1"/>
  <c r="G107" i="1"/>
  <c r="M43" i="1"/>
  <c r="L66" i="1"/>
  <c r="G64" i="1"/>
  <c r="N42" i="1"/>
  <c r="M65" i="1"/>
  <c r="M32" i="1"/>
  <c r="M62" i="1" s="1"/>
  <c r="M94" i="1"/>
  <c r="L99" i="1"/>
  <c r="L22" i="1" s="1"/>
  <c r="L61" i="1" s="1"/>
  <c r="K97" i="1"/>
  <c r="K36" i="1" s="1"/>
  <c r="L93" i="1"/>
  <c r="L95" i="1" s="1"/>
  <c r="J46" i="1"/>
  <c r="F38" i="1"/>
  <c r="H4" i="1"/>
  <c r="K33" i="1" l="1"/>
  <c r="K63" i="1" s="1"/>
  <c r="J165" i="3"/>
  <c r="J168" i="3" s="1"/>
  <c r="M105" i="1"/>
  <c r="N103" i="1" s="1"/>
  <c r="O42" i="1"/>
  <c r="N65" i="1"/>
  <c r="N32" i="1"/>
  <c r="N62" i="1" s="1"/>
  <c r="N43" i="1"/>
  <c r="M66" i="1"/>
  <c r="M93" i="1"/>
  <c r="M95" i="1" s="1"/>
  <c r="L97" i="1"/>
  <c r="L36" i="1" s="1"/>
  <c r="H5" i="1"/>
  <c r="N94" i="1"/>
  <c r="M99" i="1"/>
  <c r="M22" i="1" s="1"/>
  <c r="M61" i="1" s="1"/>
  <c r="F47" i="1"/>
  <c r="K165" i="3" l="1"/>
  <c r="K168" i="3" s="1"/>
  <c r="L33" i="1"/>
  <c r="L63" i="1" s="1"/>
  <c r="H34" i="1"/>
  <c r="H64" i="1" s="1"/>
  <c r="H107" i="1"/>
  <c r="N105" i="1"/>
  <c r="O103" i="1" s="1"/>
  <c r="I4" i="1"/>
  <c r="I5" i="1" s="1"/>
  <c r="I107" i="1" s="1"/>
  <c r="O32" i="1"/>
  <c r="O43" i="1"/>
  <c r="N66" i="1"/>
  <c r="P42" i="1"/>
  <c r="O65" i="1"/>
  <c r="N93" i="1"/>
  <c r="N95" i="1" s="1"/>
  <c r="M97" i="1"/>
  <c r="M36" i="1" s="1"/>
  <c r="O94" i="1"/>
  <c r="N99" i="1"/>
  <c r="N22" i="1" s="1"/>
  <c r="N61" i="1" s="1"/>
  <c r="K46" i="1"/>
  <c r="L165" i="3" l="1"/>
  <c r="L168" i="3" s="1"/>
  <c r="M33" i="1"/>
  <c r="M63" i="1" s="1"/>
  <c r="O105" i="1"/>
  <c r="P103" i="1" s="1"/>
  <c r="P43" i="1"/>
  <c r="O66" i="1"/>
  <c r="J4" i="1"/>
  <c r="P32" i="1"/>
  <c r="I34" i="1"/>
  <c r="Q42" i="1"/>
  <c r="Q65" i="1" s="1"/>
  <c r="P65" i="1"/>
  <c r="O62" i="1"/>
  <c r="O99" i="1"/>
  <c r="O22" i="1" s="1"/>
  <c r="O61" i="1" s="1"/>
  <c r="P94" i="1"/>
  <c r="O93" i="1"/>
  <c r="O95" i="1" s="1"/>
  <c r="N97" i="1"/>
  <c r="N36" i="1" s="1"/>
  <c r="N33" i="1" l="1"/>
  <c r="N63" i="1" s="1"/>
  <c r="M165" i="3"/>
  <c r="M168" i="3" s="1"/>
  <c r="P105" i="1"/>
  <c r="Q103" i="1" s="1"/>
  <c r="J5" i="1"/>
  <c r="J107" i="1" s="1"/>
  <c r="Q32" i="1"/>
  <c r="Q62" i="1" s="1"/>
  <c r="I64" i="1"/>
  <c r="P62" i="1"/>
  <c r="Q43" i="1"/>
  <c r="Q66" i="1" s="1"/>
  <c r="P66" i="1"/>
  <c r="P93" i="1"/>
  <c r="P95" i="1" s="1"/>
  <c r="O97" i="1"/>
  <c r="O36" i="1" s="1"/>
  <c r="L46" i="1"/>
  <c r="Q94" i="1"/>
  <c r="Q99" i="1" s="1"/>
  <c r="Q22" i="1" s="1"/>
  <c r="Q61" i="1" s="1"/>
  <c r="P99" i="1"/>
  <c r="P22" i="1" s="1"/>
  <c r="P61" i="1" s="1"/>
  <c r="N165" i="3" l="1"/>
  <c r="N168" i="3" s="1"/>
  <c r="O33" i="1"/>
  <c r="O63" i="1" s="1"/>
  <c r="Q105" i="1"/>
  <c r="J34" i="1"/>
  <c r="J64" i="1" s="1"/>
  <c r="K4" i="1"/>
  <c r="K5" i="1" s="1"/>
  <c r="Q93" i="1"/>
  <c r="Q95" i="1" s="1"/>
  <c r="Q97" i="1" s="1"/>
  <c r="Q36" i="1" s="1"/>
  <c r="P97" i="1"/>
  <c r="P36" i="1" s="1"/>
  <c r="O165" i="3" l="1"/>
  <c r="O168" i="3" s="1"/>
  <c r="Q33" i="1" s="1"/>
  <c r="P33" i="1"/>
  <c r="L4" i="1"/>
  <c r="L5" i="1" s="1"/>
  <c r="L107" i="1" s="1"/>
  <c r="K107" i="1"/>
  <c r="K34" i="1"/>
  <c r="K64" i="1" s="1"/>
  <c r="M46" i="1"/>
  <c r="P63" i="1" l="1"/>
  <c r="Q63" i="1"/>
  <c r="L34" i="1"/>
  <c r="M4" i="1"/>
  <c r="L64" i="1" l="1"/>
  <c r="M5" i="1"/>
  <c r="N46" i="1"/>
  <c r="N4" i="1" l="1"/>
  <c r="M107" i="1"/>
  <c r="M34" i="1"/>
  <c r="M64" i="1" s="1"/>
  <c r="N5" i="1"/>
  <c r="O4" i="1" l="1"/>
  <c r="N107" i="1"/>
  <c r="O5" i="1"/>
  <c r="N34" i="1"/>
  <c r="O46" i="1"/>
  <c r="I16" i="1"/>
  <c r="I20" i="1" s="1"/>
  <c r="K16" i="1"/>
  <c r="K20" i="1" s="1"/>
  <c r="J16" i="1"/>
  <c r="J20" i="1" s="1"/>
  <c r="N16" i="1"/>
  <c r="N20" i="1" s="1"/>
  <c r="L16" i="1"/>
  <c r="L20" i="1" s="1"/>
  <c r="G16" i="1"/>
  <c r="G20" i="1" s="1"/>
  <c r="H16" i="1"/>
  <c r="H20" i="1" s="1"/>
  <c r="O16" i="1"/>
  <c r="O20" i="1" s="1"/>
  <c r="Q16" i="1"/>
  <c r="Q20" i="1" s="1"/>
  <c r="M16" i="1"/>
  <c r="M20" i="1" s="1"/>
  <c r="P16" i="1"/>
  <c r="P20" i="1" s="1"/>
  <c r="P4" i="1" l="1"/>
  <c r="O107" i="1"/>
  <c r="O34" i="1"/>
  <c r="O64" i="1" s="1"/>
  <c r="N64" i="1"/>
  <c r="P5" i="1"/>
  <c r="F16" i="1"/>
  <c r="F20" i="1" s="1"/>
  <c r="F25" i="1" s="1"/>
  <c r="Q4" i="1" l="1"/>
  <c r="Q5" i="1" s="1"/>
  <c r="Q107" i="1" s="1"/>
  <c r="P107" i="1"/>
  <c r="F52" i="1"/>
  <c r="F53" i="1" s="1"/>
  <c r="F60" i="1"/>
  <c r="P46" i="1"/>
  <c r="P34" i="1"/>
  <c r="G38" i="1"/>
  <c r="Q46" i="1" l="1"/>
  <c r="Q34" i="1"/>
  <c r="Q64" i="1" s="1"/>
  <c r="P64" i="1"/>
  <c r="G47" i="1"/>
  <c r="H38" i="1"/>
  <c r="I38" i="1" l="1"/>
  <c r="H47" i="1" l="1"/>
  <c r="J38" i="1"/>
  <c r="K38" i="1" l="1"/>
  <c r="I47" i="1" l="1"/>
  <c r="L38" i="1"/>
  <c r="M38" i="1" l="1"/>
  <c r="N38" i="1" l="1"/>
  <c r="J47" i="1"/>
  <c r="O38" i="1" l="1"/>
  <c r="K47" i="1" l="1"/>
  <c r="P38" i="1"/>
  <c r="Q38" i="1"/>
  <c r="F67" i="1" l="1"/>
  <c r="F113" i="1" s="1"/>
  <c r="F115" i="1" s="1"/>
  <c r="F117" i="1" s="1"/>
  <c r="L47" i="1"/>
  <c r="F120" i="1" l="1"/>
  <c r="F119" i="1"/>
  <c r="F75" i="1" s="1"/>
  <c r="M47" i="1"/>
  <c r="F125" i="1" l="1"/>
  <c r="G124" i="1" s="1"/>
  <c r="G129" i="1" s="1"/>
  <c r="G23" i="1" s="1"/>
  <c r="F122" i="1"/>
  <c r="N47" i="1"/>
  <c r="F127" i="1" l="1"/>
  <c r="F44" i="1" s="1"/>
  <c r="G112" i="1"/>
  <c r="O47" i="1"/>
  <c r="P47" i="1" l="1"/>
  <c r="Q47" i="1" l="1"/>
  <c r="F45" i="1" l="1"/>
  <c r="F48" i="1" s="1"/>
  <c r="F54" i="1" s="1"/>
  <c r="F76" i="1"/>
  <c r="F80" i="1" s="1"/>
  <c r="F81" i="1" s="1"/>
  <c r="G79" i="1" l="1"/>
  <c r="F31" i="1"/>
  <c r="F35" i="1" s="1"/>
  <c r="F39" i="1" s="1"/>
  <c r="F55" i="1" s="1"/>
  <c r="G25" i="1"/>
  <c r="G52" i="1" l="1"/>
  <c r="G60" i="1"/>
  <c r="G67" i="1" s="1"/>
  <c r="G113" i="1" s="1"/>
  <c r="G115" i="1" s="1"/>
  <c r="G117" i="1" s="1"/>
  <c r="G120" i="1" l="1"/>
  <c r="G119" i="1"/>
  <c r="G53" i="1"/>
  <c r="G75" i="1" l="1"/>
  <c r="G76" i="1" s="1"/>
  <c r="G80" i="1" s="1"/>
  <c r="G81" i="1" s="1"/>
  <c r="G122" i="1"/>
  <c r="G125" i="1"/>
  <c r="H79" i="1" l="1"/>
  <c r="G31" i="1"/>
  <c r="G35" i="1" s="1"/>
  <c r="G39" i="1" s="1"/>
  <c r="H112" i="1"/>
  <c r="G127" i="1"/>
  <c r="G44" i="1" s="1"/>
  <c r="G45" i="1" s="1"/>
  <c r="G48" i="1" s="1"/>
  <c r="G54" i="1" s="1"/>
  <c r="H124" i="1"/>
  <c r="G55" i="1" l="1"/>
  <c r="H129" i="1"/>
  <c r="H23" i="1" s="1"/>
  <c r="H25" i="1" s="1"/>
  <c r="H52" i="1" s="1"/>
  <c r="H60" i="1" l="1"/>
  <c r="H67" i="1" s="1"/>
  <c r="H113" i="1" s="1"/>
  <c r="H115" i="1" s="1"/>
  <c r="H117" i="1" s="1"/>
  <c r="H119" i="1" s="1"/>
  <c r="H53" i="1"/>
  <c r="H120" i="1" l="1"/>
  <c r="H122" i="1" s="1"/>
  <c r="H75" i="1" l="1"/>
  <c r="H76" i="1" s="1"/>
  <c r="H80" i="1" s="1"/>
  <c r="H81" i="1" s="1"/>
  <c r="I112" i="1"/>
  <c r="H125" i="1"/>
  <c r="I124" i="1" s="1"/>
  <c r="I79" i="1" l="1"/>
  <c r="H31" i="1"/>
  <c r="H35" i="1" s="1"/>
  <c r="H39" i="1" s="1"/>
  <c r="H127" i="1"/>
  <c r="H44" i="1" s="1"/>
  <c r="H45" i="1" s="1"/>
  <c r="H48" i="1" s="1"/>
  <c r="H54" i="1" s="1"/>
  <c r="I129" i="1"/>
  <c r="I23" i="1" s="1"/>
  <c r="I25" i="1" s="1"/>
  <c r="I52" i="1" s="1"/>
  <c r="H55" i="1" l="1"/>
  <c r="I60" i="1"/>
  <c r="I67" i="1" s="1"/>
  <c r="I113" i="1" s="1"/>
  <c r="I115" i="1" s="1"/>
  <c r="I117" i="1" s="1"/>
  <c r="I53" i="1"/>
  <c r="I119" i="1" l="1"/>
  <c r="I120" i="1"/>
  <c r="I75" i="1" l="1"/>
  <c r="I76" i="1" s="1"/>
  <c r="I80" i="1" s="1"/>
  <c r="I81" i="1" s="1"/>
  <c r="I122" i="1"/>
  <c r="J112" i="1" s="1"/>
  <c r="I125" i="1"/>
  <c r="J79" i="1" l="1"/>
  <c r="I31" i="1"/>
  <c r="I35" i="1" s="1"/>
  <c r="I39" i="1" s="1"/>
  <c r="J124" i="1"/>
  <c r="I127" i="1"/>
  <c r="I44" i="1" s="1"/>
  <c r="I45" i="1" s="1"/>
  <c r="I48" i="1" s="1"/>
  <c r="I54" i="1" s="1"/>
  <c r="I55" i="1" l="1"/>
  <c r="J129" i="1"/>
  <c r="J23" i="1" s="1"/>
  <c r="J25" i="1" s="1"/>
  <c r="J60" i="1" l="1"/>
  <c r="J67" i="1" s="1"/>
  <c r="J113" i="1" s="1"/>
  <c r="J115" i="1" s="1"/>
  <c r="J117" i="1" s="1"/>
  <c r="J52" i="1"/>
  <c r="J53" i="1" s="1"/>
  <c r="J119" i="1" l="1"/>
  <c r="J120" i="1"/>
  <c r="J75" i="1" l="1"/>
  <c r="J76" i="1" s="1"/>
  <c r="J80" i="1" s="1"/>
  <c r="J81" i="1" s="1"/>
  <c r="J122" i="1"/>
  <c r="K112" i="1" s="1"/>
  <c r="J125" i="1"/>
  <c r="K79" i="1" l="1"/>
  <c r="J31" i="1"/>
  <c r="J35" i="1" s="1"/>
  <c r="J39" i="1" s="1"/>
  <c r="K124" i="1"/>
  <c r="J127" i="1"/>
  <c r="J44" i="1" s="1"/>
  <c r="J45" i="1" s="1"/>
  <c r="J48" i="1" s="1"/>
  <c r="J54" i="1" s="1"/>
  <c r="J55" i="1" l="1"/>
  <c r="K129" i="1"/>
  <c r="K23" i="1" s="1"/>
  <c r="K25" i="1" s="1"/>
  <c r="K60" i="1" l="1"/>
  <c r="K67" i="1" s="1"/>
  <c r="K113" i="1" s="1"/>
  <c r="K115" i="1" s="1"/>
  <c r="K117" i="1" s="1"/>
  <c r="K52" i="1"/>
  <c r="K53" i="1" s="1"/>
  <c r="K119" i="1" l="1"/>
  <c r="K120" i="1"/>
  <c r="K75" i="1" l="1"/>
  <c r="K76" i="1" s="1"/>
  <c r="K80" i="1" s="1"/>
  <c r="K81" i="1" s="1"/>
  <c r="K122" i="1"/>
  <c r="L112" i="1" s="1"/>
  <c r="K125" i="1"/>
  <c r="L79" i="1" l="1"/>
  <c r="K31" i="1"/>
  <c r="K35" i="1"/>
  <c r="K39" i="1" s="1"/>
  <c r="K127" i="1"/>
  <c r="K44" i="1" s="1"/>
  <c r="K45" i="1" s="1"/>
  <c r="K48" i="1" s="1"/>
  <c r="K54" i="1" s="1"/>
  <c r="L124" i="1"/>
  <c r="K55" i="1" l="1"/>
  <c r="L129" i="1"/>
  <c r="L23" i="1" s="1"/>
  <c r="L25" i="1" s="1"/>
  <c r="L60" i="1" l="1"/>
  <c r="L67" i="1" s="1"/>
  <c r="L52" i="1"/>
  <c r="L53" i="1" s="1"/>
  <c r="L113" i="1" l="1"/>
  <c r="L115" i="1" s="1"/>
  <c r="L117" i="1" s="1"/>
  <c r="L119" i="1" l="1"/>
  <c r="L120" i="1"/>
  <c r="L75" i="1" l="1"/>
  <c r="L76" i="1" s="1"/>
  <c r="L80" i="1" s="1"/>
  <c r="L81" i="1" s="1"/>
  <c r="L122" i="1"/>
  <c r="M112" i="1" s="1"/>
  <c r="L125" i="1"/>
  <c r="M79" i="1" l="1"/>
  <c r="L31" i="1"/>
  <c r="L35" i="1"/>
  <c r="L39" i="1" s="1"/>
  <c r="M124" i="1"/>
  <c r="L127" i="1"/>
  <c r="L44" i="1" s="1"/>
  <c r="L45" i="1" s="1"/>
  <c r="L48" i="1" s="1"/>
  <c r="L54" i="1" s="1"/>
  <c r="L55" i="1" l="1"/>
  <c r="M129" i="1"/>
  <c r="M23" i="1" s="1"/>
  <c r="M25" i="1" s="1"/>
  <c r="M60" i="1" l="1"/>
  <c r="M67" i="1" s="1"/>
  <c r="M52" i="1"/>
  <c r="M53" i="1" l="1"/>
  <c r="M113" i="1"/>
  <c r="M115" i="1" s="1"/>
  <c r="M117" i="1" s="1"/>
  <c r="M119" i="1" l="1"/>
  <c r="M120" i="1"/>
  <c r="M75" i="1" l="1"/>
  <c r="M76" i="1" s="1"/>
  <c r="M80" i="1" s="1"/>
  <c r="M81" i="1" s="1"/>
  <c r="M122" i="1"/>
  <c r="N112" i="1" s="1"/>
  <c r="M125" i="1"/>
  <c r="N79" i="1" l="1"/>
  <c r="M31" i="1"/>
  <c r="M35" i="1"/>
  <c r="M39" i="1" s="1"/>
  <c r="M127" i="1"/>
  <c r="M44" i="1" s="1"/>
  <c r="M45" i="1" s="1"/>
  <c r="M48" i="1" s="1"/>
  <c r="M54" i="1" s="1"/>
  <c r="N124" i="1"/>
  <c r="M55" i="1" l="1"/>
  <c r="N129" i="1"/>
  <c r="N23" i="1" s="1"/>
  <c r="N25" i="1" s="1"/>
  <c r="N60" i="1" l="1"/>
  <c r="N67" i="1" s="1"/>
  <c r="N52" i="1"/>
  <c r="N53" i="1" l="1"/>
  <c r="N113" i="1"/>
  <c r="N115" i="1" s="1"/>
  <c r="N117" i="1" s="1"/>
  <c r="N119" i="1" l="1"/>
  <c r="N120" i="1"/>
  <c r="N75" i="1" l="1"/>
  <c r="N76" i="1" s="1"/>
  <c r="N80" i="1" s="1"/>
  <c r="N81" i="1" s="1"/>
  <c r="N122" i="1"/>
  <c r="O112" i="1" s="1"/>
  <c r="N125" i="1"/>
  <c r="O79" i="1" l="1"/>
  <c r="N31" i="1"/>
  <c r="N35" i="1" s="1"/>
  <c r="N39" i="1" s="1"/>
  <c r="O124" i="1"/>
  <c r="N127" i="1"/>
  <c r="N44" i="1" s="1"/>
  <c r="N45" i="1" s="1"/>
  <c r="N48" i="1" s="1"/>
  <c r="N54" i="1" s="1"/>
  <c r="N55" i="1" l="1"/>
  <c r="O129" i="1"/>
  <c r="O23" i="1" s="1"/>
  <c r="O25" i="1" s="1"/>
  <c r="O60" i="1" l="1"/>
  <c r="O67" i="1" s="1"/>
  <c r="O52" i="1"/>
  <c r="O53" i="1" l="1"/>
  <c r="O113" i="1"/>
  <c r="O115" i="1" s="1"/>
  <c r="O117" i="1" s="1"/>
  <c r="O120" i="1" l="1"/>
  <c r="O119" i="1"/>
  <c r="O75" i="1" s="1"/>
  <c r="O76" i="1" s="1"/>
  <c r="O80" i="1" s="1"/>
  <c r="O81" i="1" s="1"/>
  <c r="P79" i="1" l="1"/>
  <c r="O31" i="1"/>
  <c r="O122" i="1"/>
  <c r="O125" i="1"/>
  <c r="P112" i="1" l="1"/>
  <c r="O35" i="1"/>
  <c r="O39" i="1" s="1"/>
  <c r="P124" i="1"/>
  <c r="O127" i="1"/>
  <c r="O44" i="1" s="1"/>
  <c r="O45" i="1" s="1"/>
  <c r="O48" i="1" s="1"/>
  <c r="O54" i="1" s="1"/>
  <c r="O55" i="1" l="1"/>
  <c r="P129" i="1"/>
  <c r="P23" i="1" s="1"/>
  <c r="P25" i="1" s="1"/>
  <c r="P60" i="1" l="1"/>
  <c r="P67" i="1" s="1"/>
  <c r="P52" i="1"/>
  <c r="P53" i="1" l="1"/>
  <c r="P113" i="1"/>
  <c r="P115" i="1" s="1"/>
  <c r="P117" i="1" s="1"/>
  <c r="P120" i="1" l="1"/>
  <c r="P119" i="1"/>
  <c r="P75" i="1" l="1"/>
  <c r="P76" i="1" s="1"/>
  <c r="P80" i="1" s="1"/>
  <c r="P81" i="1" s="1"/>
  <c r="P31" i="1" s="1"/>
  <c r="Q79" i="1"/>
  <c r="P122" i="1"/>
  <c r="P125" i="1"/>
  <c r="Q112" i="1" l="1"/>
  <c r="P35" i="1"/>
  <c r="P39" i="1" s="1"/>
  <c r="Q124" i="1"/>
  <c r="P127" i="1"/>
  <c r="P44" i="1" s="1"/>
  <c r="P45" i="1" s="1"/>
  <c r="P48" i="1" s="1"/>
  <c r="P54" i="1" s="1"/>
  <c r="P55" i="1" l="1"/>
  <c r="Q129" i="1"/>
  <c r="Q23" i="1" s="1"/>
  <c r="Q25" i="1" s="1"/>
  <c r="Q60" i="1" l="1"/>
  <c r="Q67" i="1" s="1"/>
  <c r="Q52" i="1"/>
  <c r="Q53" i="1" s="1"/>
  <c r="Q113" i="1" l="1"/>
  <c r="Q115" i="1" s="1"/>
  <c r="Q117" i="1" s="1"/>
  <c r="Q120" i="1" l="1"/>
  <c r="Q119" i="1"/>
  <c r="Q75" i="1" l="1"/>
  <c r="Q76" i="1" s="1"/>
  <c r="Q80" i="1" s="1"/>
  <c r="Q81" i="1" s="1"/>
  <c r="Q31" i="1" s="1"/>
  <c r="Q122" i="1"/>
  <c r="Q125" i="1"/>
  <c r="Q127" i="1" s="1"/>
  <c r="Q44" i="1" s="1"/>
  <c r="Q45" i="1" s="1"/>
  <c r="Q48" i="1" s="1"/>
  <c r="Q54" i="1" s="1"/>
  <c r="Q35" i="1" l="1"/>
  <c r="Q39" i="1" s="1"/>
  <c r="Q55" i="1" s="1"/>
</calcChain>
</file>

<file path=xl/sharedStrings.xml><?xml version="1.0" encoding="utf-8"?>
<sst xmlns="http://schemas.openxmlformats.org/spreadsheetml/2006/main" count="269" uniqueCount="150">
  <si>
    <t>Period Start</t>
  </si>
  <si>
    <t>Period End</t>
  </si>
  <si>
    <t>Period #</t>
  </si>
  <si>
    <t>Inputs and Assumptions</t>
  </si>
  <si>
    <t>General</t>
  </si>
  <si>
    <t>Company Name:</t>
  </si>
  <si>
    <t>[$]</t>
  </si>
  <si>
    <t>[%]</t>
  </si>
  <si>
    <t>Case Author: Andrew Grigolyunovich, CFA, CFM, FMVA</t>
  </si>
  <si>
    <t>Model Start Date</t>
  </si>
  <si>
    <t>[Date]</t>
  </si>
  <si>
    <t>Interest Rate</t>
  </si>
  <si>
    <t>Case 3-S3/2020: Power-Up Builders</t>
  </si>
  <si>
    <t>Power-Up Builders</t>
  </si>
  <si>
    <t>Assets</t>
  </si>
  <si>
    <t>Balance Sheet</t>
  </si>
  <si>
    <t>Total Assets</t>
  </si>
  <si>
    <t>Current Assets</t>
  </si>
  <si>
    <t>Fixed Assets</t>
  </si>
  <si>
    <t>Cash</t>
  </si>
  <si>
    <t>Inventory and Materials</t>
  </si>
  <si>
    <t>Accounts Receivable</t>
  </si>
  <si>
    <t>PP&amp;E</t>
  </si>
  <si>
    <t>Intangible Assets</t>
  </si>
  <si>
    <t>Liabilities</t>
  </si>
  <si>
    <t>Total Equity &amp; Liabilities</t>
  </si>
  <si>
    <t>Share Capital</t>
  </si>
  <si>
    <t>Retained Earnings</t>
  </si>
  <si>
    <t>Current Liabilities</t>
  </si>
  <si>
    <t>Long-Term Liabilities</t>
  </si>
  <si>
    <t>Holdbacks</t>
  </si>
  <si>
    <t>Accounts Payable</t>
  </si>
  <si>
    <t>Revolving Line of Credit</t>
  </si>
  <si>
    <t>Advances Received</t>
  </si>
  <si>
    <t>Total Equity</t>
  </si>
  <si>
    <t>Total Liabilities</t>
  </si>
  <si>
    <t>Profit &amp; Loss Statement</t>
  </si>
  <si>
    <t>CashFlow Statement</t>
  </si>
  <si>
    <t>Support Calculations</t>
  </si>
  <si>
    <t>Materials</t>
  </si>
  <si>
    <t>Salaries</t>
  </si>
  <si>
    <t>Overhead</t>
  </si>
  <si>
    <t>Project</t>
  </si>
  <si>
    <t>Total</t>
  </si>
  <si>
    <t>Percentage of Contract Completed</t>
  </si>
  <si>
    <t>Moonshine Night Club</t>
  </si>
  <si>
    <t>Titan Office Building</t>
  </si>
  <si>
    <t>Olympic Ice Arena</t>
  </si>
  <si>
    <t>Wildlife Zoo</t>
  </si>
  <si>
    <t>Planetarium Science Museum</t>
  </si>
  <si>
    <t>Evergreen City Office Building</t>
  </si>
  <si>
    <t>Sky Is The Limit Office Building</t>
  </si>
  <si>
    <t>One Foot Taller Office Building</t>
  </si>
  <si>
    <t>Sputnik Catcher Office Building</t>
  </si>
  <si>
    <t>Evergreen Stock Exchange</t>
  </si>
  <si>
    <t>Construction Estimates</t>
  </si>
  <si>
    <t>Payment Conditions</t>
  </si>
  <si>
    <t>Advance Payment</t>
  </si>
  <si>
    <t>Holdback</t>
  </si>
  <si>
    <t>Leasing</t>
  </si>
  <si>
    <t>Net Revenues</t>
  </si>
  <si>
    <t>Direct Materials</t>
  </si>
  <si>
    <t>Direct Labor</t>
  </si>
  <si>
    <t>Cost of Goods Sold</t>
  </si>
  <si>
    <t>Gross Profit</t>
  </si>
  <si>
    <t>EBITDA</t>
  </si>
  <si>
    <t>Depreciation</t>
  </si>
  <si>
    <t>Interest</t>
  </si>
  <si>
    <t>Net Profit</t>
  </si>
  <si>
    <t>Check</t>
  </si>
  <si>
    <t>CAPEX</t>
  </si>
  <si>
    <t>Existing PP&amp;E</t>
  </si>
  <si>
    <t>New PP&amp;E</t>
  </si>
  <si>
    <t>[years]</t>
  </si>
  <si>
    <t>CAPEX Requirements</t>
  </si>
  <si>
    <t>Option 1</t>
  </si>
  <si>
    <t>Option 2</t>
  </si>
  <si>
    <t>Option 3</t>
  </si>
  <si>
    <t>Option 4</t>
  </si>
  <si>
    <t>Contract Volume</t>
  </si>
  <si>
    <t>More</t>
  </si>
  <si>
    <t>Capex Date</t>
  </si>
  <si>
    <t>Financing Amount</t>
  </si>
  <si>
    <t>Repayment Term</t>
  </si>
  <si>
    <t>[Mo.]</t>
  </si>
  <si>
    <t>Maximum Limit</t>
  </si>
  <si>
    <t>Overhead per Month</t>
  </si>
  <si>
    <t>1. General Assumptions</t>
  </si>
  <si>
    <t>3. List of Projects</t>
  </si>
  <si>
    <t>2. Starting Balance Sheet</t>
  </si>
  <si>
    <t>Equity</t>
  </si>
  <si>
    <t>Outstanding Holdback Release</t>
  </si>
  <si>
    <t>Date</t>
  </si>
  <si>
    <t>Amount</t>
  </si>
  <si>
    <t>OVH &amp; Profit</t>
  </si>
  <si>
    <t>Financial Model</t>
  </si>
  <si>
    <t>Activity*
1 = Agreement signed
0 = Agreement not signed</t>
  </si>
  <si>
    <t>Activity*</t>
  </si>
  <si>
    <t>A/R</t>
  </si>
  <si>
    <t>Pre-Payment</t>
  </si>
  <si>
    <t>Unearned Revenue Write-Off</t>
  </si>
  <si>
    <t>Total Unearned Revenue Written Off</t>
  </si>
  <si>
    <t>Total Holdbacks</t>
  </si>
  <si>
    <t>Total Revenue Collected</t>
  </si>
  <si>
    <t>Material Expenses</t>
  </si>
  <si>
    <t>Direct Labor Expenses</t>
  </si>
  <si>
    <t>Total Material Expenses</t>
  </si>
  <si>
    <t>Total Labor Expenses</t>
  </si>
  <si>
    <t xml:space="preserve">Accounts Receivable Calculation </t>
  </si>
  <si>
    <t>Accounts Receivable Beg</t>
  </si>
  <si>
    <t>Invoice Collected</t>
  </si>
  <si>
    <t>Accounts Receivable Additions</t>
  </si>
  <si>
    <t>Accounts Receivable End</t>
  </si>
  <si>
    <t>CapEx</t>
  </si>
  <si>
    <t>Ending New PP&amp;E</t>
  </si>
  <si>
    <t xml:space="preserve">Beg </t>
  </si>
  <si>
    <t>End PP&amp;E</t>
  </si>
  <si>
    <t>Total PP&amp;E</t>
  </si>
  <si>
    <t xml:space="preserve">Total Depreciation </t>
  </si>
  <si>
    <t>Equipment Lease</t>
  </si>
  <si>
    <t>Beg</t>
  </si>
  <si>
    <t>Principle Payments</t>
  </si>
  <si>
    <t>End</t>
  </si>
  <si>
    <t>Operating Activities</t>
  </si>
  <si>
    <t>Net Income</t>
  </si>
  <si>
    <t>A/P</t>
  </si>
  <si>
    <t>Total Cash from Ops</t>
  </si>
  <si>
    <t>Investing Activities</t>
  </si>
  <si>
    <t>Cash used in Investing Activities</t>
  </si>
  <si>
    <t xml:space="preserve">Revolver Paydown </t>
  </si>
  <si>
    <t xml:space="preserve">Beg Cash </t>
  </si>
  <si>
    <t>Change in Cash</t>
  </si>
  <si>
    <t xml:space="preserve">End Cash </t>
  </si>
  <si>
    <t>Revolver Paydown/Additions</t>
  </si>
  <si>
    <t>Ending Available Capacity</t>
  </si>
  <si>
    <t>Revolver Calculations</t>
  </si>
  <si>
    <t>Revolver Draw</t>
  </si>
  <si>
    <t>Financing Activities</t>
  </si>
  <si>
    <t>Cash Used or Provided by Financing</t>
  </si>
  <si>
    <t>Principle Repayments for Lease</t>
  </si>
  <si>
    <t xml:space="preserve">Beginning Cash </t>
  </si>
  <si>
    <t>Cash from Operations</t>
  </si>
  <si>
    <t>Cash used in Investing</t>
  </si>
  <si>
    <t>FCF for Debt Services</t>
  </si>
  <si>
    <t>Mandatory Amortization</t>
  </si>
  <si>
    <t xml:space="preserve">FCF from Period </t>
  </si>
  <si>
    <t>Beginning Availabale Capacity</t>
  </si>
  <si>
    <t>Amount Revolver to B/S</t>
  </si>
  <si>
    <t>Ending Cash from Period</t>
  </si>
  <si>
    <t>Interest Expense (Beg Revolver)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</si>
</sst>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"/>
    <numFmt numFmtId="165" formatCode="0.0%"/>
    <numFmt numFmtId="166" formatCode="_(* #,##0.0_);_(* \(#,##0.0\);_(* &quot;-&quot;?_);_(@_)"/>
    <numFmt numFmtId="169" formatCode="0.000%"/>
    <numFmt numFmtId="175" formatCode="_(&quot;$&quot;* #,##0_);_(&quot;$&quot;* \(#,##0\);_(&quot;$&quot;* &quot;-&quot;???_);_(@_)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85B2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Roboto"/>
    </font>
    <font>
      <sz val="10"/>
      <name val="Roboto"/>
    </font>
    <font>
      <b/>
      <u/>
      <sz val="10"/>
      <color rgb="FF6C7079"/>
      <name val="roboto"/>
    </font>
    <font>
      <b/>
      <sz val="10"/>
      <color rgb="FF6C7079"/>
      <name val="Roboto"/>
    </font>
    <font>
      <b/>
      <sz val="28"/>
      <color theme="0"/>
      <name val="Roboto"/>
    </font>
    <font>
      <b/>
      <sz val="20"/>
      <color theme="0"/>
      <name val="Roboto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208BB7"/>
        <bgColor indexed="64"/>
      </patternFill>
    </fill>
    <fill>
      <patternFill patternType="solid">
        <fgColor rgb="FF6C70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2" borderId="3" applyNumberFormat="0" applyAlignment="0" applyProtection="0"/>
    <xf numFmtId="0" fontId="12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15" fontId="2" fillId="0" borderId="0" xfId="0" applyNumberFormat="1" applyFont="1"/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0" xfId="0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3" fontId="0" fillId="0" borderId="0" xfId="0" applyNumberFormat="1"/>
    <xf numFmtId="3" fontId="1" fillId="0" borderId="2" xfId="0" applyNumberFormat="1" applyFont="1" applyBorder="1"/>
    <xf numFmtId="0" fontId="1" fillId="0" borderId="0" xfId="0" applyFont="1"/>
    <xf numFmtId="3" fontId="6" fillId="0" borderId="0" xfId="0" applyNumberFormat="1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/>
    <xf numFmtId="0" fontId="8" fillId="0" borderId="4" xfId="0" applyFont="1" applyBorder="1" applyAlignment="1">
      <alignment horizontal="centerContinuous"/>
    </xf>
    <xf numFmtId="0" fontId="7" fillId="0" borderId="4" xfId="0" applyFont="1" applyBorder="1" applyAlignment="1">
      <alignment horizontal="centerContinuous"/>
    </xf>
    <xf numFmtId="0" fontId="9" fillId="0" borderId="1" xfId="0" applyFont="1" applyBorder="1"/>
    <xf numFmtId="0" fontId="7" fillId="0" borderId="1" xfId="0" applyFont="1" applyBorder="1"/>
    <xf numFmtId="0" fontId="7" fillId="0" borderId="0" xfId="0" applyFont="1" applyAlignment="1">
      <alignment horizontal="left" indent="1"/>
    </xf>
    <xf numFmtId="3" fontId="10" fillId="2" borderId="5" xfId="1" applyNumberFormat="1" applyFont="1" applyBorder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9" fontId="10" fillId="2" borderId="3" xfId="1" applyNumberFormat="1" applyFont="1" applyAlignment="1" applyProtection="1">
      <alignment horizontal="center"/>
      <protection locked="0"/>
    </xf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0" fontId="15" fillId="0" borderId="0" xfId="2" applyFont="1"/>
    <xf numFmtId="15" fontId="16" fillId="0" borderId="0" xfId="0" applyNumberFormat="1" applyFont="1" applyAlignment="1">
      <alignment horizontal="right"/>
    </xf>
    <xf numFmtId="15" fontId="10" fillId="2" borderId="3" xfId="1" applyNumberFormat="1" applyFont="1" applyAlignment="1" applyProtection="1">
      <alignment horizontal="center"/>
      <protection locked="0"/>
    </xf>
    <xf numFmtId="3" fontId="19" fillId="3" borderId="2" xfId="0" applyNumberFormat="1" applyFont="1" applyFill="1" applyBorder="1"/>
    <xf numFmtId="3" fontId="1" fillId="0" borderId="0" xfId="0" applyNumberFormat="1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center"/>
    </xf>
    <xf numFmtId="3" fontId="0" fillId="0" borderId="1" xfId="0" applyNumberFormat="1" applyBorder="1"/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indent="1"/>
    </xf>
    <xf numFmtId="0" fontId="7" fillId="0" borderId="8" xfId="0" applyFont="1" applyBorder="1" applyAlignment="1">
      <alignment horizontal="left" indent="1"/>
    </xf>
    <xf numFmtId="0" fontId="7" fillId="0" borderId="8" xfId="0" applyFont="1" applyBorder="1"/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3" fillId="0" borderId="8" xfId="0" applyFont="1" applyBorder="1" applyAlignment="1">
      <alignment horizontal="center"/>
    </xf>
    <xf numFmtId="0" fontId="9" fillId="0" borderId="0" xfId="0" applyFont="1"/>
    <xf numFmtId="3" fontId="7" fillId="0" borderId="0" xfId="0" applyNumberFormat="1" applyFont="1"/>
    <xf numFmtId="0" fontId="7" fillId="0" borderId="1" xfId="0" applyFont="1" applyBorder="1" applyAlignment="1">
      <alignment horizontal="centerContinuous"/>
    </xf>
    <xf numFmtId="3" fontId="9" fillId="0" borderId="0" xfId="0" applyNumberFormat="1" applyFont="1"/>
    <xf numFmtId="6" fontId="10" fillId="2" borderId="5" xfId="1" applyNumberFormat="1" applyFont="1" applyBorder="1" applyAlignment="1" applyProtection="1">
      <alignment horizontal="right"/>
      <protection locked="0"/>
    </xf>
    <xf numFmtId="6" fontId="10" fillId="2" borderId="9" xfId="1" applyNumberFormat="1" applyFont="1" applyBorder="1" applyAlignment="1" applyProtection="1">
      <alignment horizontal="right"/>
      <protection locked="0"/>
    </xf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2" borderId="5" xfId="1" applyNumberFormat="1" applyFont="1" applyBorder="1" applyAlignment="1" applyProtection="1">
      <alignment horizontal="center"/>
      <protection locked="0"/>
    </xf>
    <xf numFmtId="0" fontId="10" fillId="2" borderId="6" xfId="1" applyNumberFormat="1" applyFont="1" applyBorder="1" applyAlignment="1" applyProtection="1">
      <alignment horizontal="center"/>
      <protection locked="0"/>
    </xf>
    <xf numFmtId="3" fontId="1" fillId="0" borderId="1" xfId="0" applyNumberFormat="1" applyFont="1" applyBorder="1"/>
    <xf numFmtId="0" fontId="21" fillId="0" borderId="0" xfId="0" applyFont="1"/>
    <xf numFmtId="4" fontId="21" fillId="0" borderId="0" xfId="0" applyNumberFormat="1" applyFont="1"/>
    <xf numFmtId="3" fontId="22" fillId="0" borderId="0" xfId="0" applyNumberFormat="1" applyFont="1"/>
    <xf numFmtId="1" fontId="10" fillId="2" borderId="3" xfId="1" applyNumberFormat="1" applyFont="1" applyAlignment="1" applyProtection="1">
      <alignment horizontal="center"/>
      <protection locked="0"/>
    </xf>
    <xf numFmtId="1" fontId="10" fillId="2" borderId="5" xfId="1" applyNumberFormat="1" applyFont="1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5" fontId="10" fillId="2" borderId="5" xfId="1" applyNumberFormat="1" applyFont="1" applyBorder="1" applyAlignment="1" applyProtection="1">
      <alignment horizontal="center"/>
      <protection locked="0"/>
    </xf>
    <xf numFmtId="165" fontId="10" fillId="2" borderId="3" xfId="1" applyNumberFormat="1" applyFont="1" applyAlignment="1" applyProtection="1">
      <alignment horizontal="center"/>
      <protection locked="0"/>
    </xf>
    <xf numFmtId="1" fontId="10" fillId="2" borderId="6" xfId="1" applyNumberFormat="1" applyFont="1" applyBorder="1" applyAlignment="1" applyProtection="1">
      <alignment horizontal="center"/>
      <protection locked="0"/>
    </xf>
    <xf numFmtId="3" fontId="10" fillId="2" borderId="3" xfId="1" applyNumberFormat="1" applyFont="1" applyAlignment="1" applyProtection="1">
      <alignment horizontal="center"/>
      <protection locked="0"/>
    </xf>
    <xf numFmtId="165" fontId="10" fillId="2" borderId="6" xfId="1" applyNumberFormat="1" applyFont="1" applyBorder="1" applyAlignment="1" applyProtection="1">
      <alignment horizontal="center"/>
      <protection locked="0"/>
    </xf>
    <xf numFmtId="3" fontId="23" fillId="0" borderId="0" xfId="0" applyNumberFormat="1" applyFont="1"/>
    <xf numFmtId="0" fontId="4" fillId="0" borderId="1" xfId="0" applyFont="1" applyBorder="1" applyAlignment="1">
      <alignment horizontal="center"/>
    </xf>
    <xf numFmtId="3" fontId="10" fillId="2" borderId="9" xfId="1" applyNumberFormat="1" applyFont="1" applyBorder="1" applyAlignment="1" applyProtection="1">
      <alignment horizontal="center"/>
      <protection locked="0"/>
    </xf>
    <xf numFmtId="3" fontId="10" fillId="2" borderId="3" xfId="1" applyNumberFormat="1" applyFont="1" applyAlignment="1" applyProtection="1">
      <alignment horizontal="right"/>
      <protection locked="0"/>
    </xf>
    <xf numFmtId="3" fontId="10" fillId="2" borderId="6" xfId="1" applyNumberFormat="1" applyFont="1" applyBorder="1" applyAlignment="1" applyProtection="1">
      <alignment horizontal="right"/>
      <protection locked="0"/>
    </xf>
    <xf numFmtId="0" fontId="20" fillId="0" borderId="1" xfId="0" applyFont="1" applyBorder="1"/>
    <xf numFmtId="0" fontId="24" fillId="0" borderId="0" xfId="0" applyFont="1" applyAlignment="1">
      <alignment horizontal="left" indent="1"/>
    </xf>
    <xf numFmtId="0" fontId="24" fillId="0" borderId="1" xfId="0" applyFont="1" applyBorder="1" applyAlignment="1">
      <alignment horizontal="left" indent="1"/>
    </xf>
    <xf numFmtId="0" fontId="20" fillId="0" borderId="0" xfId="0" applyFont="1"/>
    <xf numFmtId="0" fontId="20" fillId="0" borderId="2" xfId="0" applyFont="1" applyBorder="1"/>
    <xf numFmtId="0" fontId="24" fillId="0" borderId="1" xfId="0" applyFont="1" applyBorder="1"/>
    <xf numFmtId="3" fontId="20" fillId="0" borderId="0" xfId="0" applyNumberFormat="1" applyFont="1"/>
    <xf numFmtId="3" fontId="20" fillId="0" borderId="2" xfId="0" applyNumberFormat="1" applyFont="1" applyBorder="1"/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2" xfId="0" applyFont="1" applyBorder="1" applyAlignment="1">
      <alignment horizontal="center"/>
    </xf>
    <xf numFmtId="0" fontId="24" fillId="0" borderId="2" xfId="0" applyFont="1" applyBorder="1"/>
    <xf numFmtId="6" fontId="7" fillId="0" borderId="0" xfId="0" applyNumberFormat="1" applyFont="1"/>
    <xf numFmtId="3" fontId="22" fillId="0" borderId="1" xfId="0" applyNumberFormat="1" applyFont="1" applyBorder="1"/>
    <xf numFmtId="15" fontId="10" fillId="2" borderId="3" xfId="1" applyNumberFormat="1" applyFont="1" applyAlignment="1" applyProtection="1">
      <alignment horizontal="right"/>
      <protection locked="0"/>
    </xf>
    <xf numFmtId="9" fontId="10" fillId="2" borderId="6" xfId="1" applyNumberFormat="1" applyFont="1" applyBorder="1" applyAlignment="1" applyProtection="1">
      <alignment horizontal="center"/>
      <protection locked="0"/>
    </xf>
    <xf numFmtId="3" fontId="23" fillId="0" borderId="1" xfId="0" applyNumberFormat="1" applyFont="1" applyBorder="1"/>
    <xf numFmtId="0" fontId="9" fillId="3" borderId="2" xfId="0" applyFont="1" applyFill="1" applyBorder="1"/>
    <xf numFmtId="0" fontId="25" fillId="3" borderId="2" xfId="0" applyFont="1" applyFill="1" applyBorder="1"/>
    <xf numFmtId="0" fontId="9" fillId="0" borderId="7" xfId="0" applyFont="1" applyBorder="1"/>
    <xf numFmtId="0" fontId="9" fillId="0" borderId="7" xfId="0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0" fontId="17" fillId="3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7" fillId="0" borderId="10" xfId="0" applyFont="1" applyBorder="1" applyAlignment="1">
      <alignment horizontal="left" wrapText="1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9" fontId="7" fillId="0" borderId="0" xfId="0" applyNumberFormat="1" applyFont="1"/>
    <xf numFmtId="166" fontId="7" fillId="0" borderId="0" xfId="0" applyNumberFormat="1" applyFont="1"/>
    <xf numFmtId="0" fontId="7" fillId="0" borderId="0" xfId="0" applyFont="1" applyBorder="1"/>
    <xf numFmtId="0" fontId="3" fillId="0" borderId="0" xfId="0" applyFont="1" applyBorder="1" applyAlignment="1">
      <alignment horizontal="center"/>
    </xf>
    <xf numFmtId="0" fontId="9" fillId="0" borderId="4" xfId="0" applyFont="1" applyBorder="1"/>
    <xf numFmtId="0" fontId="7" fillId="0" borderId="4" xfId="0" applyFont="1" applyBorder="1"/>
    <xf numFmtId="166" fontId="7" fillId="0" borderId="4" xfId="0" applyNumberFormat="1" applyFont="1" applyBorder="1"/>
    <xf numFmtId="0" fontId="9" fillId="0" borderId="4" xfId="0" applyFont="1" applyBorder="1" applyAlignment="1">
      <alignment horizontal="center"/>
    </xf>
    <xf numFmtId="41" fontId="7" fillId="0" borderId="0" xfId="0" applyNumberFormat="1" applyFont="1"/>
    <xf numFmtId="41" fontId="0" fillId="0" borderId="0" xfId="0" applyNumberFormat="1"/>
    <xf numFmtId="43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 indent="1"/>
    </xf>
    <xf numFmtId="0" fontId="0" fillId="0" borderId="0" xfId="0" applyBorder="1"/>
    <xf numFmtId="0" fontId="0" fillId="0" borderId="0" xfId="0" applyFill="1" applyBorder="1" applyAlignment="1">
      <alignment horizontal="left"/>
    </xf>
    <xf numFmtId="9" fontId="0" fillId="0" borderId="0" xfId="0" applyNumberFormat="1" applyFill="1" applyBorder="1"/>
    <xf numFmtId="0" fontId="0" fillId="0" borderId="0" xfId="0" applyFill="1" applyBorder="1"/>
    <xf numFmtId="3" fontId="0" fillId="0" borderId="0" xfId="0" applyNumberFormat="1" applyFill="1" applyBorder="1"/>
    <xf numFmtId="0" fontId="1" fillId="0" borderId="0" xfId="0" applyFont="1" applyBorder="1"/>
    <xf numFmtId="3" fontId="1" fillId="0" borderId="0" xfId="0" applyNumberFormat="1" applyFont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/>
    <xf numFmtId="3" fontId="1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 applyFill="1" applyBorder="1" applyAlignment="1">
      <alignment horizontal="left"/>
    </xf>
    <xf numFmtId="175" fontId="0" fillId="0" borderId="0" xfId="0" applyNumberFormat="1" applyFill="1" applyBorder="1"/>
    <xf numFmtId="169" fontId="0" fillId="0" borderId="0" xfId="0" applyNumberFormat="1" applyFill="1" applyBorder="1"/>
    <xf numFmtId="44" fontId="0" fillId="0" borderId="0" xfId="0" applyNumberFormat="1" applyFill="1" applyBorder="1"/>
    <xf numFmtId="10" fontId="0" fillId="0" borderId="0" xfId="0" applyNumberFormat="1" applyFill="1" applyBorder="1"/>
    <xf numFmtId="41" fontId="1" fillId="0" borderId="2" xfId="0" applyNumberFormat="1" applyFont="1" applyBorder="1"/>
    <xf numFmtId="3" fontId="0" fillId="0" borderId="0" xfId="0" applyNumberFormat="1" applyFont="1"/>
    <xf numFmtId="41" fontId="1" fillId="0" borderId="0" xfId="0" applyNumberFormat="1" applyFont="1" applyBorder="1"/>
    <xf numFmtId="0" fontId="1" fillId="0" borderId="2" xfId="0" applyFont="1" applyBorder="1" applyAlignment="1">
      <alignment horizontal="left"/>
    </xf>
    <xf numFmtId="43" fontId="1" fillId="0" borderId="0" xfId="0" applyNumberFormat="1" applyFont="1" applyBorder="1"/>
    <xf numFmtId="43" fontId="1" fillId="0" borderId="2" xfId="0" applyNumberFormat="1" applyFont="1" applyBorder="1"/>
    <xf numFmtId="0" fontId="26" fillId="0" borderId="0" xfId="0" applyFont="1"/>
  </cellXfs>
  <cellStyles count="3">
    <cellStyle name="Hyperlink" xfId="2" builtinId="8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208B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127002</xdr:colOff>
      <xdr:row>2</xdr:row>
      <xdr:rowOff>161635</xdr:rowOff>
    </xdr:from>
    <xdr:to>
      <xdr:col>13</xdr:col>
      <xdr:colOff>568470</xdr:colOff>
      <xdr:row>28</xdr:row>
      <xdr:rowOff>107949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77785-282E-4D08-9C72-B3351F555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052" y="479135"/>
          <a:ext cx="7147068" cy="4143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13073</xdr:colOff>
      <xdr:row>0</xdr:row>
      <xdr:rowOff>1</xdr:rowOff>
    </xdr:from>
    <xdr:to>
      <xdr:col>1</xdr:col>
      <xdr:colOff>1085850</xdr:colOff>
      <xdr:row>2</xdr:row>
      <xdr:rowOff>196851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1516F9-A825-4E74-A77E-AB39BA2AE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673" y="1"/>
          <a:ext cx="1072777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inkedin.com/in/andrewgri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B137-9720-463A-A931-A5DDBA505170}">
  <dimension ref="B20:O39"/>
  <sheetViews>
    <sheetView showGridLines="0" zoomScale="70" zoomScaleNormal="70" workbookViewId="0"/>
  </sheetViews>
  <sheetFormatPr defaultColWidth="8.7109375" defaultRowHeight="12.75"/>
  <cols>
    <col min="1" max="1" width="4.28515625" style="25" customWidth="1"/>
    <col min="2" max="14" width="8.7109375" style="25"/>
    <col min="15" max="15" width="10.140625" style="25" bestFit="1" customWidth="1"/>
    <col min="16" max="16" width="3.28515625" style="25" customWidth="1"/>
    <col min="17" max="16384" width="8.7109375" style="25"/>
  </cols>
  <sheetData>
    <row r="20" spans="2:15">
      <c r="B20" s="24"/>
      <c r="C20" s="24"/>
      <c r="D20" s="24"/>
      <c r="E20" s="24"/>
      <c r="F20" s="24"/>
      <c r="G20" s="24"/>
      <c r="H20" s="24"/>
      <c r="I20" s="24"/>
    </row>
    <row r="21" spans="2:15">
      <c r="B21" s="26"/>
      <c r="C21" s="26"/>
      <c r="D21" s="26"/>
      <c r="E21" s="26"/>
      <c r="F21" s="26"/>
      <c r="G21" s="26"/>
      <c r="H21" s="26"/>
      <c r="I21" s="26"/>
      <c r="J21" s="27"/>
    </row>
    <row r="22" spans="2:15">
      <c r="B22" s="26"/>
    </row>
    <row r="24" spans="2:15" ht="12.95" customHeight="1"/>
    <row r="25" spans="2:15" ht="12.95" customHeight="1"/>
    <row r="26" spans="2:15" ht="12.95" customHeight="1"/>
    <row r="27" spans="2:15" ht="12.95" customHeight="1"/>
    <row r="28" spans="2:15" ht="12.95" customHeight="1"/>
    <row r="31" spans="2:15">
      <c r="B31" s="28" t="s">
        <v>8</v>
      </c>
      <c r="O31" s="29">
        <v>44155</v>
      </c>
    </row>
    <row r="32" spans="2:15">
      <c r="B32" s="95" t="s">
        <v>12</v>
      </c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2:15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</row>
    <row r="34" spans="2:15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</row>
    <row r="35" spans="2:15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</row>
    <row r="36" spans="2:15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</row>
    <row r="37" spans="2:15">
      <c r="B37" s="96" t="s">
        <v>95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</row>
    <row r="38" spans="2:15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</row>
    <row r="39" spans="2:15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</row>
  </sheetData>
  <mergeCells count="2">
    <mergeCell ref="B32:O36"/>
    <mergeCell ref="B37:O39"/>
  </mergeCells>
  <hyperlinks>
    <hyperlink ref="B31" r:id="rId1" xr:uid="{D7391B34-CEEC-4DE2-B93A-AFA97AE7CE7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2D80-AF2A-43F8-8C6B-BFA9C2E48C88}">
  <dimension ref="A2:S169"/>
  <sheetViews>
    <sheetView showGridLines="0" topLeftCell="A139" workbookViewId="0">
      <selection activeCell="M55" sqref="M55"/>
    </sheetView>
  </sheetViews>
  <sheetFormatPr defaultColWidth="8.7109375" defaultRowHeight="12.75"/>
  <cols>
    <col min="1" max="1" width="3.28515625" style="15" customWidth="1"/>
    <col min="2" max="2" width="24.5703125" style="15" bestFit="1" customWidth="1"/>
    <col min="3" max="3" width="4.42578125" style="15" bestFit="1" customWidth="1"/>
    <col min="4" max="4" width="11.42578125" style="15" bestFit="1" customWidth="1"/>
    <col min="5" max="7" width="12.42578125" style="15" bestFit="1" customWidth="1"/>
    <col min="8" max="14" width="13.140625" style="15" bestFit="1" customWidth="1"/>
    <col min="15" max="15" width="12" style="15" bestFit="1" customWidth="1"/>
    <col min="16" max="16" width="14.140625" style="15" customWidth="1"/>
    <col min="17" max="18" width="12.42578125" style="15" bestFit="1" customWidth="1"/>
    <col min="19" max="19" width="10" style="15" bestFit="1" customWidth="1"/>
    <col min="20" max="16384" width="8.7109375" style="15"/>
  </cols>
  <sheetData>
    <row r="2" spans="2:15" ht="23.25">
      <c r="B2" s="13" t="str">
        <f>D9</f>
        <v>Power-Up Builders</v>
      </c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2:15" ht="16.5" thickBot="1">
      <c r="B3" s="16" t="s">
        <v>3</v>
      </c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6" spans="2:15" ht="13.5" thickBot="1">
      <c r="B6" s="91" t="s">
        <v>87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</row>
    <row r="7" spans="2:15" ht="13.5" thickTop="1"/>
    <row r="8" spans="2:15">
      <c r="B8" s="18" t="s">
        <v>4</v>
      </c>
      <c r="C8" s="18"/>
      <c r="D8" s="19"/>
      <c r="I8" s="18" t="s">
        <v>74</v>
      </c>
      <c r="J8" s="19"/>
      <c r="K8" s="19"/>
      <c r="L8" s="59" t="s">
        <v>79</v>
      </c>
      <c r="M8" s="59" t="s">
        <v>70</v>
      </c>
    </row>
    <row r="9" spans="2:15">
      <c r="B9" s="20" t="s">
        <v>5</v>
      </c>
      <c r="D9" s="21" t="s">
        <v>13</v>
      </c>
      <c r="I9" s="38" t="s">
        <v>75</v>
      </c>
      <c r="J9" s="39"/>
      <c r="L9" s="21">
        <v>50000000</v>
      </c>
      <c r="M9" s="21">
        <v>0</v>
      </c>
    </row>
    <row r="10" spans="2:15">
      <c r="B10" s="20" t="s">
        <v>9</v>
      </c>
      <c r="C10" s="22" t="s">
        <v>10</v>
      </c>
      <c r="D10" s="30">
        <v>44197</v>
      </c>
      <c r="I10" s="20" t="s">
        <v>76</v>
      </c>
      <c r="L10" s="21">
        <v>100000000</v>
      </c>
      <c r="M10" s="21">
        <v>5000000</v>
      </c>
    </row>
    <row r="11" spans="2:15">
      <c r="I11" s="20" t="s">
        <v>77</v>
      </c>
      <c r="L11" s="21">
        <v>150000000</v>
      </c>
      <c r="M11" s="21">
        <v>10000000</v>
      </c>
    </row>
    <row r="12" spans="2:15">
      <c r="B12" s="18" t="s">
        <v>41</v>
      </c>
      <c r="C12" s="19"/>
      <c r="D12" s="19"/>
      <c r="I12" s="37" t="s">
        <v>78</v>
      </c>
      <c r="J12" s="19"/>
      <c r="K12" s="19"/>
      <c r="L12" s="60" t="s">
        <v>80</v>
      </c>
      <c r="M12" s="68">
        <v>20000000</v>
      </c>
    </row>
    <row r="13" spans="2:15">
      <c r="B13" s="20" t="s">
        <v>86</v>
      </c>
      <c r="C13" s="22" t="s">
        <v>6</v>
      </c>
      <c r="D13" s="21">
        <v>500000</v>
      </c>
      <c r="I13" s="20" t="s">
        <v>81</v>
      </c>
      <c r="M13" s="61">
        <v>44255</v>
      </c>
    </row>
    <row r="15" spans="2:15">
      <c r="B15" s="18" t="s">
        <v>56</v>
      </c>
      <c r="C15" s="19"/>
      <c r="D15" s="19"/>
      <c r="I15" s="18" t="s">
        <v>32</v>
      </c>
      <c r="J15" s="19"/>
      <c r="K15" s="19"/>
      <c r="L15" s="19"/>
      <c r="M15" s="19"/>
    </row>
    <row r="16" spans="2:15">
      <c r="B16" s="20" t="s">
        <v>57</v>
      </c>
      <c r="C16" s="22" t="s">
        <v>7</v>
      </c>
      <c r="D16" s="23">
        <v>0.1</v>
      </c>
      <c r="I16" s="20" t="s">
        <v>85</v>
      </c>
      <c r="L16" s="22" t="s">
        <v>6</v>
      </c>
      <c r="M16" s="64">
        <v>12500000</v>
      </c>
    </row>
    <row r="17" spans="2:15">
      <c r="B17" s="20" t="s">
        <v>58</v>
      </c>
      <c r="C17" s="22" t="s">
        <v>7</v>
      </c>
      <c r="D17" s="23">
        <v>0.1</v>
      </c>
      <c r="I17" s="37" t="s">
        <v>11</v>
      </c>
      <c r="J17" s="19"/>
      <c r="K17" s="19"/>
      <c r="L17" s="40" t="s">
        <v>7</v>
      </c>
      <c r="M17" s="65">
        <v>0.03</v>
      </c>
    </row>
    <row r="19" spans="2:15">
      <c r="B19" s="18" t="s">
        <v>66</v>
      </c>
      <c r="C19" s="19"/>
      <c r="D19" s="19"/>
      <c r="I19" s="18" t="s">
        <v>59</v>
      </c>
      <c r="J19" s="19"/>
      <c r="K19" s="19"/>
      <c r="L19" s="19"/>
      <c r="M19" s="19"/>
    </row>
    <row r="20" spans="2:15">
      <c r="B20" s="20" t="s">
        <v>71</v>
      </c>
      <c r="C20" s="22" t="s">
        <v>73</v>
      </c>
      <c r="D20" s="58">
        <v>3</v>
      </c>
      <c r="I20" s="20" t="s">
        <v>82</v>
      </c>
      <c r="L20" s="22" t="s">
        <v>7</v>
      </c>
      <c r="M20" s="23">
        <v>0.8</v>
      </c>
    </row>
    <row r="21" spans="2:15">
      <c r="B21" s="20" t="s">
        <v>72</v>
      </c>
      <c r="C21" s="22" t="s">
        <v>73</v>
      </c>
      <c r="D21" s="57">
        <v>5</v>
      </c>
      <c r="I21" s="20" t="s">
        <v>11</v>
      </c>
      <c r="L21" s="22" t="s">
        <v>7</v>
      </c>
      <c r="M21" s="62">
        <v>2.5000000000000001E-2</v>
      </c>
    </row>
    <row r="22" spans="2:15">
      <c r="I22" s="37" t="s">
        <v>83</v>
      </c>
      <c r="J22" s="19"/>
      <c r="K22" s="19"/>
      <c r="L22" s="40" t="s">
        <v>84</v>
      </c>
      <c r="M22" s="63">
        <v>60</v>
      </c>
    </row>
    <row r="23" spans="2:15">
      <c r="F23" s="20"/>
      <c r="I23" s="22"/>
    </row>
    <row r="24" spans="2:15">
      <c r="F24" s="20"/>
      <c r="I24" s="22"/>
    </row>
    <row r="25" spans="2:15" ht="13.5" thickBot="1">
      <c r="B25" s="91" t="s">
        <v>89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2:15" ht="13.5" thickTop="1">
      <c r="F26" s="20"/>
      <c r="I26" s="22"/>
    </row>
    <row r="27" spans="2:15" ht="15">
      <c r="B27" s="71" t="s">
        <v>14</v>
      </c>
      <c r="C27" s="5"/>
      <c r="D27" s="76"/>
      <c r="I27" s="71" t="s">
        <v>24</v>
      </c>
      <c r="J27" s="76"/>
      <c r="K27" s="76"/>
      <c r="L27" s="5"/>
      <c r="M27" s="76"/>
    </row>
    <row r="28" spans="2:15">
      <c r="B28" s="72" t="s">
        <v>19</v>
      </c>
      <c r="C28" s="6" t="s">
        <v>6</v>
      </c>
      <c r="D28" s="69">
        <v>0</v>
      </c>
      <c r="I28" s="72" t="s">
        <v>31</v>
      </c>
      <c r="J28" s="79"/>
      <c r="K28" s="80"/>
      <c r="L28" s="6" t="s">
        <v>6</v>
      </c>
      <c r="M28" s="69">
        <v>0</v>
      </c>
    </row>
    <row r="29" spans="2:15">
      <c r="B29" s="72" t="s">
        <v>20</v>
      </c>
      <c r="C29" s="6" t="s">
        <v>6</v>
      </c>
      <c r="D29" s="69">
        <v>0</v>
      </c>
      <c r="I29" s="72" t="s">
        <v>33</v>
      </c>
      <c r="J29" s="79"/>
      <c r="K29" s="80"/>
      <c r="L29" s="6" t="s">
        <v>6</v>
      </c>
      <c r="M29" s="69">
        <v>0</v>
      </c>
    </row>
    <row r="30" spans="2:15">
      <c r="B30" s="72" t="s">
        <v>21</v>
      </c>
      <c r="C30" s="6" t="s">
        <v>6</v>
      </c>
      <c r="D30" s="69">
        <v>0</v>
      </c>
      <c r="I30" s="73" t="s">
        <v>32</v>
      </c>
      <c r="J30" s="76"/>
      <c r="K30" s="81"/>
      <c r="L30" s="36" t="s">
        <v>6</v>
      </c>
      <c r="M30" s="70">
        <v>2500000</v>
      </c>
    </row>
    <row r="31" spans="2:15">
      <c r="B31" s="73" t="s">
        <v>30</v>
      </c>
      <c r="C31" s="36" t="s">
        <v>6</v>
      </c>
      <c r="D31" s="70">
        <v>5000000</v>
      </c>
      <c r="I31" s="74" t="s">
        <v>28</v>
      </c>
      <c r="J31" s="74"/>
      <c r="K31" s="82"/>
      <c r="L31" s="34" t="s">
        <v>6</v>
      </c>
      <c r="M31" s="77">
        <f>SUM(M28:M30)</f>
        <v>2500000</v>
      </c>
    </row>
    <row r="32" spans="2:15">
      <c r="B32" s="74" t="s">
        <v>17</v>
      </c>
      <c r="C32" s="34" t="s">
        <v>6</v>
      </c>
      <c r="D32" s="77">
        <f>SUM(D28:D31)</f>
        <v>5000000</v>
      </c>
      <c r="I32" s="73" t="s">
        <v>59</v>
      </c>
      <c r="J32" s="76"/>
      <c r="K32" s="81"/>
      <c r="L32" s="36" t="s">
        <v>6</v>
      </c>
      <c r="M32" s="70">
        <v>0</v>
      </c>
    </row>
    <row r="33" spans="2:15">
      <c r="B33" s="72" t="s">
        <v>22</v>
      </c>
      <c r="C33" s="6" t="s">
        <v>6</v>
      </c>
      <c r="D33" s="69">
        <v>3600000</v>
      </c>
      <c r="I33" s="74" t="s">
        <v>29</v>
      </c>
      <c r="J33" s="74"/>
      <c r="K33" s="82"/>
      <c r="L33" s="34" t="s">
        <v>6</v>
      </c>
      <c r="M33" s="77">
        <f>SUM(M32:M32)</f>
        <v>0</v>
      </c>
    </row>
    <row r="34" spans="2:15" ht="13.5" thickBot="1">
      <c r="B34" s="73" t="s">
        <v>23</v>
      </c>
      <c r="C34" s="36" t="s">
        <v>6</v>
      </c>
      <c r="D34" s="70">
        <v>0</v>
      </c>
      <c r="I34" s="75" t="s">
        <v>35</v>
      </c>
      <c r="J34" s="75"/>
      <c r="K34" s="83"/>
      <c r="L34" s="9" t="s">
        <v>6</v>
      </c>
      <c r="M34" s="78">
        <f>SUM(M31,M33)</f>
        <v>2500000</v>
      </c>
    </row>
    <row r="35" spans="2:15" ht="13.5" thickTop="1">
      <c r="B35" s="74" t="s">
        <v>18</v>
      </c>
      <c r="C35" s="34" t="s">
        <v>6</v>
      </c>
      <c r="D35" s="77">
        <f>SUM(D33:D34)</f>
        <v>3600000</v>
      </c>
      <c r="I35" s="74"/>
      <c r="J35" s="74"/>
      <c r="K35" s="82"/>
      <c r="L35" s="34"/>
      <c r="M35" s="77"/>
    </row>
    <row r="36" spans="2:15" ht="15.75" thickBot="1">
      <c r="B36" s="75" t="s">
        <v>16</v>
      </c>
      <c r="C36" s="9" t="s">
        <v>6</v>
      </c>
      <c r="D36" s="78">
        <f>SUM(D35,D32)</f>
        <v>8600000</v>
      </c>
      <c r="I36" s="71" t="s">
        <v>90</v>
      </c>
      <c r="J36" s="76"/>
      <c r="K36" s="76"/>
      <c r="L36" s="5"/>
      <c r="M36" s="76"/>
    </row>
    <row r="37" spans="2:15" ht="13.5" thickTop="1">
      <c r="I37" s="72" t="s">
        <v>26</v>
      </c>
      <c r="J37" s="79"/>
      <c r="K37" s="80"/>
      <c r="L37" s="6" t="s">
        <v>6</v>
      </c>
      <c r="M37" s="69">
        <v>1000000</v>
      </c>
    </row>
    <row r="38" spans="2:15">
      <c r="B38" s="18" t="s">
        <v>91</v>
      </c>
      <c r="C38" s="19"/>
      <c r="D38" s="19"/>
      <c r="I38" s="73" t="s">
        <v>27</v>
      </c>
      <c r="J38" s="76"/>
      <c r="K38" s="81"/>
      <c r="L38" s="36" t="s">
        <v>6</v>
      </c>
      <c r="M38" s="70">
        <v>5100000</v>
      </c>
    </row>
    <row r="39" spans="2:15">
      <c r="B39" s="43" t="s">
        <v>92</v>
      </c>
      <c r="D39" s="43" t="s">
        <v>93</v>
      </c>
      <c r="I39" s="74" t="s">
        <v>34</v>
      </c>
      <c r="J39" s="74"/>
      <c r="K39" s="82"/>
      <c r="L39" s="34" t="s">
        <v>6</v>
      </c>
      <c r="M39" s="77">
        <f t="shared" ref="M39" si="0">SUM(M37:M38)</f>
        <v>6100000</v>
      </c>
    </row>
    <row r="40" spans="2:15" ht="13.5" thickBot="1">
      <c r="B40" s="87">
        <v>44377</v>
      </c>
      <c r="D40" s="69">
        <v>2500000</v>
      </c>
      <c r="F40" s="20"/>
      <c r="I40" s="75" t="s">
        <v>25</v>
      </c>
      <c r="J40" s="84"/>
      <c r="K40" s="83"/>
      <c r="L40" s="9" t="s">
        <v>6</v>
      </c>
      <c r="M40" s="78">
        <f>SUM(M34,M39)</f>
        <v>8600000</v>
      </c>
    </row>
    <row r="41" spans="2:15" ht="13.5" thickTop="1">
      <c r="F41" s="20"/>
      <c r="I41" s="22"/>
    </row>
    <row r="44" spans="2:15" ht="13.5" thickBot="1">
      <c r="B44" s="91" t="s">
        <v>88</v>
      </c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</row>
    <row r="45" spans="2:15" ht="13.5" thickTop="1">
      <c r="B45" s="43"/>
      <c r="C45" s="43"/>
    </row>
    <row r="47" spans="2:15">
      <c r="B47" s="49" t="s">
        <v>55</v>
      </c>
      <c r="C47" s="19"/>
      <c r="E47" s="45"/>
      <c r="F47" s="45"/>
    </row>
    <row r="48" spans="2:15">
      <c r="B48" s="92" t="s">
        <v>42</v>
      </c>
      <c r="C48" s="92"/>
      <c r="D48" s="93" t="s">
        <v>39</v>
      </c>
      <c r="E48" s="93" t="s">
        <v>40</v>
      </c>
      <c r="F48" s="93" t="s">
        <v>94</v>
      </c>
      <c r="G48" s="93" t="s">
        <v>43</v>
      </c>
      <c r="H48" s="93" t="s">
        <v>97</v>
      </c>
      <c r="K48" s="97" t="s">
        <v>96</v>
      </c>
      <c r="L48" s="98"/>
    </row>
    <row r="49" spans="1:16">
      <c r="A49" s="15">
        <v>1</v>
      </c>
      <c r="B49" s="15" t="s">
        <v>45</v>
      </c>
      <c r="C49" s="6" t="s">
        <v>6</v>
      </c>
      <c r="D49" s="47">
        <v>2890976</v>
      </c>
      <c r="E49" s="47">
        <v>3395956</v>
      </c>
      <c r="F49" s="47">
        <v>1304539</v>
      </c>
      <c r="G49" s="46">
        <f>IF(H49=1,SUM(D49:F49),0)</f>
        <v>7591471</v>
      </c>
      <c r="H49" s="51">
        <v>1</v>
      </c>
      <c r="K49" s="99"/>
      <c r="L49" s="100"/>
      <c r="M49" s="44"/>
      <c r="N49" s="85"/>
      <c r="O49" s="85"/>
    </row>
    <row r="50" spans="1:16">
      <c r="A50" s="15">
        <v>2</v>
      </c>
      <c r="B50" s="15" t="s">
        <v>46</v>
      </c>
      <c r="C50" s="6" t="s">
        <v>6</v>
      </c>
      <c r="D50" s="47">
        <v>8436341</v>
      </c>
      <c r="E50" s="47">
        <v>8916972</v>
      </c>
      <c r="F50" s="47">
        <v>3600813</v>
      </c>
      <c r="G50" s="46">
        <f t="shared" ref="G50:G58" si="1">IF(H50=1,SUM(D50:F50),0)</f>
        <v>20954126</v>
      </c>
      <c r="H50" s="51">
        <v>1</v>
      </c>
      <c r="K50" s="101"/>
      <c r="L50" s="102"/>
      <c r="M50" s="44"/>
      <c r="N50" s="85"/>
      <c r="O50" s="85"/>
    </row>
    <row r="51" spans="1:16">
      <c r="A51" s="15">
        <v>3</v>
      </c>
      <c r="B51" s="15" t="s">
        <v>50</v>
      </c>
      <c r="C51" s="6" t="s">
        <v>6</v>
      </c>
      <c r="D51" s="47">
        <v>7078921</v>
      </c>
      <c r="E51" s="47">
        <v>6821887</v>
      </c>
      <c r="F51" s="47">
        <v>2884417</v>
      </c>
      <c r="G51" s="46">
        <f t="shared" si="1"/>
        <v>16785225</v>
      </c>
      <c r="H51" s="51">
        <v>1</v>
      </c>
      <c r="K51" s="44"/>
      <c r="L51" s="44"/>
      <c r="M51" s="44"/>
      <c r="N51" s="85"/>
      <c r="O51" s="85"/>
    </row>
    <row r="52" spans="1:16">
      <c r="A52" s="15">
        <v>4</v>
      </c>
      <c r="B52" s="15" t="s">
        <v>51</v>
      </c>
      <c r="C52" s="6" t="s">
        <v>6</v>
      </c>
      <c r="D52" s="47">
        <v>9543584</v>
      </c>
      <c r="E52" s="47">
        <v>12290519</v>
      </c>
      <c r="F52" s="47">
        <v>4530576</v>
      </c>
      <c r="G52" s="46">
        <f t="shared" si="1"/>
        <v>26364679</v>
      </c>
      <c r="H52" s="51">
        <v>1</v>
      </c>
      <c r="K52" s="44"/>
      <c r="L52" s="44"/>
      <c r="M52" s="44"/>
      <c r="N52" s="85"/>
      <c r="O52" s="85"/>
    </row>
    <row r="53" spans="1:16">
      <c r="A53" s="15">
        <v>5</v>
      </c>
      <c r="B53" s="15" t="s">
        <v>52</v>
      </c>
      <c r="C53" s="6" t="s">
        <v>6</v>
      </c>
      <c r="D53" s="47">
        <v>10637867</v>
      </c>
      <c r="E53" s="47">
        <v>11845677</v>
      </c>
      <c r="F53" s="47">
        <v>4665336</v>
      </c>
      <c r="G53" s="46">
        <f t="shared" si="1"/>
        <v>27148880</v>
      </c>
      <c r="H53" s="51">
        <v>1</v>
      </c>
      <c r="K53" s="44"/>
      <c r="L53" s="44"/>
      <c r="M53" s="44"/>
      <c r="N53" s="85"/>
      <c r="O53" s="85"/>
    </row>
    <row r="54" spans="1:16">
      <c r="A54" s="15">
        <v>6</v>
      </c>
      <c r="B54" s="15" t="s">
        <v>53</v>
      </c>
      <c r="C54" s="6" t="s">
        <v>6</v>
      </c>
      <c r="D54" s="47">
        <v>16935098</v>
      </c>
      <c r="E54" s="47">
        <v>19125335</v>
      </c>
      <c r="F54" s="47">
        <v>7482540</v>
      </c>
      <c r="G54" s="46">
        <f t="shared" si="1"/>
        <v>43542973</v>
      </c>
      <c r="H54" s="51">
        <v>1</v>
      </c>
      <c r="K54" s="44"/>
      <c r="L54" s="44"/>
      <c r="M54" s="44"/>
      <c r="N54" s="85"/>
      <c r="O54" s="85"/>
    </row>
    <row r="55" spans="1:16">
      <c r="A55" s="15">
        <v>7</v>
      </c>
      <c r="B55" s="15" t="s">
        <v>54</v>
      </c>
      <c r="C55" s="6" t="s">
        <v>6</v>
      </c>
      <c r="D55" s="47">
        <v>4193313</v>
      </c>
      <c r="E55" s="47">
        <v>5262673</v>
      </c>
      <c r="F55" s="47">
        <v>1962117</v>
      </c>
      <c r="G55" s="46">
        <f t="shared" si="1"/>
        <v>11418103</v>
      </c>
      <c r="H55" s="51">
        <v>1</v>
      </c>
      <c r="K55" s="44"/>
      <c r="L55" s="44"/>
      <c r="M55" s="44"/>
      <c r="N55" s="85"/>
      <c r="O55" s="85"/>
    </row>
    <row r="56" spans="1:16">
      <c r="A56" s="15">
        <v>8</v>
      </c>
      <c r="B56" s="15" t="s">
        <v>47</v>
      </c>
      <c r="C56" s="6" t="s">
        <v>6</v>
      </c>
      <c r="D56" s="47">
        <v>9373739</v>
      </c>
      <c r="E56" s="47">
        <v>5521378</v>
      </c>
      <c r="F56" s="47">
        <v>3090737</v>
      </c>
      <c r="G56" s="46">
        <f t="shared" si="1"/>
        <v>17985854</v>
      </c>
      <c r="H56" s="51">
        <v>1</v>
      </c>
      <c r="K56" s="44"/>
      <c r="L56" s="44"/>
      <c r="M56" s="44"/>
      <c r="N56" s="85"/>
      <c r="O56" s="85"/>
    </row>
    <row r="57" spans="1:16">
      <c r="A57" s="15">
        <v>9</v>
      </c>
      <c r="B57" s="15" t="s">
        <v>48</v>
      </c>
      <c r="C57" s="6" t="s">
        <v>6</v>
      </c>
      <c r="D57" s="47">
        <v>6011073</v>
      </c>
      <c r="E57" s="47">
        <v>7906117</v>
      </c>
      <c r="F57" s="47">
        <v>2887817</v>
      </c>
      <c r="G57" s="46">
        <f t="shared" si="1"/>
        <v>16805007</v>
      </c>
      <c r="H57" s="51">
        <v>1</v>
      </c>
      <c r="K57" s="44"/>
      <c r="L57" s="44"/>
      <c r="M57" s="44"/>
      <c r="N57" s="85"/>
      <c r="O57" s="85"/>
    </row>
    <row r="58" spans="1:16">
      <c r="A58" s="15">
        <v>10</v>
      </c>
      <c r="B58" s="19" t="s">
        <v>49</v>
      </c>
      <c r="C58" s="36" t="s">
        <v>6</v>
      </c>
      <c r="D58" s="48">
        <v>3928424</v>
      </c>
      <c r="E58" s="48">
        <v>3068321</v>
      </c>
      <c r="F58" s="48">
        <v>1451825</v>
      </c>
      <c r="G58" s="46">
        <f t="shared" si="1"/>
        <v>8448570</v>
      </c>
      <c r="H58" s="52">
        <v>1</v>
      </c>
      <c r="K58" s="44"/>
      <c r="L58" s="44"/>
      <c r="M58" s="44"/>
      <c r="N58" s="85"/>
      <c r="O58" s="85"/>
    </row>
    <row r="59" spans="1:16">
      <c r="H59" s="44"/>
    </row>
    <row r="61" spans="1:16">
      <c r="B61" s="50" t="s">
        <v>44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6">
      <c r="B62" s="92" t="s">
        <v>42</v>
      </c>
      <c r="C62" s="92"/>
      <c r="D62" s="94">
        <f>EOMONTH($D$10,0)</f>
        <v>44227</v>
      </c>
      <c r="E62" s="94">
        <f>EOMONTH(D62,1)</f>
        <v>44255</v>
      </c>
      <c r="F62" s="94">
        <f t="shared" ref="F62:O62" si="2">EOMONTH(E62,1)</f>
        <v>44286</v>
      </c>
      <c r="G62" s="94">
        <f t="shared" si="2"/>
        <v>44316</v>
      </c>
      <c r="H62" s="94">
        <f t="shared" si="2"/>
        <v>44347</v>
      </c>
      <c r="I62" s="94">
        <f t="shared" si="2"/>
        <v>44377</v>
      </c>
      <c r="J62" s="94">
        <f t="shared" si="2"/>
        <v>44408</v>
      </c>
      <c r="K62" s="94">
        <f t="shared" si="2"/>
        <v>44439</v>
      </c>
      <c r="L62" s="94">
        <f t="shared" si="2"/>
        <v>44469</v>
      </c>
      <c r="M62" s="94">
        <f t="shared" si="2"/>
        <v>44500</v>
      </c>
      <c r="N62" s="94">
        <f t="shared" si="2"/>
        <v>44530</v>
      </c>
      <c r="O62" s="94">
        <f t="shared" si="2"/>
        <v>44561</v>
      </c>
    </row>
    <row r="63" spans="1:16">
      <c r="B63" s="39" t="str">
        <f>B49</f>
        <v>Moonshine Night Club</v>
      </c>
      <c r="C63" s="42" t="s">
        <v>7</v>
      </c>
      <c r="D63" s="23"/>
      <c r="E63" s="23"/>
      <c r="F63" s="23"/>
      <c r="G63" s="23"/>
      <c r="H63" s="23"/>
      <c r="I63" s="23"/>
      <c r="J63" s="23">
        <v>0.1</v>
      </c>
      <c r="K63" s="23">
        <v>0.2</v>
      </c>
      <c r="L63" s="23">
        <v>0.25</v>
      </c>
      <c r="M63" s="23">
        <v>0.25</v>
      </c>
      <c r="N63" s="23">
        <v>0.2</v>
      </c>
      <c r="O63" s="23"/>
      <c r="P63" s="103"/>
    </row>
    <row r="64" spans="1:16">
      <c r="B64" s="15" t="str">
        <f t="shared" ref="B64:B72" si="3">B50</f>
        <v>Titan Office Building</v>
      </c>
      <c r="C64" s="6" t="s">
        <v>7</v>
      </c>
      <c r="D64" s="23"/>
      <c r="E64" s="23">
        <v>0.05</v>
      </c>
      <c r="F64" s="23">
        <v>0.1</v>
      </c>
      <c r="G64" s="23">
        <v>0.15</v>
      </c>
      <c r="H64" s="23">
        <v>0.2</v>
      </c>
      <c r="I64" s="23">
        <v>0.2</v>
      </c>
      <c r="J64" s="23">
        <v>0.2</v>
      </c>
      <c r="K64" s="23">
        <v>0.1</v>
      </c>
      <c r="L64" s="23"/>
      <c r="M64" s="23"/>
      <c r="N64" s="23"/>
      <c r="O64" s="23"/>
      <c r="P64" s="103"/>
    </row>
    <row r="65" spans="2:16">
      <c r="B65" s="15" t="str">
        <f t="shared" si="3"/>
        <v>Evergreen City Office Building</v>
      </c>
      <c r="C65" s="6" t="s">
        <v>7</v>
      </c>
      <c r="D65" s="23"/>
      <c r="E65" s="23"/>
      <c r="F65" s="23"/>
      <c r="G65" s="23">
        <v>0.05</v>
      </c>
      <c r="H65" s="23">
        <v>0.1</v>
      </c>
      <c r="I65" s="23">
        <v>0.15</v>
      </c>
      <c r="J65" s="23">
        <v>0.2</v>
      </c>
      <c r="K65" s="23">
        <v>0.2</v>
      </c>
      <c r="L65" s="23">
        <v>0.2</v>
      </c>
      <c r="M65" s="23">
        <v>0.1</v>
      </c>
      <c r="N65" s="23"/>
      <c r="O65" s="23"/>
      <c r="P65" s="103"/>
    </row>
    <row r="66" spans="2:16">
      <c r="B66" s="15" t="str">
        <f t="shared" si="3"/>
        <v>Sky Is The Limit Office Building</v>
      </c>
      <c r="C66" s="6" t="s">
        <v>7</v>
      </c>
      <c r="D66" s="23"/>
      <c r="E66" s="23"/>
      <c r="F66" s="23"/>
      <c r="G66" s="23"/>
      <c r="H66" s="23">
        <v>0.05</v>
      </c>
      <c r="I66" s="23">
        <v>0.1</v>
      </c>
      <c r="J66" s="23">
        <v>0.15</v>
      </c>
      <c r="K66" s="23">
        <v>0.2</v>
      </c>
      <c r="L66" s="23">
        <v>0.2</v>
      </c>
      <c r="M66" s="23">
        <v>0.2</v>
      </c>
      <c r="N66" s="23">
        <v>0.1</v>
      </c>
      <c r="O66" s="23"/>
      <c r="P66" s="103"/>
    </row>
    <row r="67" spans="2:16">
      <c r="B67" s="15" t="str">
        <f t="shared" si="3"/>
        <v>One Foot Taller Office Building</v>
      </c>
      <c r="C67" s="6" t="s">
        <v>7</v>
      </c>
      <c r="D67" s="23"/>
      <c r="E67" s="23"/>
      <c r="F67" s="23">
        <v>0.05</v>
      </c>
      <c r="G67" s="23">
        <v>0.1</v>
      </c>
      <c r="H67" s="23">
        <v>0.15</v>
      </c>
      <c r="I67" s="23">
        <v>0.2</v>
      </c>
      <c r="J67" s="23">
        <v>0.2</v>
      </c>
      <c r="K67" s="23">
        <v>0.2</v>
      </c>
      <c r="L67" s="23">
        <v>0.1</v>
      </c>
      <c r="M67" s="23"/>
      <c r="N67" s="23"/>
      <c r="O67" s="23"/>
      <c r="P67" s="103"/>
    </row>
    <row r="68" spans="2:16">
      <c r="B68" s="15" t="str">
        <f t="shared" si="3"/>
        <v>Sputnik Catcher Office Building</v>
      </c>
      <c r="C68" s="6" t="s">
        <v>7</v>
      </c>
      <c r="D68" s="23"/>
      <c r="E68" s="23">
        <v>0.05</v>
      </c>
      <c r="F68" s="23">
        <v>0.08</v>
      </c>
      <c r="G68" s="23">
        <v>0.1</v>
      </c>
      <c r="H68" s="23">
        <v>0.15</v>
      </c>
      <c r="I68" s="23">
        <v>0.15</v>
      </c>
      <c r="J68" s="23">
        <v>0.15</v>
      </c>
      <c r="K68" s="23">
        <v>0.15</v>
      </c>
      <c r="L68" s="23">
        <v>0.15</v>
      </c>
      <c r="M68" s="23">
        <v>0.02</v>
      </c>
      <c r="N68" s="23"/>
      <c r="O68" s="23"/>
      <c r="P68" s="103"/>
    </row>
    <row r="69" spans="2:16">
      <c r="B69" s="15" t="str">
        <f t="shared" si="3"/>
        <v>Evergreen Stock Exchange</v>
      </c>
      <c r="C69" s="6" t="s">
        <v>7</v>
      </c>
      <c r="D69" s="23"/>
      <c r="E69" s="23"/>
      <c r="F69" s="23"/>
      <c r="G69" s="23"/>
      <c r="H69" s="23"/>
      <c r="I69" s="23"/>
      <c r="J69" s="23">
        <v>0.1</v>
      </c>
      <c r="K69" s="23">
        <v>0.2</v>
      </c>
      <c r="L69" s="23">
        <v>0.25</v>
      </c>
      <c r="M69" s="23">
        <v>0.25</v>
      </c>
      <c r="N69" s="23">
        <v>0.2</v>
      </c>
      <c r="O69" s="23"/>
      <c r="P69" s="103"/>
    </row>
    <row r="70" spans="2:16">
      <c r="B70" s="15" t="str">
        <f t="shared" si="3"/>
        <v>Olympic Ice Arena</v>
      </c>
      <c r="C70" s="6" t="s">
        <v>7</v>
      </c>
      <c r="D70" s="23"/>
      <c r="E70" s="23"/>
      <c r="F70" s="23"/>
      <c r="G70" s="23">
        <v>0.05</v>
      </c>
      <c r="H70" s="23">
        <v>0.1</v>
      </c>
      <c r="I70" s="23">
        <v>0.15</v>
      </c>
      <c r="J70" s="23">
        <v>0.2</v>
      </c>
      <c r="K70" s="23">
        <v>0.2</v>
      </c>
      <c r="L70" s="23">
        <v>0.2</v>
      </c>
      <c r="M70" s="23">
        <v>0.1</v>
      </c>
      <c r="N70" s="23"/>
      <c r="O70" s="23"/>
      <c r="P70" s="103"/>
    </row>
    <row r="71" spans="2:16">
      <c r="B71" s="15" t="str">
        <f t="shared" si="3"/>
        <v>Wildlife Zoo</v>
      </c>
      <c r="C71" s="6" t="s">
        <v>7</v>
      </c>
      <c r="D71" s="23"/>
      <c r="E71" s="23"/>
      <c r="F71" s="23"/>
      <c r="G71" s="23"/>
      <c r="H71" s="23">
        <v>0.05</v>
      </c>
      <c r="I71" s="23">
        <v>0.1</v>
      </c>
      <c r="J71" s="23">
        <v>0.15</v>
      </c>
      <c r="K71" s="23">
        <v>0.2</v>
      </c>
      <c r="L71" s="23">
        <v>0.2</v>
      </c>
      <c r="M71" s="23">
        <v>0.2</v>
      </c>
      <c r="N71" s="23">
        <v>0.1</v>
      </c>
      <c r="O71" s="23"/>
      <c r="P71" s="103"/>
    </row>
    <row r="72" spans="2:16">
      <c r="B72" s="19" t="str">
        <f t="shared" si="3"/>
        <v>Planetarium Science Museum</v>
      </c>
      <c r="C72" s="36" t="s">
        <v>7</v>
      </c>
      <c r="D72" s="88"/>
      <c r="E72" s="88">
        <v>0.1</v>
      </c>
      <c r="F72" s="88">
        <v>0.2</v>
      </c>
      <c r="G72" s="88">
        <v>0.25</v>
      </c>
      <c r="H72" s="88">
        <v>0.25</v>
      </c>
      <c r="I72" s="88">
        <v>0.2</v>
      </c>
      <c r="J72" s="88"/>
      <c r="K72" s="88"/>
      <c r="L72" s="88"/>
      <c r="M72" s="88"/>
      <c r="N72" s="88"/>
      <c r="O72" s="88"/>
      <c r="P72" s="103"/>
    </row>
    <row r="73" spans="2:16" ht="15">
      <c r="B73" s="105"/>
      <c r="C73" s="106"/>
      <c r="D73"/>
      <c r="E73"/>
      <c r="F73"/>
      <c r="G73"/>
      <c r="H73"/>
      <c r="I73"/>
      <c r="J73"/>
      <c r="K73"/>
      <c r="L73"/>
      <c r="M73"/>
      <c r="N73"/>
      <c r="O73"/>
      <c r="P73" s="103"/>
    </row>
    <row r="74" spans="2:16" ht="13.5" thickBot="1">
      <c r="B74" s="107" t="s">
        <v>99</v>
      </c>
      <c r="C74" s="108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</row>
    <row r="75" spans="2:16">
      <c r="B75" s="15" t="str">
        <f>B63</f>
        <v>Moonshine Night Club</v>
      </c>
      <c r="D75" s="104">
        <f>IF(VLOOKUP($B75,$B$49:$H$58,7,FALSE)=1,IF(E63="",0,VLOOKUP($B75,$B$49:$G$58,6,FALSE)*$D$16),0)</f>
        <v>0</v>
      </c>
      <c r="E75" s="104">
        <f t="shared" ref="E75:I75" si="4">IF(VLOOKUP($B75,$B$49:$H$58,7,FALSE)=1,IF(F63="",0,VLOOKUP($B75,$B$49:$G$58,6,FALSE)*$D$16),0)</f>
        <v>0</v>
      </c>
      <c r="F75" s="104">
        <f t="shared" si="4"/>
        <v>0</v>
      </c>
      <c r="G75" s="104">
        <f t="shared" si="4"/>
        <v>0</v>
      </c>
      <c r="H75" s="104">
        <f t="shared" si="4"/>
        <v>0</v>
      </c>
      <c r="I75" s="104">
        <f t="shared" si="4"/>
        <v>759147.10000000009</v>
      </c>
      <c r="J75" s="104"/>
      <c r="K75" s="104"/>
      <c r="L75" s="104"/>
      <c r="M75" s="104"/>
      <c r="N75" s="104"/>
      <c r="O75" s="104"/>
    </row>
    <row r="76" spans="2:16">
      <c r="B76" s="15" t="str">
        <f t="shared" ref="B76:B84" si="5">B64</f>
        <v>Titan Office Building</v>
      </c>
      <c r="D76" s="104">
        <f t="shared" ref="D76:I76" si="6">IF(VLOOKUP($B76,$B$49:$H$58,7,FALSE)=1,IF(E64="",0,VLOOKUP($B76,$B$49:$G$58,6,FALSE)*$D$16),0)</f>
        <v>2095412.6</v>
      </c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6">
      <c r="B77" s="15" t="str">
        <f t="shared" si="5"/>
        <v>Evergreen City Office Building</v>
      </c>
      <c r="D77" s="104">
        <f t="shared" ref="D77:I77" si="7">IF(VLOOKUP($B77,$B$49:$H$58,7,FALSE)=1,IF(E65="",0,VLOOKUP($B77,$B$49:$G$58,6,FALSE)*$D$16),0)</f>
        <v>0</v>
      </c>
      <c r="E77" s="104">
        <f t="shared" si="7"/>
        <v>0</v>
      </c>
      <c r="F77" s="104">
        <f t="shared" si="7"/>
        <v>1678522.5</v>
      </c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6">
      <c r="B78" s="15" t="str">
        <f t="shared" si="5"/>
        <v>Sky Is The Limit Office Building</v>
      </c>
      <c r="D78" s="104">
        <f t="shared" ref="D78:I78" si="8">IF(VLOOKUP($B78,$B$49:$H$58,7,FALSE)=1,IF(E66="",0,VLOOKUP($B78,$B$49:$G$58,6,FALSE)*$D$16),0)</f>
        <v>0</v>
      </c>
      <c r="E78" s="104">
        <f t="shared" si="8"/>
        <v>0</v>
      </c>
      <c r="F78" s="104">
        <f t="shared" si="8"/>
        <v>0</v>
      </c>
      <c r="G78" s="104">
        <f t="shared" si="8"/>
        <v>2636467.9000000004</v>
      </c>
      <c r="H78" s="104"/>
      <c r="I78" s="104"/>
      <c r="J78" s="104"/>
      <c r="K78" s="104"/>
      <c r="L78" s="104"/>
      <c r="M78" s="104"/>
      <c r="N78" s="104"/>
      <c r="O78" s="104"/>
    </row>
    <row r="79" spans="2:16">
      <c r="B79" s="15" t="str">
        <f t="shared" si="5"/>
        <v>One Foot Taller Office Building</v>
      </c>
      <c r="D79" s="104">
        <f t="shared" ref="D79:I79" si="9">IF(VLOOKUP($B79,$B$49:$H$58,7,FALSE)=1,IF(E67="",0,VLOOKUP($B79,$B$49:$G$58,6,FALSE)*$D$16),0)</f>
        <v>0</v>
      </c>
      <c r="E79" s="104">
        <f t="shared" si="9"/>
        <v>2714888</v>
      </c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6">
      <c r="B80" s="15" t="str">
        <f t="shared" si="5"/>
        <v>Sputnik Catcher Office Building</v>
      </c>
      <c r="D80" s="104">
        <f t="shared" ref="D80:I80" si="10">IF(VLOOKUP($B80,$B$49:$H$58,7,FALSE)=1,IF(E68="",0,VLOOKUP($B80,$B$49:$G$58,6,FALSE)*$D$16),0)</f>
        <v>4354297.3</v>
      </c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6">
      <c r="B81" s="15" t="str">
        <f t="shared" si="5"/>
        <v>Evergreen Stock Exchange</v>
      </c>
      <c r="D81" s="104">
        <f t="shared" ref="D81:I81" si="11">IF(VLOOKUP($B81,$B$49:$H$58,7,FALSE)=1,IF(E69="",0,VLOOKUP($B81,$B$49:$G$58,6,FALSE)*$D$16),0)</f>
        <v>0</v>
      </c>
      <c r="E81" s="104">
        <f t="shared" si="11"/>
        <v>0</v>
      </c>
      <c r="F81" s="104">
        <f t="shared" si="11"/>
        <v>0</v>
      </c>
      <c r="G81" s="104">
        <f t="shared" si="11"/>
        <v>0</v>
      </c>
      <c r="H81" s="104">
        <f t="shared" si="11"/>
        <v>0</v>
      </c>
      <c r="I81" s="104">
        <f t="shared" si="11"/>
        <v>1141810.3</v>
      </c>
      <c r="J81" s="104"/>
      <c r="K81" s="104"/>
      <c r="L81" s="104"/>
      <c r="M81" s="104"/>
      <c r="N81" s="104"/>
      <c r="O81" s="104"/>
    </row>
    <row r="82" spans="2:16">
      <c r="B82" s="15" t="str">
        <f t="shared" si="5"/>
        <v>Olympic Ice Arena</v>
      </c>
      <c r="D82" s="104">
        <f t="shared" ref="D82:I82" si="12">IF(VLOOKUP($B82,$B$49:$H$58,7,FALSE)=1,IF(E70="",0,VLOOKUP($B82,$B$49:$G$58,6,FALSE)*$D$16),0)</f>
        <v>0</v>
      </c>
      <c r="E82" s="104">
        <f t="shared" si="12"/>
        <v>0</v>
      </c>
      <c r="F82" s="104">
        <f t="shared" si="12"/>
        <v>1798585.4000000001</v>
      </c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6">
      <c r="B83" s="15" t="str">
        <f t="shared" si="5"/>
        <v>Wildlife Zoo</v>
      </c>
      <c r="D83" s="104">
        <f t="shared" ref="D83:I83" si="13">IF(VLOOKUP($B83,$B$49:$H$58,7,FALSE)=1,IF(E71="",0,VLOOKUP($B83,$B$49:$G$58,6,FALSE)*$D$16),0)</f>
        <v>0</v>
      </c>
      <c r="E83" s="104">
        <f t="shared" si="13"/>
        <v>0</v>
      </c>
      <c r="F83" s="104">
        <f t="shared" si="13"/>
        <v>0</v>
      </c>
      <c r="G83" s="104">
        <f t="shared" si="13"/>
        <v>1680500.7000000002</v>
      </c>
      <c r="H83" s="104"/>
      <c r="I83" s="104"/>
      <c r="J83" s="104"/>
      <c r="K83" s="104"/>
      <c r="L83" s="104"/>
      <c r="M83" s="104"/>
      <c r="N83" s="104"/>
      <c r="O83" s="104"/>
    </row>
    <row r="84" spans="2:16">
      <c r="B84" s="15" t="str">
        <f t="shared" si="5"/>
        <v>Planetarium Science Museum</v>
      </c>
      <c r="D84" s="104">
        <f t="shared" ref="D84:I84" si="14">IF(VLOOKUP($B84,$B$49:$H$58,7,FALSE)=1,IF(E72="",0,VLOOKUP($B84,$B$49:$G$58,6,FALSE)*$D$16),0)</f>
        <v>844857</v>
      </c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6">
      <c r="D85" s="104"/>
    </row>
    <row r="86" spans="2:16" ht="13.5" thickBot="1">
      <c r="B86" s="107" t="s">
        <v>100</v>
      </c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10" t="s">
        <v>43</v>
      </c>
    </row>
    <row r="87" spans="2:16">
      <c r="B87" s="15" t="str">
        <f>B75</f>
        <v>Moonshine Night Club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f>$I$75*I63</f>
        <v>0</v>
      </c>
      <c r="J87" s="104">
        <f t="shared" ref="J87:O87" si="15">$I$75*J63</f>
        <v>75914.710000000006</v>
      </c>
      <c r="K87" s="104">
        <f t="shared" si="15"/>
        <v>151829.42000000001</v>
      </c>
      <c r="L87" s="104">
        <f t="shared" si="15"/>
        <v>189786.77500000002</v>
      </c>
      <c r="M87" s="104">
        <f t="shared" si="15"/>
        <v>189786.77500000002</v>
      </c>
      <c r="N87" s="104">
        <f t="shared" si="15"/>
        <v>151829.42000000001</v>
      </c>
      <c r="O87" s="104">
        <f t="shared" si="15"/>
        <v>0</v>
      </c>
      <c r="P87" s="104">
        <f>SUM(D87:O87)</f>
        <v>759147.10000000009</v>
      </c>
    </row>
    <row r="88" spans="2:16">
      <c r="B88" s="15" t="str">
        <f t="shared" ref="B88:B96" si="16">B76</f>
        <v>Titan Office Building</v>
      </c>
      <c r="D88" s="104">
        <f>$D$76*D64</f>
        <v>0</v>
      </c>
      <c r="E88" s="104">
        <f t="shared" ref="E88:O88" si="17">$D$76*E64</f>
        <v>104770.63</v>
      </c>
      <c r="F88" s="104">
        <f t="shared" si="17"/>
        <v>209541.26</v>
      </c>
      <c r="G88" s="104">
        <f t="shared" si="17"/>
        <v>314311.89</v>
      </c>
      <c r="H88" s="104">
        <f t="shared" si="17"/>
        <v>419082.52</v>
      </c>
      <c r="I88" s="104">
        <f t="shared" si="17"/>
        <v>419082.52</v>
      </c>
      <c r="J88" s="104">
        <f t="shared" si="17"/>
        <v>419082.52</v>
      </c>
      <c r="K88" s="104">
        <f t="shared" si="17"/>
        <v>209541.26</v>
      </c>
      <c r="L88" s="104">
        <f t="shared" si="17"/>
        <v>0</v>
      </c>
      <c r="M88" s="104">
        <f t="shared" si="17"/>
        <v>0</v>
      </c>
      <c r="N88" s="104">
        <f t="shared" si="17"/>
        <v>0</v>
      </c>
      <c r="O88" s="104">
        <f t="shared" si="17"/>
        <v>0</v>
      </c>
      <c r="P88" s="104">
        <f t="shared" ref="P88:P96" si="18">SUM(D88:O88)</f>
        <v>2095412.6</v>
      </c>
    </row>
    <row r="89" spans="2:16">
      <c r="B89" s="15" t="str">
        <f t="shared" si="16"/>
        <v>Evergreen City Office Building</v>
      </c>
      <c r="D89" s="104">
        <v>0</v>
      </c>
      <c r="E89" s="104">
        <v>0</v>
      </c>
      <c r="F89" s="104">
        <f>$F$77*F65</f>
        <v>0</v>
      </c>
      <c r="G89" s="104">
        <f t="shared" ref="G89:O89" si="19">$F$77*G65</f>
        <v>83926.125</v>
      </c>
      <c r="H89" s="104">
        <f t="shared" si="19"/>
        <v>167852.25</v>
      </c>
      <c r="I89" s="104">
        <f t="shared" si="19"/>
        <v>251778.375</v>
      </c>
      <c r="J89" s="104">
        <f t="shared" si="19"/>
        <v>335704.5</v>
      </c>
      <c r="K89" s="104">
        <f t="shared" si="19"/>
        <v>335704.5</v>
      </c>
      <c r="L89" s="104">
        <f t="shared" si="19"/>
        <v>335704.5</v>
      </c>
      <c r="M89" s="104">
        <f t="shared" si="19"/>
        <v>167852.25</v>
      </c>
      <c r="N89" s="104">
        <f t="shared" si="19"/>
        <v>0</v>
      </c>
      <c r="O89" s="104">
        <f t="shared" si="19"/>
        <v>0</v>
      </c>
      <c r="P89" s="104">
        <f t="shared" si="18"/>
        <v>1678522.5</v>
      </c>
    </row>
    <row r="90" spans="2:16">
      <c r="B90" s="15" t="str">
        <f t="shared" si="16"/>
        <v>Sky Is The Limit Office Building</v>
      </c>
      <c r="D90" s="104">
        <f>$D$76*D65</f>
        <v>0</v>
      </c>
      <c r="E90" s="104">
        <f>$D$76*E65</f>
        <v>0</v>
      </c>
      <c r="F90" s="104">
        <f>$D$76*F65</f>
        <v>0</v>
      </c>
      <c r="G90" s="104">
        <f>$G$78*G66</f>
        <v>0</v>
      </c>
      <c r="H90" s="104">
        <f t="shared" ref="H90:O90" si="20">$G$78*H66</f>
        <v>131823.39500000002</v>
      </c>
      <c r="I90" s="104">
        <f t="shared" si="20"/>
        <v>263646.79000000004</v>
      </c>
      <c r="J90" s="104">
        <f t="shared" si="20"/>
        <v>395470.18500000006</v>
      </c>
      <c r="K90" s="104">
        <f t="shared" si="20"/>
        <v>527293.58000000007</v>
      </c>
      <c r="L90" s="104">
        <f t="shared" si="20"/>
        <v>527293.58000000007</v>
      </c>
      <c r="M90" s="104">
        <f t="shared" si="20"/>
        <v>527293.58000000007</v>
      </c>
      <c r="N90" s="104">
        <f t="shared" si="20"/>
        <v>263646.79000000004</v>
      </c>
      <c r="O90" s="104">
        <f t="shared" si="20"/>
        <v>0</v>
      </c>
      <c r="P90" s="104">
        <f t="shared" si="18"/>
        <v>2636467.9000000004</v>
      </c>
    </row>
    <row r="91" spans="2:16">
      <c r="B91" s="15" t="str">
        <f t="shared" si="16"/>
        <v>One Foot Taller Office Building</v>
      </c>
      <c r="D91" s="104">
        <f>$D$76*D66</f>
        <v>0</v>
      </c>
      <c r="E91" s="104">
        <f>$E$79*E67</f>
        <v>0</v>
      </c>
      <c r="F91" s="104">
        <f t="shared" ref="F91:O91" si="21">$E$79*F67</f>
        <v>135744.4</v>
      </c>
      <c r="G91" s="104">
        <f t="shared" si="21"/>
        <v>271488.8</v>
      </c>
      <c r="H91" s="104">
        <f t="shared" si="21"/>
        <v>407233.2</v>
      </c>
      <c r="I91" s="104">
        <f t="shared" si="21"/>
        <v>542977.6</v>
      </c>
      <c r="J91" s="104">
        <f t="shared" si="21"/>
        <v>542977.6</v>
      </c>
      <c r="K91" s="104">
        <f t="shared" si="21"/>
        <v>542977.6</v>
      </c>
      <c r="L91" s="104">
        <f t="shared" si="21"/>
        <v>271488.8</v>
      </c>
      <c r="M91" s="104">
        <f t="shared" si="21"/>
        <v>0</v>
      </c>
      <c r="N91" s="104">
        <f t="shared" si="21"/>
        <v>0</v>
      </c>
      <c r="O91" s="104">
        <f t="shared" si="21"/>
        <v>0</v>
      </c>
      <c r="P91" s="104">
        <f t="shared" si="18"/>
        <v>2714888</v>
      </c>
    </row>
    <row r="92" spans="2:16">
      <c r="B92" s="15" t="str">
        <f t="shared" si="16"/>
        <v>Sputnik Catcher Office Building</v>
      </c>
      <c r="D92" s="104">
        <f>$D$80*D68</f>
        <v>0</v>
      </c>
      <c r="E92" s="104">
        <f t="shared" ref="E92:O92" si="22">$D$80*E68</f>
        <v>217714.86499999999</v>
      </c>
      <c r="F92" s="104">
        <f t="shared" si="22"/>
        <v>348343.78399999999</v>
      </c>
      <c r="G92" s="104">
        <f t="shared" si="22"/>
        <v>435429.73</v>
      </c>
      <c r="H92" s="104">
        <f t="shared" si="22"/>
        <v>653144.59499999997</v>
      </c>
      <c r="I92" s="104">
        <f t="shared" si="22"/>
        <v>653144.59499999997</v>
      </c>
      <c r="J92" s="104">
        <f t="shared" si="22"/>
        <v>653144.59499999997</v>
      </c>
      <c r="K92" s="104">
        <f t="shared" si="22"/>
        <v>653144.59499999997</v>
      </c>
      <c r="L92" s="104">
        <f t="shared" si="22"/>
        <v>653144.59499999997</v>
      </c>
      <c r="M92" s="104">
        <f t="shared" si="22"/>
        <v>87085.945999999996</v>
      </c>
      <c r="N92" s="104">
        <f t="shared" si="22"/>
        <v>0</v>
      </c>
      <c r="O92" s="104">
        <f t="shared" si="22"/>
        <v>0</v>
      </c>
      <c r="P92" s="104">
        <f t="shared" si="18"/>
        <v>4354297.2999999989</v>
      </c>
    </row>
    <row r="93" spans="2:16">
      <c r="B93" s="15" t="str">
        <f t="shared" si="16"/>
        <v>Evergreen Stock Exchange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  <c r="I93" s="104">
        <f>$I$81*I69</f>
        <v>0</v>
      </c>
      <c r="J93" s="104">
        <f t="shared" ref="J93:O93" si="23">$I$81*J69</f>
        <v>114181.03000000001</v>
      </c>
      <c r="K93" s="104">
        <f t="shared" si="23"/>
        <v>228362.06000000003</v>
      </c>
      <c r="L93" s="104">
        <f t="shared" si="23"/>
        <v>285452.57500000001</v>
      </c>
      <c r="M93" s="104">
        <f t="shared" si="23"/>
        <v>285452.57500000001</v>
      </c>
      <c r="N93" s="104">
        <f t="shared" si="23"/>
        <v>228362.06000000003</v>
      </c>
      <c r="O93" s="104">
        <f t="shared" si="23"/>
        <v>0</v>
      </c>
      <c r="P93" s="104">
        <f t="shared" si="18"/>
        <v>1141810.3</v>
      </c>
    </row>
    <row r="94" spans="2:16">
      <c r="B94" s="15" t="str">
        <f t="shared" si="16"/>
        <v>Olympic Ice Arena</v>
      </c>
      <c r="D94" s="104">
        <v>0</v>
      </c>
      <c r="E94" s="104">
        <v>0</v>
      </c>
      <c r="F94" s="104">
        <f>$F$82*F70</f>
        <v>0</v>
      </c>
      <c r="G94" s="104">
        <f t="shared" ref="G94:O94" si="24">$F$82*G70</f>
        <v>89929.270000000019</v>
      </c>
      <c r="H94" s="104">
        <f t="shared" si="24"/>
        <v>179858.54000000004</v>
      </c>
      <c r="I94" s="104">
        <f t="shared" si="24"/>
        <v>269787.81</v>
      </c>
      <c r="J94" s="104">
        <f t="shared" si="24"/>
        <v>359717.08000000007</v>
      </c>
      <c r="K94" s="104">
        <f t="shared" si="24"/>
        <v>359717.08000000007</v>
      </c>
      <c r="L94" s="104">
        <f t="shared" si="24"/>
        <v>359717.08000000007</v>
      </c>
      <c r="M94" s="104">
        <f t="shared" si="24"/>
        <v>179858.54000000004</v>
      </c>
      <c r="N94" s="104">
        <f t="shared" si="24"/>
        <v>0</v>
      </c>
      <c r="O94" s="104">
        <f t="shared" si="24"/>
        <v>0</v>
      </c>
      <c r="P94" s="104">
        <f t="shared" si="18"/>
        <v>1798585.4000000004</v>
      </c>
    </row>
    <row r="95" spans="2:16">
      <c r="B95" s="15" t="str">
        <f t="shared" si="16"/>
        <v>Wildlife Zoo</v>
      </c>
      <c r="D95" s="104">
        <v>0</v>
      </c>
      <c r="E95" s="104">
        <v>0</v>
      </c>
      <c r="F95" s="104">
        <v>0</v>
      </c>
      <c r="G95" s="104">
        <f>$G$83*G71</f>
        <v>0</v>
      </c>
      <c r="H95" s="104">
        <f t="shared" ref="H95:O95" si="25">$G$83*H71</f>
        <v>84025.035000000018</v>
      </c>
      <c r="I95" s="104">
        <f t="shared" si="25"/>
        <v>168050.07000000004</v>
      </c>
      <c r="J95" s="104">
        <f t="shared" si="25"/>
        <v>252075.10500000001</v>
      </c>
      <c r="K95" s="104">
        <f t="shared" si="25"/>
        <v>336100.14000000007</v>
      </c>
      <c r="L95" s="104">
        <f t="shared" si="25"/>
        <v>336100.14000000007</v>
      </c>
      <c r="M95" s="104">
        <f t="shared" si="25"/>
        <v>336100.14000000007</v>
      </c>
      <c r="N95" s="104">
        <f t="shared" si="25"/>
        <v>168050.07000000004</v>
      </c>
      <c r="O95" s="104">
        <f t="shared" si="25"/>
        <v>0</v>
      </c>
      <c r="P95" s="104">
        <f t="shared" si="18"/>
        <v>1680500.7000000004</v>
      </c>
    </row>
    <row r="96" spans="2:16">
      <c r="B96" s="15" t="str">
        <f t="shared" si="16"/>
        <v>Planetarium Science Museum</v>
      </c>
      <c r="D96" s="104">
        <f>$D$84*D72</f>
        <v>0</v>
      </c>
      <c r="E96" s="104">
        <f t="shared" ref="E96:O96" si="26">$D$84*E72</f>
        <v>84485.700000000012</v>
      </c>
      <c r="F96" s="104">
        <f t="shared" si="26"/>
        <v>168971.40000000002</v>
      </c>
      <c r="G96" s="104">
        <f t="shared" si="26"/>
        <v>211214.25</v>
      </c>
      <c r="H96" s="104">
        <f t="shared" si="26"/>
        <v>211214.25</v>
      </c>
      <c r="I96" s="104">
        <f t="shared" si="26"/>
        <v>168971.40000000002</v>
      </c>
      <c r="J96" s="104">
        <f t="shared" si="26"/>
        <v>0</v>
      </c>
      <c r="K96" s="104">
        <f t="shared" si="26"/>
        <v>0</v>
      </c>
      <c r="L96" s="104">
        <f t="shared" si="26"/>
        <v>0</v>
      </c>
      <c r="M96" s="104">
        <f t="shared" si="26"/>
        <v>0</v>
      </c>
      <c r="N96" s="104">
        <f t="shared" si="26"/>
        <v>0</v>
      </c>
      <c r="O96" s="104">
        <f t="shared" si="26"/>
        <v>0</v>
      </c>
      <c r="P96" s="104">
        <f t="shared" si="18"/>
        <v>844857.00000000012</v>
      </c>
    </row>
    <row r="98" spans="2:19" ht="13.5" thickBot="1">
      <c r="B98" s="107" t="s">
        <v>30</v>
      </c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</row>
    <row r="99" spans="2:19">
      <c r="B99" s="15" t="str">
        <f>B87</f>
        <v>Moonshine Night Club</v>
      </c>
      <c r="D99" s="104">
        <f>IF(VLOOKUP($B99,$B$49:$H$58,7,FALSE)=1,VLOOKUP($B99,$B$49:$G$58,6,FALSE)*D63*$D$17,0)</f>
        <v>0</v>
      </c>
      <c r="E99" s="104">
        <f t="shared" ref="E99:N99" si="27">IF(VLOOKUP($B99,$B$49:$H$58,7,FALSE)=1,VLOOKUP($B99,$B$49:$G$58,6,FALSE)*E63*$D$17,0)</f>
        <v>0</v>
      </c>
      <c r="F99" s="104">
        <f t="shared" si="27"/>
        <v>0</v>
      </c>
      <c r="G99" s="104">
        <f t="shared" si="27"/>
        <v>0</v>
      </c>
      <c r="H99" s="104">
        <f t="shared" si="27"/>
        <v>0</v>
      </c>
      <c r="I99" s="104">
        <f t="shared" si="27"/>
        <v>0</v>
      </c>
      <c r="J99" s="104">
        <f t="shared" si="27"/>
        <v>75914.710000000006</v>
      </c>
      <c r="K99" s="104">
        <f t="shared" si="27"/>
        <v>151829.42000000001</v>
      </c>
      <c r="L99" s="104">
        <f t="shared" si="27"/>
        <v>189786.77500000002</v>
      </c>
      <c r="M99" s="104">
        <f t="shared" si="27"/>
        <v>189786.77500000002</v>
      </c>
      <c r="N99" s="104">
        <f t="shared" si="27"/>
        <v>151829.42000000001</v>
      </c>
      <c r="O99" s="104">
        <f t="shared" ref="E99:O99" si="28">VLOOKUP($B99,$B$49:$G$58,6,FALSE)*O63*$D$17</f>
        <v>0</v>
      </c>
      <c r="P99" s="104">
        <f>SUM(D99:O99)</f>
        <v>759147.10000000009</v>
      </c>
      <c r="Q99" s="104"/>
    </row>
    <row r="100" spans="2:19">
      <c r="B100" s="15" t="str">
        <f t="shared" ref="B100:B107" si="29">B88</f>
        <v>Titan Office Building</v>
      </c>
      <c r="D100" s="104">
        <f t="shared" ref="D100:N100" si="30">IF(VLOOKUP($B100,$B$49:$H$58,7,FALSE)=1,VLOOKUP($B100,$B$49:$G$58,6,FALSE)*D64*$D$17,0)</f>
        <v>0</v>
      </c>
      <c r="E100" s="104">
        <f t="shared" si="30"/>
        <v>104770.63</v>
      </c>
      <c r="F100" s="104">
        <f t="shared" si="30"/>
        <v>209541.26</v>
      </c>
      <c r="G100" s="104">
        <f t="shared" si="30"/>
        <v>314311.89</v>
      </c>
      <c r="H100" s="104">
        <f t="shared" si="30"/>
        <v>419082.52</v>
      </c>
      <c r="I100" s="104">
        <f t="shared" si="30"/>
        <v>419082.52</v>
      </c>
      <c r="J100" s="104">
        <f t="shared" si="30"/>
        <v>419082.52</v>
      </c>
      <c r="K100" s="104">
        <f t="shared" si="30"/>
        <v>209541.26</v>
      </c>
      <c r="L100" s="104">
        <f t="shared" si="30"/>
        <v>0</v>
      </c>
      <c r="M100" s="104">
        <f t="shared" si="30"/>
        <v>0</v>
      </c>
      <c r="N100" s="104">
        <f t="shared" si="30"/>
        <v>0</v>
      </c>
      <c r="O100" s="104">
        <f t="shared" ref="D100:O100" si="31">VLOOKUP($B100,$B$49:$G$58,6,FALSE)*O64*$D$17</f>
        <v>0</v>
      </c>
      <c r="P100" s="104">
        <f t="shared" ref="P100:P108" si="32">SUM(D100:O100)</f>
        <v>2095412.6</v>
      </c>
    </row>
    <row r="101" spans="2:19">
      <c r="B101" s="15" t="str">
        <f t="shared" si="29"/>
        <v>Evergreen City Office Building</v>
      </c>
      <c r="D101" s="104">
        <f t="shared" ref="D101:N101" si="33">IF(VLOOKUP($B101,$B$49:$H$58,7,FALSE)=1,VLOOKUP($B101,$B$49:$G$58,6,FALSE)*D65*$D$17,0)</f>
        <v>0</v>
      </c>
      <c r="E101" s="104">
        <f t="shared" si="33"/>
        <v>0</v>
      </c>
      <c r="F101" s="104">
        <f t="shared" si="33"/>
        <v>0</v>
      </c>
      <c r="G101" s="104">
        <f t="shared" si="33"/>
        <v>83926.125</v>
      </c>
      <c r="H101" s="104">
        <f t="shared" si="33"/>
        <v>167852.25</v>
      </c>
      <c r="I101" s="104">
        <f t="shared" si="33"/>
        <v>251778.375</v>
      </c>
      <c r="J101" s="104">
        <f t="shared" si="33"/>
        <v>335704.5</v>
      </c>
      <c r="K101" s="104">
        <f t="shared" si="33"/>
        <v>335704.5</v>
      </c>
      <c r="L101" s="104">
        <f t="shared" si="33"/>
        <v>335704.5</v>
      </c>
      <c r="M101" s="104">
        <f t="shared" si="33"/>
        <v>167852.25</v>
      </c>
      <c r="N101" s="104">
        <f t="shared" si="33"/>
        <v>0</v>
      </c>
      <c r="O101" s="104">
        <f t="shared" ref="D101:O101" si="34">VLOOKUP($B101,$B$49:$G$58,6,FALSE)*O65*$D$17</f>
        <v>0</v>
      </c>
      <c r="P101" s="104">
        <f t="shared" si="32"/>
        <v>1678522.5</v>
      </c>
    </row>
    <row r="102" spans="2:19">
      <c r="B102" s="15" t="str">
        <f t="shared" si="29"/>
        <v>Sky Is The Limit Office Building</v>
      </c>
      <c r="D102" s="104">
        <f t="shared" ref="D102:N102" si="35">IF(VLOOKUP($B102,$B$49:$H$58,7,FALSE)=1,VLOOKUP($B102,$B$49:$G$58,6,FALSE)*D66*$D$17,0)</f>
        <v>0</v>
      </c>
      <c r="E102" s="104">
        <f t="shared" si="35"/>
        <v>0</v>
      </c>
      <c r="F102" s="104">
        <f t="shared" si="35"/>
        <v>0</v>
      </c>
      <c r="G102" s="104">
        <f t="shared" si="35"/>
        <v>0</v>
      </c>
      <c r="H102" s="104">
        <f t="shared" si="35"/>
        <v>131823.39500000002</v>
      </c>
      <c r="I102" s="104">
        <f t="shared" si="35"/>
        <v>263646.79000000004</v>
      </c>
      <c r="J102" s="104">
        <f t="shared" si="35"/>
        <v>395470.185</v>
      </c>
      <c r="K102" s="104">
        <f t="shared" si="35"/>
        <v>527293.58000000007</v>
      </c>
      <c r="L102" s="104">
        <f t="shared" si="35"/>
        <v>527293.58000000007</v>
      </c>
      <c r="M102" s="104">
        <f t="shared" si="35"/>
        <v>527293.58000000007</v>
      </c>
      <c r="N102" s="104">
        <f t="shared" si="35"/>
        <v>263646.79000000004</v>
      </c>
      <c r="O102" s="104">
        <f t="shared" ref="D102:O102" si="36">VLOOKUP($B102,$B$49:$G$58,6,FALSE)*O66*$D$17</f>
        <v>0</v>
      </c>
      <c r="P102" s="104">
        <f t="shared" si="32"/>
        <v>2636467.9000000004</v>
      </c>
    </row>
    <row r="103" spans="2:19">
      <c r="B103" s="15" t="str">
        <f t="shared" si="29"/>
        <v>One Foot Taller Office Building</v>
      </c>
      <c r="D103" s="104">
        <f t="shared" ref="D103:N103" si="37">IF(VLOOKUP($B103,$B$49:$H$58,7,FALSE)=1,VLOOKUP($B103,$B$49:$G$58,6,FALSE)*D67*$D$17,0)</f>
        <v>0</v>
      </c>
      <c r="E103" s="104">
        <f t="shared" si="37"/>
        <v>0</v>
      </c>
      <c r="F103" s="104">
        <f t="shared" si="37"/>
        <v>135744.4</v>
      </c>
      <c r="G103" s="104">
        <f t="shared" si="37"/>
        <v>271488.8</v>
      </c>
      <c r="H103" s="104">
        <f t="shared" si="37"/>
        <v>407233.2</v>
      </c>
      <c r="I103" s="104">
        <f t="shared" si="37"/>
        <v>542977.6</v>
      </c>
      <c r="J103" s="104">
        <f t="shared" si="37"/>
        <v>542977.6</v>
      </c>
      <c r="K103" s="104">
        <f t="shared" si="37"/>
        <v>542977.6</v>
      </c>
      <c r="L103" s="104">
        <f t="shared" si="37"/>
        <v>271488.8</v>
      </c>
      <c r="M103" s="104">
        <f t="shared" si="37"/>
        <v>0</v>
      </c>
      <c r="N103" s="104">
        <f t="shared" si="37"/>
        <v>0</v>
      </c>
      <c r="O103" s="104">
        <f t="shared" ref="D103:O103" si="38">VLOOKUP($B103,$B$49:$G$58,6,FALSE)*O67*$D$17</f>
        <v>0</v>
      </c>
      <c r="P103" s="104">
        <f t="shared" si="32"/>
        <v>2714888</v>
      </c>
    </row>
    <row r="104" spans="2:19">
      <c r="B104" s="15" t="str">
        <f t="shared" si="29"/>
        <v>Sputnik Catcher Office Building</v>
      </c>
      <c r="D104" s="104">
        <f t="shared" ref="D104:N104" si="39">IF(VLOOKUP($B104,$B$49:$H$58,7,FALSE)=1,VLOOKUP($B104,$B$49:$G$58,6,FALSE)*D68*$D$17,0)</f>
        <v>0</v>
      </c>
      <c r="E104" s="104">
        <f t="shared" si="39"/>
        <v>217714.86499999999</v>
      </c>
      <c r="F104" s="104">
        <f t="shared" si="39"/>
        <v>348343.78399999999</v>
      </c>
      <c r="G104" s="104">
        <f t="shared" si="39"/>
        <v>435429.73</v>
      </c>
      <c r="H104" s="104">
        <f t="shared" si="39"/>
        <v>653144.59500000009</v>
      </c>
      <c r="I104" s="104">
        <f t="shared" si="39"/>
        <v>653144.59500000009</v>
      </c>
      <c r="J104" s="104">
        <f t="shared" si="39"/>
        <v>653144.59500000009</v>
      </c>
      <c r="K104" s="104">
        <f t="shared" si="39"/>
        <v>653144.59500000009</v>
      </c>
      <c r="L104" s="104">
        <f t="shared" si="39"/>
        <v>653144.59500000009</v>
      </c>
      <c r="M104" s="104">
        <f t="shared" si="39"/>
        <v>87085.945999999996</v>
      </c>
      <c r="N104" s="104">
        <f t="shared" si="39"/>
        <v>0</v>
      </c>
      <c r="O104" s="104">
        <f t="shared" ref="D104:O104" si="40">VLOOKUP($B104,$B$49:$G$58,6,FALSE)*O68*$D$17</f>
        <v>0</v>
      </c>
      <c r="P104" s="104">
        <f t="shared" si="32"/>
        <v>4354297.3000000007</v>
      </c>
    </row>
    <row r="105" spans="2:19">
      <c r="B105" s="15" t="str">
        <f t="shared" si="29"/>
        <v>Evergreen Stock Exchange</v>
      </c>
      <c r="D105" s="104">
        <f t="shared" ref="D105:N105" si="41">IF(VLOOKUP($B105,$B$49:$H$58,7,FALSE)=1,VLOOKUP($B105,$B$49:$G$58,6,FALSE)*D69*$D$17,0)</f>
        <v>0</v>
      </c>
      <c r="E105" s="104">
        <f t="shared" si="41"/>
        <v>0</v>
      </c>
      <c r="F105" s="104">
        <f t="shared" si="41"/>
        <v>0</v>
      </c>
      <c r="G105" s="104">
        <f t="shared" si="41"/>
        <v>0</v>
      </c>
      <c r="H105" s="104">
        <f t="shared" si="41"/>
        <v>0</v>
      </c>
      <c r="I105" s="104">
        <f t="shared" si="41"/>
        <v>0</v>
      </c>
      <c r="J105" s="104">
        <f t="shared" si="41"/>
        <v>114181.03000000001</v>
      </c>
      <c r="K105" s="104">
        <f t="shared" si="41"/>
        <v>228362.06000000003</v>
      </c>
      <c r="L105" s="104">
        <f t="shared" si="41"/>
        <v>285452.57500000001</v>
      </c>
      <c r="M105" s="104">
        <f t="shared" si="41"/>
        <v>285452.57500000001</v>
      </c>
      <c r="N105" s="104">
        <f t="shared" si="41"/>
        <v>228362.06000000003</v>
      </c>
      <c r="O105" s="104">
        <f t="shared" ref="D105:O105" si="42">VLOOKUP($B105,$B$49:$G$58,6,FALSE)*O69*$D$17</f>
        <v>0</v>
      </c>
      <c r="P105" s="104">
        <f t="shared" si="32"/>
        <v>1141810.3</v>
      </c>
      <c r="S105" s="104"/>
    </row>
    <row r="106" spans="2:19">
      <c r="B106" s="15" t="str">
        <f t="shared" si="29"/>
        <v>Olympic Ice Arena</v>
      </c>
      <c r="D106" s="104">
        <f t="shared" ref="D106:N106" si="43">IF(VLOOKUP($B106,$B$49:$H$58,7,FALSE)=1,VLOOKUP($B106,$B$49:$G$58,6,FALSE)*D70*$D$17,0)</f>
        <v>0</v>
      </c>
      <c r="E106" s="104">
        <f t="shared" si="43"/>
        <v>0</v>
      </c>
      <c r="F106" s="104">
        <f t="shared" si="43"/>
        <v>0</v>
      </c>
      <c r="G106" s="104">
        <f t="shared" si="43"/>
        <v>89929.270000000019</v>
      </c>
      <c r="H106" s="104">
        <f t="shared" si="43"/>
        <v>179858.54000000004</v>
      </c>
      <c r="I106" s="104">
        <f t="shared" si="43"/>
        <v>269787.81</v>
      </c>
      <c r="J106" s="104">
        <f t="shared" si="43"/>
        <v>359717.08000000007</v>
      </c>
      <c r="K106" s="104">
        <f t="shared" si="43"/>
        <v>359717.08000000007</v>
      </c>
      <c r="L106" s="104">
        <f t="shared" si="43"/>
        <v>359717.08000000007</v>
      </c>
      <c r="M106" s="104">
        <f t="shared" si="43"/>
        <v>179858.54000000004</v>
      </c>
      <c r="N106" s="104">
        <f t="shared" si="43"/>
        <v>0</v>
      </c>
      <c r="O106" s="104">
        <f t="shared" ref="D106:O106" si="44">VLOOKUP($B106,$B$49:$G$58,6,FALSE)*O70*$D$17</f>
        <v>0</v>
      </c>
      <c r="P106" s="104">
        <f t="shared" si="32"/>
        <v>1798585.4000000004</v>
      </c>
    </row>
    <row r="107" spans="2:19">
      <c r="B107" s="15" t="str">
        <f t="shared" si="29"/>
        <v>Wildlife Zoo</v>
      </c>
      <c r="D107" s="104">
        <f t="shared" ref="D107:N107" si="45">IF(VLOOKUP($B107,$B$49:$H$58,7,FALSE)=1,VLOOKUP($B107,$B$49:$G$58,6,FALSE)*D71*$D$17,0)</f>
        <v>0</v>
      </c>
      <c r="E107" s="104">
        <f t="shared" si="45"/>
        <v>0</v>
      </c>
      <c r="F107" s="104">
        <f t="shared" si="45"/>
        <v>0</v>
      </c>
      <c r="G107" s="104">
        <f t="shared" si="45"/>
        <v>0</v>
      </c>
      <c r="H107" s="104">
        <f t="shared" si="45"/>
        <v>84025.035000000018</v>
      </c>
      <c r="I107" s="104">
        <f t="shared" si="45"/>
        <v>168050.07000000004</v>
      </c>
      <c r="J107" s="104">
        <f t="shared" si="45"/>
        <v>252075.10499999998</v>
      </c>
      <c r="K107" s="104">
        <f t="shared" si="45"/>
        <v>336100.14000000007</v>
      </c>
      <c r="L107" s="104">
        <f t="shared" si="45"/>
        <v>336100.14000000007</v>
      </c>
      <c r="M107" s="104">
        <f t="shared" si="45"/>
        <v>336100.14000000007</v>
      </c>
      <c r="N107" s="104">
        <f t="shared" si="45"/>
        <v>168050.07000000004</v>
      </c>
      <c r="O107" s="104">
        <f t="shared" ref="D107:O107" si="46">VLOOKUP($B107,$B$49:$G$58,6,FALSE)*O71*$D$17</f>
        <v>0</v>
      </c>
      <c r="P107" s="104">
        <f t="shared" si="32"/>
        <v>1680500.7000000004</v>
      </c>
    </row>
    <row r="108" spans="2:19">
      <c r="B108" s="15" t="str">
        <f>B96</f>
        <v>Planetarium Science Museum</v>
      </c>
      <c r="D108" s="104">
        <f t="shared" ref="D108:N108" si="47">IF(VLOOKUP($B108,$B$49:$H$58,7,FALSE)=1,VLOOKUP($B108,$B$49:$G$58,6,FALSE)*D72*$D$17,0)</f>
        <v>0</v>
      </c>
      <c r="E108" s="104">
        <f t="shared" si="47"/>
        <v>84485.700000000012</v>
      </c>
      <c r="F108" s="104">
        <f t="shared" si="47"/>
        <v>168971.40000000002</v>
      </c>
      <c r="G108" s="104">
        <f t="shared" si="47"/>
        <v>211214.25</v>
      </c>
      <c r="H108" s="104">
        <f t="shared" si="47"/>
        <v>211214.25</v>
      </c>
      <c r="I108" s="104">
        <f t="shared" si="47"/>
        <v>168971.40000000002</v>
      </c>
      <c r="J108" s="104">
        <f t="shared" si="47"/>
        <v>0</v>
      </c>
      <c r="K108" s="104">
        <f t="shared" si="47"/>
        <v>0</v>
      </c>
      <c r="L108" s="104">
        <f t="shared" si="47"/>
        <v>0</v>
      </c>
      <c r="M108" s="104">
        <f t="shared" si="47"/>
        <v>0</v>
      </c>
      <c r="N108" s="104">
        <f t="shared" si="47"/>
        <v>0</v>
      </c>
      <c r="O108" s="104">
        <f t="shared" ref="D108:O108" si="48">VLOOKUP($B108,$B$49:$G$58,6,FALSE)*O72*$D$17</f>
        <v>0</v>
      </c>
      <c r="P108" s="104">
        <f t="shared" si="32"/>
        <v>844857.00000000012</v>
      </c>
    </row>
    <row r="110" spans="2:19" ht="13.5" thickBot="1">
      <c r="B110" s="107" t="s">
        <v>21</v>
      </c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</row>
    <row r="111" spans="2:19">
      <c r="B111" s="15" t="str">
        <f>B99</f>
        <v>Moonshine Night Club</v>
      </c>
      <c r="D111" s="104">
        <f>IF(VLOOKUP($B111,$B$49:$H$58,7,FALSE)=1,IF(D87=0,0,VLOOKUP($B111,$B$49:$G$58,6,FALSE)*D63)-D87-D99,0)</f>
        <v>0</v>
      </c>
      <c r="E111" s="104">
        <f t="shared" ref="E111:N111" si="49">IF(VLOOKUP($B111,$B$49:$H$58,7,FALSE)=1,IF(E87=0,0,VLOOKUP($B111,$B$49:$G$58,6,FALSE)*E63)-E87-E99,0)</f>
        <v>0</v>
      </c>
      <c r="F111" s="104">
        <f t="shared" si="49"/>
        <v>0</v>
      </c>
      <c r="G111" s="104">
        <f t="shared" si="49"/>
        <v>0</v>
      </c>
      <c r="H111" s="104">
        <f t="shared" si="49"/>
        <v>0</v>
      </c>
      <c r="I111" s="104">
        <f t="shared" si="49"/>
        <v>0</v>
      </c>
      <c r="J111" s="104">
        <f t="shared" si="49"/>
        <v>607317.68000000017</v>
      </c>
      <c r="K111" s="104">
        <f t="shared" si="49"/>
        <v>1214635.3600000003</v>
      </c>
      <c r="L111" s="104">
        <f t="shared" si="49"/>
        <v>1518294.2000000002</v>
      </c>
      <c r="M111" s="104">
        <f t="shared" si="49"/>
        <v>1518294.2000000002</v>
      </c>
      <c r="N111" s="104">
        <f t="shared" si="49"/>
        <v>1214635.3600000003</v>
      </c>
      <c r="O111" s="104">
        <f t="shared" ref="E111:O111" si="50">IF(O87=0,0,VLOOKUP($B111,$B$49:$G$58,6,FALSE)*O63)-O87-O99</f>
        <v>0</v>
      </c>
      <c r="P111" s="104">
        <f>SUM(D111:O111)</f>
        <v>6073176.8000000017</v>
      </c>
      <c r="Q111" s="104"/>
      <c r="R111" s="104"/>
    </row>
    <row r="112" spans="2:19">
      <c r="B112" s="15" t="str">
        <f t="shared" ref="B112:B120" si="51">B100</f>
        <v>Titan Office Building</v>
      </c>
      <c r="D112" s="104">
        <f t="shared" ref="D112:N112" si="52">IF(VLOOKUP($B112,$B$49:$H$58,7,FALSE)=1,IF(D88=0,0,VLOOKUP($B112,$B$49:$G$58,6,FALSE)*D64)-D88-D100,0)</f>
        <v>0</v>
      </c>
      <c r="E112" s="104">
        <f t="shared" si="52"/>
        <v>838165.04</v>
      </c>
      <c r="F112" s="104">
        <f t="shared" si="52"/>
        <v>1676330.08</v>
      </c>
      <c r="G112" s="104">
        <f t="shared" si="52"/>
        <v>2514495.1199999996</v>
      </c>
      <c r="H112" s="104">
        <f t="shared" si="52"/>
        <v>3352660.16</v>
      </c>
      <c r="I112" s="104">
        <f t="shared" si="52"/>
        <v>3352660.16</v>
      </c>
      <c r="J112" s="104">
        <f t="shared" si="52"/>
        <v>3352660.16</v>
      </c>
      <c r="K112" s="104">
        <f t="shared" si="52"/>
        <v>1676330.08</v>
      </c>
      <c r="L112" s="104">
        <f t="shared" si="52"/>
        <v>0</v>
      </c>
      <c r="M112" s="104">
        <f t="shared" si="52"/>
        <v>0</v>
      </c>
      <c r="N112" s="104">
        <f t="shared" si="52"/>
        <v>0</v>
      </c>
      <c r="O112" s="104">
        <f t="shared" ref="D112:O112" si="53">IF(O88=0,0,VLOOKUP($B112,$B$49:$G$58,6,FALSE)*O64)-O88-O100</f>
        <v>0</v>
      </c>
      <c r="P112" s="104">
        <f t="shared" ref="P112:P120" si="54">SUM(D112:O112)</f>
        <v>16763300.800000001</v>
      </c>
      <c r="Q112" s="104"/>
    </row>
    <row r="113" spans="2:17">
      <c r="B113" s="15" t="str">
        <f t="shared" si="51"/>
        <v>Evergreen City Office Building</v>
      </c>
      <c r="D113" s="104">
        <f t="shared" ref="D113:N113" si="55">IF(VLOOKUP($B113,$B$49:$H$58,7,FALSE)=1,IF(D89=0,0,VLOOKUP($B113,$B$49:$G$58,6,FALSE)*D65)-D89-D101,0)</f>
        <v>0</v>
      </c>
      <c r="E113" s="104">
        <f t="shared" si="55"/>
        <v>0</v>
      </c>
      <c r="F113" s="104">
        <f t="shared" si="55"/>
        <v>0</v>
      </c>
      <c r="G113" s="104">
        <f t="shared" si="55"/>
        <v>671409</v>
      </c>
      <c r="H113" s="104">
        <f t="shared" si="55"/>
        <v>1342818</v>
      </c>
      <c r="I113" s="104">
        <f t="shared" si="55"/>
        <v>2014227</v>
      </c>
      <c r="J113" s="104">
        <f t="shared" si="55"/>
        <v>2685636</v>
      </c>
      <c r="K113" s="104">
        <f t="shared" si="55"/>
        <v>2685636</v>
      </c>
      <c r="L113" s="104">
        <f t="shared" si="55"/>
        <v>2685636</v>
      </c>
      <c r="M113" s="104">
        <f t="shared" si="55"/>
        <v>1342818</v>
      </c>
      <c r="N113" s="104">
        <f t="shared" si="55"/>
        <v>0</v>
      </c>
      <c r="O113" s="104">
        <f t="shared" ref="D113:O113" si="56">IF(O89=0,0,VLOOKUP($B113,$B$49:$G$58,6,FALSE)*O65)-O89-O101</f>
        <v>0</v>
      </c>
      <c r="P113" s="104">
        <f t="shared" si="54"/>
        <v>13428180</v>
      </c>
      <c r="Q113" s="104"/>
    </row>
    <row r="114" spans="2:17">
      <c r="B114" s="15" t="str">
        <f t="shared" si="51"/>
        <v>Sky Is The Limit Office Building</v>
      </c>
      <c r="D114" s="104">
        <f t="shared" ref="D114:N114" si="57">IF(VLOOKUP($B114,$B$49:$H$58,7,FALSE)=1,IF(D90=0,0,VLOOKUP($B114,$B$49:$G$58,6,FALSE)*D66)-D90-D102,0)</f>
        <v>0</v>
      </c>
      <c r="E114" s="104">
        <f t="shared" si="57"/>
        <v>0</v>
      </c>
      <c r="F114" s="104">
        <f t="shared" si="57"/>
        <v>0</v>
      </c>
      <c r="G114" s="104">
        <f t="shared" si="57"/>
        <v>0</v>
      </c>
      <c r="H114" s="104">
        <f t="shared" si="57"/>
        <v>1054587.1600000001</v>
      </c>
      <c r="I114" s="104">
        <f t="shared" si="57"/>
        <v>2109174.3200000003</v>
      </c>
      <c r="J114" s="104">
        <f t="shared" si="57"/>
        <v>3163761.4799999995</v>
      </c>
      <c r="K114" s="104">
        <f t="shared" si="57"/>
        <v>4218348.6400000006</v>
      </c>
      <c r="L114" s="104">
        <f t="shared" si="57"/>
        <v>4218348.6400000006</v>
      </c>
      <c r="M114" s="104">
        <f t="shared" si="57"/>
        <v>4218348.6400000006</v>
      </c>
      <c r="N114" s="104">
        <f t="shared" si="57"/>
        <v>2109174.3200000003</v>
      </c>
      <c r="O114" s="104">
        <f t="shared" ref="D114:O114" si="58">IF(O90=0,0,VLOOKUP($B114,$B$49:$G$58,6,FALSE)*O66)-O90-O102</f>
        <v>0</v>
      </c>
      <c r="P114" s="104">
        <f t="shared" si="54"/>
        <v>21091743.200000003</v>
      </c>
      <c r="Q114" s="104"/>
    </row>
    <row r="115" spans="2:17">
      <c r="B115" s="15" t="str">
        <f t="shared" si="51"/>
        <v>One Foot Taller Office Building</v>
      </c>
      <c r="D115" s="104">
        <f t="shared" ref="D115:N115" si="59">IF(VLOOKUP($B115,$B$49:$H$58,7,FALSE)=1,IF(D91=0,0,VLOOKUP($B115,$B$49:$G$58,6,FALSE)*D67)-D91-D103,0)</f>
        <v>0</v>
      </c>
      <c r="E115" s="104">
        <f t="shared" si="59"/>
        <v>0</v>
      </c>
      <c r="F115" s="104">
        <f t="shared" si="59"/>
        <v>1085955.2000000002</v>
      </c>
      <c r="G115" s="104">
        <f t="shared" si="59"/>
        <v>2171910.4000000004</v>
      </c>
      <c r="H115" s="104">
        <f t="shared" si="59"/>
        <v>3257865.5999999996</v>
      </c>
      <c r="I115" s="104">
        <f t="shared" si="59"/>
        <v>4343820.8000000007</v>
      </c>
      <c r="J115" s="104">
        <f t="shared" si="59"/>
        <v>4343820.8000000007</v>
      </c>
      <c r="K115" s="104">
        <f t="shared" si="59"/>
        <v>4343820.8000000007</v>
      </c>
      <c r="L115" s="104">
        <f t="shared" si="59"/>
        <v>2171910.4000000004</v>
      </c>
      <c r="M115" s="104">
        <f t="shared" si="59"/>
        <v>0</v>
      </c>
      <c r="N115" s="104">
        <f t="shared" si="59"/>
        <v>0</v>
      </c>
      <c r="O115" s="104">
        <f t="shared" ref="D115:O115" si="60">IF(O91=0,0,VLOOKUP($B115,$B$49:$G$58,6,FALSE)*O67)-O91-O103</f>
        <v>0</v>
      </c>
      <c r="P115" s="104">
        <f t="shared" si="54"/>
        <v>21719104</v>
      </c>
      <c r="Q115" s="104"/>
    </row>
    <row r="116" spans="2:17">
      <c r="B116" s="15" t="str">
        <f t="shared" si="51"/>
        <v>Sputnik Catcher Office Building</v>
      </c>
      <c r="D116" s="104">
        <f t="shared" ref="D116:N116" si="61">IF(VLOOKUP($B116,$B$49:$H$58,7,FALSE)=1,IF(D92=0,0,VLOOKUP($B116,$B$49:$G$58,6,FALSE)*D68)-D92-D104,0)</f>
        <v>0</v>
      </c>
      <c r="E116" s="104">
        <f t="shared" si="61"/>
        <v>1741718.92</v>
      </c>
      <c r="F116" s="104">
        <f t="shared" si="61"/>
        <v>2786750.2719999999</v>
      </c>
      <c r="G116" s="104">
        <f t="shared" si="61"/>
        <v>3483437.84</v>
      </c>
      <c r="H116" s="104">
        <f t="shared" si="61"/>
        <v>5225156.7600000007</v>
      </c>
      <c r="I116" s="104">
        <f t="shared" si="61"/>
        <v>5225156.7600000007</v>
      </c>
      <c r="J116" s="104">
        <f t="shared" si="61"/>
        <v>5225156.7600000007</v>
      </c>
      <c r="K116" s="104">
        <f t="shared" si="61"/>
        <v>5225156.7600000007</v>
      </c>
      <c r="L116" s="104">
        <f t="shared" si="61"/>
        <v>5225156.7600000007</v>
      </c>
      <c r="M116" s="104">
        <f t="shared" si="61"/>
        <v>696687.56799999997</v>
      </c>
      <c r="N116" s="104">
        <f t="shared" si="61"/>
        <v>0</v>
      </c>
      <c r="O116" s="104">
        <f t="shared" ref="D116:O116" si="62">IF(O92=0,0,VLOOKUP($B116,$B$49:$G$58,6,FALSE)*O68)-O92-O104</f>
        <v>0</v>
      </c>
      <c r="P116" s="104">
        <f t="shared" si="54"/>
        <v>34834378.400000006</v>
      </c>
      <c r="Q116" s="104"/>
    </row>
    <row r="117" spans="2:17">
      <c r="B117" s="15" t="str">
        <f t="shared" si="51"/>
        <v>Evergreen Stock Exchange</v>
      </c>
      <c r="D117" s="104">
        <f t="shared" ref="D117:N117" si="63">IF(VLOOKUP($B117,$B$49:$H$58,7,FALSE)=1,IF(D93=0,0,VLOOKUP($B117,$B$49:$G$58,6,FALSE)*D69)-D93-D105,0)</f>
        <v>0</v>
      </c>
      <c r="E117" s="104">
        <f t="shared" si="63"/>
        <v>0</v>
      </c>
      <c r="F117" s="104">
        <f t="shared" si="63"/>
        <v>0</v>
      </c>
      <c r="G117" s="104">
        <f t="shared" si="63"/>
        <v>0</v>
      </c>
      <c r="H117" s="104">
        <f t="shared" si="63"/>
        <v>0</v>
      </c>
      <c r="I117" s="104">
        <f t="shared" si="63"/>
        <v>0</v>
      </c>
      <c r="J117" s="104">
        <f t="shared" si="63"/>
        <v>913448.24</v>
      </c>
      <c r="K117" s="104">
        <f t="shared" si="63"/>
        <v>1826896.48</v>
      </c>
      <c r="L117" s="104">
        <f t="shared" si="63"/>
        <v>2283620.5999999996</v>
      </c>
      <c r="M117" s="104">
        <f t="shared" si="63"/>
        <v>2283620.5999999996</v>
      </c>
      <c r="N117" s="104">
        <f t="shared" si="63"/>
        <v>1826896.48</v>
      </c>
      <c r="O117" s="104">
        <f t="shared" ref="D117:O117" si="64">IF(O93=0,0,VLOOKUP($B117,$B$49:$G$58,6,FALSE)*O69)-O93-O105</f>
        <v>0</v>
      </c>
      <c r="P117" s="104">
        <f t="shared" si="54"/>
        <v>9134482.3999999985</v>
      </c>
      <c r="Q117" s="104"/>
    </row>
    <row r="118" spans="2:17">
      <c r="B118" s="15" t="str">
        <f t="shared" si="51"/>
        <v>Olympic Ice Arena</v>
      </c>
      <c r="D118" s="104">
        <f t="shared" ref="D118:N118" si="65">IF(VLOOKUP($B118,$B$49:$H$58,7,FALSE)=1,IF(D94=0,0,VLOOKUP($B118,$B$49:$G$58,6,FALSE)*D70)-D94-D106,0)</f>
        <v>0</v>
      </c>
      <c r="E118" s="104">
        <f t="shared" si="65"/>
        <v>0</v>
      </c>
      <c r="F118" s="104">
        <f t="shared" si="65"/>
        <v>0</v>
      </c>
      <c r="G118" s="104">
        <f t="shared" si="65"/>
        <v>719434.16</v>
      </c>
      <c r="H118" s="104">
        <f t="shared" si="65"/>
        <v>1438868.32</v>
      </c>
      <c r="I118" s="104">
        <f t="shared" si="65"/>
        <v>2158302.48</v>
      </c>
      <c r="J118" s="104">
        <f t="shared" si="65"/>
        <v>2877736.64</v>
      </c>
      <c r="K118" s="104">
        <f t="shared" si="65"/>
        <v>2877736.64</v>
      </c>
      <c r="L118" s="104">
        <f t="shared" si="65"/>
        <v>2877736.64</v>
      </c>
      <c r="M118" s="104">
        <f t="shared" si="65"/>
        <v>1438868.32</v>
      </c>
      <c r="N118" s="104">
        <f t="shared" si="65"/>
        <v>0</v>
      </c>
      <c r="O118" s="104">
        <f t="shared" ref="D118:O118" si="66">IF(O94=0,0,VLOOKUP($B118,$B$49:$G$58,6,FALSE)*O70)-O94-O106</f>
        <v>0</v>
      </c>
      <c r="P118" s="104">
        <f t="shared" si="54"/>
        <v>14388683.200000001</v>
      </c>
      <c r="Q118" s="104"/>
    </row>
    <row r="119" spans="2:17">
      <c r="B119" s="15" t="str">
        <f t="shared" si="51"/>
        <v>Wildlife Zoo</v>
      </c>
      <c r="D119" s="104">
        <f t="shared" ref="D119:N119" si="67">IF(VLOOKUP($B119,$B$49:$H$58,7,FALSE)=1,IF(D95=0,0,VLOOKUP($B119,$B$49:$G$58,6,FALSE)*D71)-D95-D107,0)</f>
        <v>0</v>
      </c>
      <c r="E119" s="104">
        <f t="shared" si="67"/>
        <v>0</v>
      </c>
      <c r="F119" s="104">
        <f t="shared" si="67"/>
        <v>0</v>
      </c>
      <c r="G119" s="104">
        <f t="shared" si="67"/>
        <v>0</v>
      </c>
      <c r="H119" s="104">
        <f t="shared" si="67"/>
        <v>672200.28</v>
      </c>
      <c r="I119" s="104">
        <f t="shared" si="67"/>
        <v>1344400.56</v>
      </c>
      <c r="J119" s="104">
        <f t="shared" si="67"/>
        <v>2016600.8399999999</v>
      </c>
      <c r="K119" s="104">
        <f t="shared" si="67"/>
        <v>2688801.12</v>
      </c>
      <c r="L119" s="104">
        <f t="shared" si="67"/>
        <v>2688801.12</v>
      </c>
      <c r="M119" s="104">
        <f t="shared" si="67"/>
        <v>2688801.12</v>
      </c>
      <c r="N119" s="104">
        <f t="shared" si="67"/>
        <v>1344400.56</v>
      </c>
      <c r="O119" s="104">
        <f t="shared" ref="D119:O119" si="68">IF(O95=0,0,VLOOKUP($B119,$B$49:$G$58,6,FALSE)*O71)-O95-O107</f>
        <v>0</v>
      </c>
      <c r="P119" s="104">
        <f t="shared" si="54"/>
        <v>13444005.6</v>
      </c>
      <c r="Q119" s="104"/>
    </row>
    <row r="120" spans="2:17">
      <c r="B120" s="15" t="str">
        <f t="shared" si="51"/>
        <v>Planetarium Science Museum</v>
      </c>
      <c r="D120" s="104">
        <f t="shared" ref="D120:N120" si="69">IF(VLOOKUP($B120,$B$49:$H$58,7,FALSE)=1,IF(D96=0,0,VLOOKUP($B120,$B$49:$G$58,6,FALSE)*D72)-D96-D108,0)</f>
        <v>0</v>
      </c>
      <c r="E120" s="104">
        <f t="shared" si="69"/>
        <v>675885.60000000009</v>
      </c>
      <c r="F120" s="104">
        <f t="shared" si="69"/>
        <v>1351771.2000000002</v>
      </c>
      <c r="G120" s="104">
        <f t="shared" si="69"/>
        <v>1689714</v>
      </c>
      <c r="H120" s="104">
        <f t="shared" si="69"/>
        <v>1689714</v>
      </c>
      <c r="I120" s="104">
        <f t="shared" si="69"/>
        <v>1351771.2000000002</v>
      </c>
      <c r="J120" s="104">
        <f t="shared" si="69"/>
        <v>0</v>
      </c>
      <c r="K120" s="104">
        <f t="shared" si="69"/>
        <v>0</v>
      </c>
      <c r="L120" s="104">
        <f t="shared" si="69"/>
        <v>0</v>
      </c>
      <c r="M120" s="104">
        <f t="shared" si="69"/>
        <v>0</v>
      </c>
      <c r="N120" s="104">
        <f t="shared" si="69"/>
        <v>0</v>
      </c>
      <c r="O120" s="104">
        <f t="shared" ref="D120:O120" si="70">IF(O96=0,0,VLOOKUP($B120,$B$49:$G$58,6,FALSE)*O72)-O96-O108</f>
        <v>0</v>
      </c>
      <c r="P120" s="104">
        <f t="shared" si="54"/>
        <v>6758856.0000000009</v>
      </c>
      <c r="Q120" s="104"/>
    </row>
    <row r="123" spans="2:17">
      <c r="B123" s="43" t="s">
        <v>101</v>
      </c>
      <c r="E123" s="104">
        <f>SUM(E87:E96)</f>
        <v>406971.19500000001</v>
      </c>
      <c r="F123" s="104">
        <f t="shared" ref="F123:O123" si="71">SUM(F87:F96)</f>
        <v>862600.84400000004</v>
      </c>
      <c r="G123" s="104">
        <f t="shared" si="71"/>
        <v>1406300.0649999999</v>
      </c>
      <c r="H123" s="104">
        <f t="shared" si="71"/>
        <v>2254233.7850000001</v>
      </c>
      <c r="I123" s="104">
        <f t="shared" si="71"/>
        <v>2737439.1599999997</v>
      </c>
      <c r="J123" s="104">
        <f t="shared" si="71"/>
        <v>3148267.3250000002</v>
      </c>
      <c r="K123" s="104">
        <f t="shared" si="71"/>
        <v>3344670.2350000003</v>
      </c>
      <c r="L123" s="104">
        <f t="shared" si="71"/>
        <v>2958688.0450000004</v>
      </c>
      <c r="M123" s="104">
        <f t="shared" si="71"/>
        <v>1773429.8060000003</v>
      </c>
      <c r="N123" s="104">
        <f t="shared" si="71"/>
        <v>811888.3400000002</v>
      </c>
      <c r="O123" s="104">
        <f t="shared" si="71"/>
        <v>0</v>
      </c>
    </row>
    <row r="125" spans="2:17">
      <c r="B125" s="43" t="s">
        <v>102</v>
      </c>
      <c r="E125" s="104">
        <f>SUM(E99:E108)</f>
        <v>406971.19500000001</v>
      </c>
      <c r="F125" s="104">
        <f t="shared" ref="F125:O125" si="72">SUM(F99:F108)</f>
        <v>862600.84400000004</v>
      </c>
      <c r="G125" s="104">
        <f t="shared" si="72"/>
        <v>1406300.0649999999</v>
      </c>
      <c r="H125" s="104">
        <f t="shared" si="72"/>
        <v>2254233.7850000001</v>
      </c>
      <c r="I125" s="104">
        <f t="shared" si="72"/>
        <v>2737439.16</v>
      </c>
      <c r="J125" s="104">
        <f t="shared" si="72"/>
        <v>3148267.3250000002</v>
      </c>
      <c r="K125" s="104">
        <f t="shared" si="72"/>
        <v>3344670.2350000008</v>
      </c>
      <c r="L125" s="104">
        <f t="shared" si="72"/>
        <v>2958688.0450000004</v>
      </c>
      <c r="M125" s="104">
        <f t="shared" si="72"/>
        <v>1773429.8060000003</v>
      </c>
      <c r="N125" s="104">
        <f t="shared" si="72"/>
        <v>811888.3400000002</v>
      </c>
      <c r="O125" s="104">
        <f t="shared" si="72"/>
        <v>0</v>
      </c>
    </row>
    <row r="127" spans="2:17">
      <c r="B127" s="43" t="s">
        <v>21</v>
      </c>
      <c r="D127" s="104">
        <f>SUM(D111:D120)</f>
        <v>0</v>
      </c>
      <c r="E127" s="104">
        <f t="shared" ref="E127:O127" si="73">SUM(E111:E120)</f>
        <v>3255769.56</v>
      </c>
      <c r="F127" s="104">
        <f t="shared" si="73"/>
        <v>6900806.7520000003</v>
      </c>
      <c r="G127" s="104">
        <f t="shared" si="73"/>
        <v>11250400.52</v>
      </c>
      <c r="H127" s="104">
        <f t="shared" si="73"/>
        <v>18033870.280000001</v>
      </c>
      <c r="I127" s="104">
        <f t="shared" si="73"/>
        <v>21899513.280000001</v>
      </c>
      <c r="J127" s="104">
        <f t="shared" si="73"/>
        <v>25186138.600000001</v>
      </c>
      <c r="K127" s="104">
        <f t="shared" si="73"/>
        <v>26757361.880000006</v>
      </c>
      <c r="L127" s="104">
        <f t="shared" si="73"/>
        <v>23669504.360000003</v>
      </c>
      <c r="M127" s="104">
        <f t="shared" si="73"/>
        <v>14187438.448000003</v>
      </c>
      <c r="N127" s="104">
        <f t="shared" si="73"/>
        <v>6495106.7200000007</v>
      </c>
      <c r="O127" s="104">
        <f t="shared" si="73"/>
        <v>0</v>
      </c>
    </row>
    <row r="129" spans="2:15">
      <c r="B129" s="43" t="s">
        <v>103</v>
      </c>
      <c r="E129" s="104">
        <f>E127+E125+E123</f>
        <v>4069711.9499999997</v>
      </c>
      <c r="F129" s="104">
        <f t="shared" ref="F129:O129" si="74">F127+F125+F123</f>
        <v>8626008.4400000013</v>
      </c>
      <c r="G129" s="104">
        <f t="shared" si="74"/>
        <v>14063000.649999999</v>
      </c>
      <c r="H129" s="104">
        <f t="shared" si="74"/>
        <v>22542337.850000001</v>
      </c>
      <c r="I129" s="104">
        <f t="shared" si="74"/>
        <v>27374391.600000001</v>
      </c>
      <c r="J129" s="104">
        <f t="shared" si="74"/>
        <v>31482673.25</v>
      </c>
      <c r="K129" s="104">
        <f t="shared" si="74"/>
        <v>33446702.350000005</v>
      </c>
      <c r="L129" s="104">
        <f t="shared" si="74"/>
        <v>29586880.450000007</v>
      </c>
      <c r="M129" s="104">
        <f t="shared" si="74"/>
        <v>17734298.060000002</v>
      </c>
      <c r="N129" s="104">
        <f t="shared" si="74"/>
        <v>8118883.4000000004</v>
      </c>
      <c r="O129" s="104">
        <f t="shared" si="74"/>
        <v>0</v>
      </c>
    </row>
    <row r="132" spans="2:15" ht="13.5" thickBot="1">
      <c r="B132" s="107" t="s">
        <v>104</v>
      </c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</row>
    <row r="133" spans="2:15">
      <c r="B133" s="15" t="str">
        <f>B111</f>
        <v>Moonshine Night Club</v>
      </c>
      <c r="D133" s="104">
        <f>IF(VLOOKUP($B133,$B$49:$H$58,7,FALSE)=1,VLOOKUP($B133,$B$49:$G$58,3,FALSE)*D63,0)</f>
        <v>0</v>
      </c>
      <c r="E133" s="104">
        <f t="shared" ref="E133:O133" si="75">IF(VLOOKUP($B133,$B$49:$H$58,7,FALSE)=1,VLOOKUP($B133,$B$49:$G$58,3,FALSE)*E63,0)</f>
        <v>0</v>
      </c>
      <c r="F133" s="104">
        <f t="shared" si="75"/>
        <v>0</v>
      </c>
      <c r="G133" s="104">
        <f t="shared" si="75"/>
        <v>0</v>
      </c>
      <c r="H133" s="104">
        <f t="shared" si="75"/>
        <v>0</v>
      </c>
      <c r="I133" s="104">
        <f t="shared" si="75"/>
        <v>0</v>
      </c>
      <c r="J133" s="104">
        <f t="shared" si="75"/>
        <v>289097.60000000003</v>
      </c>
      <c r="K133" s="104">
        <f t="shared" si="75"/>
        <v>578195.20000000007</v>
      </c>
      <c r="L133" s="104">
        <f t="shared" si="75"/>
        <v>722744</v>
      </c>
      <c r="M133" s="104">
        <f t="shared" si="75"/>
        <v>722744</v>
      </c>
      <c r="N133" s="104">
        <f t="shared" si="75"/>
        <v>578195.20000000007</v>
      </c>
      <c r="O133" s="104">
        <f t="shared" si="75"/>
        <v>0</v>
      </c>
    </row>
    <row r="134" spans="2:15">
      <c r="B134" s="15" t="str">
        <f>B112</f>
        <v>Titan Office Building</v>
      </c>
      <c r="D134" s="104">
        <f t="shared" ref="D134:O134" si="76">IF(VLOOKUP($B134,$B$49:$H$58,7,FALSE)=1,VLOOKUP($B134,$B$49:$G$58,3,FALSE)*D64,0)</f>
        <v>0</v>
      </c>
      <c r="E134" s="104">
        <f t="shared" si="76"/>
        <v>421817.05000000005</v>
      </c>
      <c r="F134" s="104">
        <f t="shared" si="76"/>
        <v>843634.10000000009</v>
      </c>
      <c r="G134" s="104">
        <f t="shared" si="76"/>
        <v>1265451.1499999999</v>
      </c>
      <c r="H134" s="104">
        <f t="shared" si="76"/>
        <v>1687268.2000000002</v>
      </c>
      <c r="I134" s="104">
        <f t="shared" si="76"/>
        <v>1687268.2000000002</v>
      </c>
      <c r="J134" s="104">
        <f t="shared" si="76"/>
        <v>1687268.2000000002</v>
      </c>
      <c r="K134" s="104">
        <f t="shared" si="76"/>
        <v>843634.10000000009</v>
      </c>
      <c r="L134" s="104">
        <f t="shared" si="76"/>
        <v>0</v>
      </c>
      <c r="M134" s="104">
        <f t="shared" si="76"/>
        <v>0</v>
      </c>
      <c r="N134" s="104">
        <f t="shared" si="76"/>
        <v>0</v>
      </c>
      <c r="O134" s="104">
        <f t="shared" si="76"/>
        <v>0</v>
      </c>
    </row>
    <row r="135" spans="2:15">
      <c r="B135" s="15" t="str">
        <f>B113</f>
        <v>Evergreen City Office Building</v>
      </c>
      <c r="D135" s="104">
        <f t="shared" ref="D135:O135" si="77">IF(VLOOKUP($B135,$B$49:$H$58,7,FALSE)=1,VLOOKUP($B135,$B$49:$G$58,3,FALSE)*D65,0)</f>
        <v>0</v>
      </c>
      <c r="E135" s="104">
        <f t="shared" si="77"/>
        <v>0</v>
      </c>
      <c r="F135" s="104">
        <f t="shared" si="77"/>
        <v>0</v>
      </c>
      <c r="G135" s="104">
        <f t="shared" si="77"/>
        <v>353946.05000000005</v>
      </c>
      <c r="H135" s="104">
        <f t="shared" si="77"/>
        <v>707892.10000000009</v>
      </c>
      <c r="I135" s="104">
        <f t="shared" si="77"/>
        <v>1061838.1499999999</v>
      </c>
      <c r="J135" s="104">
        <f t="shared" si="77"/>
        <v>1415784.2000000002</v>
      </c>
      <c r="K135" s="104">
        <f t="shared" si="77"/>
        <v>1415784.2000000002</v>
      </c>
      <c r="L135" s="104">
        <f t="shared" si="77"/>
        <v>1415784.2000000002</v>
      </c>
      <c r="M135" s="104">
        <f t="shared" si="77"/>
        <v>707892.10000000009</v>
      </c>
      <c r="N135" s="104">
        <f t="shared" si="77"/>
        <v>0</v>
      </c>
      <c r="O135" s="104">
        <f t="shared" si="77"/>
        <v>0</v>
      </c>
    </row>
    <row r="136" spans="2:15">
      <c r="B136" s="15" t="str">
        <f>B114</f>
        <v>Sky Is The Limit Office Building</v>
      </c>
      <c r="D136" s="104">
        <f t="shared" ref="D136:O136" si="78">IF(VLOOKUP($B136,$B$49:$H$58,7,FALSE)=1,VLOOKUP($B136,$B$49:$G$58,3,FALSE)*D66,0)</f>
        <v>0</v>
      </c>
      <c r="E136" s="104">
        <f t="shared" si="78"/>
        <v>0</v>
      </c>
      <c r="F136" s="104">
        <f t="shared" si="78"/>
        <v>0</v>
      </c>
      <c r="G136" s="104">
        <f t="shared" si="78"/>
        <v>0</v>
      </c>
      <c r="H136" s="104">
        <f t="shared" si="78"/>
        <v>477179.2</v>
      </c>
      <c r="I136" s="104">
        <f t="shared" si="78"/>
        <v>954358.4</v>
      </c>
      <c r="J136" s="104">
        <f t="shared" si="78"/>
        <v>1431537.5999999999</v>
      </c>
      <c r="K136" s="104">
        <f t="shared" si="78"/>
        <v>1908716.8</v>
      </c>
      <c r="L136" s="104">
        <f t="shared" si="78"/>
        <v>1908716.8</v>
      </c>
      <c r="M136" s="104">
        <f t="shared" si="78"/>
        <v>1908716.8</v>
      </c>
      <c r="N136" s="104">
        <f t="shared" si="78"/>
        <v>954358.4</v>
      </c>
      <c r="O136" s="104">
        <f t="shared" si="78"/>
        <v>0</v>
      </c>
    </row>
    <row r="137" spans="2:15">
      <c r="B137" s="15" t="str">
        <f>B115</f>
        <v>One Foot Taller Office Building</v>
      </c>
      <c r="D137" s="104">
        <f t="shared" ref="D137:O137" si="79">IF(VLOOKUP($B137,$B$49:$H$58,7,FALSE)=1,VLOOKUP($B137,$B$49:$G$58,3,FALSE)*D67,0)</f>
        <v>0</v>
      </c>
      <c r="E137" s="104">
        <f t="shared" si="79"/>
        <v>0</v>
      </c>
      <c r="F137" s="104">
        <f t="shared" si="79"/>
        <v>531893.35</v>
      </c>
      <c r="G137" s="104">
        <f t="shared" si="79"/>
        <v>1063786.7</v>
      </c>
      <c r="H137" s="104">
        <f t="shared" si="79"/>
        <v>1595680.05</v>
      </c>
      <c r="I137" s="104">
        <f t="shared" si="79"/>
        <v>2127573.4</v>
      </c>
      <c r="J137" s="104">
        <f t="shared" si="79"/>
        <v>2127573.4</v>
      </c>
      <c r="K137" s="104">
        <f t="shared" si="79"/>
        <v>2127573.4</v>
      </c>
      <c r="L137" s="104">
        <f t="shared" si="79"/>
        <v>1063786.7</v>
      </c>
      <c r="M137" s="104">
        <f t="shared" si="79"/>
        <v>0</v>
      </c>
      <c r="N137" s="104">
        <f t="shared" si="79"/>
        <v>0</v>
      </c>
      <c r="O137" s="104">
        <f t="shared" si="79"/>
        <v>0</v>
      </c>
    </row>
    <row r="138" spans="2:15">
      <c r="B138" s="15" t="str">
        <f>B116</f>
        <v>Sputnik Catcher Office Building</v>
      </c>
      <c r="D138" s="104">
        <f t="shared" ref="D138:O138" si="80">IF(VLOOKUP($B138,$B$49:$H$58,7,FALSE)=1,VLOOKUP($B138,$B$49:$G$58,3,FALSE)*D68,0)</f>
        <v>0</v>
      </c>
      <c r="E138" s="104">
        <f t="shared" si="80"/>
        <v>846754.9</v>
      </c>
      <c r="F138" s="104">
        <f t="shared" si="80"/>
        <v>1354807.84</v>
      </c>
      <c r="G138" s="104">
        <f t="shared" si="80"/>
        <v>1693509.8</v>
      </c>
      <c r="H138" s="104">
        <f t="shared" si="80"/>
        <v>2540264.6999999997</v>
      </c>
      <c r="I138" s="104">
        <f t="shared" si="80"/>
        <v>2540264.6999999997</v>
      </c>
      <c r="J138" s="104">
        <f t="shared" si="80"/>
        <v>2540264.6999999997</v>
      </c>
      <c r="K138" s="104">
        <f t="shared" si="80"/>
        <v>2540264.6999999997</v>
      </c>
      <c r="L138" s="104">
        <f t="shared" si="80"/>
        <v>2540264.6999999997</v>
      </c>
      <c r="M138" s="104">
        <f t="shared" si="80"/>
        <v>338701.96</v>
      </c>
      <c r="N138" s="104">
        <f t="shared" si="80"/>
        <v>0</v>
      </c>
      <c r="O138" s="104">
        <f t="shared" si="80"/>
        <v>0</v>
      </c>
    </row>
    <row r="139" spans="2:15">
      <c r="B139" s="15" t="str">
        <f>B117</f>
        <v>Evergreen Stock Exchange</v>
      </c>
      <c r="D139" s="104">
        <f t="shared" ref="D139:O139" si="81">IF(VLOOKUP($B139,$B$49:$H$58,7,FALSE)=1,VLOOKUP($B139,$B$49:$G$58,3,FALSE)*D69,0)</f>
        <v>0</v>
      </c>
      <c r="E139" s="104">
        <f t="shared" si="81"/>
        <v>0</v>
      </c>
      <c r="F139" s="104">
        <f t="shared" si="81"/>
        <v>0</v>
      </c>
      <c r="G139" s="104">
        <f t="shared" si="81"/>
        <v>0</v>
      </c>
      <c r="H139" s="104">
        <f t="shared" si="81"/>
        <v>0</v>
      </c>
      <c r="I139" s="104">
        <f t="shared" si="81"/>
        <v>0</v>
      </c>
      <c r="J139" s="104">
        <f t="shared" si="81"/>
        <v>419331.30000000005</v>
      </c>
      <c r="K139" s="104">
        <f t="shared" si="81"/>
        <v>838662.60000000009</v>
      </c>
      <c r="L139" s="104">
        <f t="shared" si="81"/>
        <v>1048328.25</v>
      </c>
      <c r="M139" s="104">
        <f t="shared" si="81"/>
        <v>1048328.25</v>
      </c>
      <c r="N139" s="104">
        <f t="shared" si="81"/>
        <v>838662.60000000009</v>
      </c>
      <c r="O139" s="104">
        <f t="shared" si="81"/>
        <v>0</v>
      </c>
    </row>
    <row r="140" spans="2:15">
      <c r="B140" s="15" t="str">
        <f>B118</f>
        <v>Olympic Ice Arena</v>
      </c>
      <c r="D140" s="104">
        <f t="shared" ref="D140:O140" si="82">IF(VLOOKUP($B140,$B$49:$H$58,7,FALSE)=1,VLOOKUP($B140,$B$49:$G$58,3,FALSE)*D70,0)</f>
        <v>0</v>
      </c>
      <c r="E140" s="104">
        <f t="shared" si="82"/>
        <v>0</v>
      </c>
      <c r="F140" s="104">
        <f t="shared" si="82"/>
        <v>0</v>
      </c>
      <c r="G140" s="104">
        <f t="shared" si="82"/>
        <v>468686.95</v>
      </c>
      <c r="H140" s="104">
        <f t="shared" si="82"/>
        <v>937373.9</v>
      </c>
      <c r="I140" s="104">
        <f t="shared" si="82"/>
        <v>1406060.8499999999</v>
      </c>
      <c r="J140" s="104">
        <f t="shared" si="82"/>
        <v>1874747.8</v>
      </c>
      <c r="K140" s="104">
        <f t="shared" si="82"/>
        <v>1874747.8</v>
      </c>
      <c r="L140" s="104">
        <f t="shared" si="82"/>
        <v>1874747.8</v>
      </c>
      <c r="M140" s="104">
        <f t="shared" si="82"/>
        <v>937373.9</v>
      </c>
      <c r="N140" s="104">
        <f t="shared" si="82"/>
        <v>0</v>
      </c>
      <c r="O140" s="104">
        <f t="shared" si="82"/>
        <v>0</v>
      </c>
    </row>
    <row r="141" spans="2:15">
      <c r="B141" s="15" t="str">
        <f>B119</f>
        <v>Wildlife Zoo</v>
      </c>
      <c r="D141" s="104">
        <f t="shared" ref="D141:O141" si="83">IF(VLOOKUP($B141,$B$49:$H$58,7,FALSE)=1,VLOOKUP($B141,$B$49:$G$58,3,FALSE)*D71,0)</f>
        <v>0</v>
      </c>
      <c r="E141" s="104">
        <f t="shared" si="83"/>
        <v>0</v>
      </c>
      <c r="F141" s="104">
        <f t="shared" si="83"/>
        <v>0</v>
      </c>
      <c r="G141" s="104">
        <f t="shared" si="83"/>
        <v>0</v>
      </c>
      <c r="H141" s="104">
        <f t="shared" si="83"/>
        <v>300553.65000000002</v>
      </c>
      <c r="I141" s="104">
        <f t="shared" si="83"/>
        <v>601107.30000000005</v>
      </c>
      <c r="J141" s="104">
        <f t="shared" si="83"/>
        <v>901660.95</v>
      </c>
      <c r="K141" s="104">
        <f t="shared" si="83"/>
        <v>1202214.6000000001</v>
      </c>
      <c r="L141" s="104">
        <f t="shared" si="83"/>
        <v>1202214.6000000001</v>
      </c>
      <c r="M141" s="104">
        <f t="shared" si="83"/>
        <v>1202214.6000000001</v>
      </c>
      <c r="N141" s="104">
        <f t="shared" si="83"/>
        <v>601107.30000000005</v>
      </c>
      <c r="O141" s="104">
        <f t="shared" si="83"/>
        <v>0</v>
      </c>
    </row>
    <row r="142" spans="2:15">
      <c r="B142" s="15" t="str">
        <f>B120</f>
        <v>Planetarium Science Museum</v>
      </c>
      <c r="D142" s="104">
        <f t="shared" ref="D142:O142" si="84">IF(VLOOKUP($B142,$B$49:$H$58,7,FALSE)=1,VLOOKUP($B142,$B$49:$G$58,3,FALSE)*D72,0)</f>
        <v>0</v>
      </c>
      <c r="E142" s="104">
        <f t="shared" si="84"/>
        <v>392842.4</v>
      </c>
      <c r="F142" s="104">
        <f t="shared" si="84"/>
        <v>785684.8</v>
      </c>
      <c r="G142" s="104">
        <f t="shared" si="84"/>
        <v>982106</v>
      </c>
      <c r="H142" s="104">
        <f t="shared" si="84"/>
        <v>982106</v>
      </c>
      <c r="I142" s="104">
        <f t="shared" si="84"/>
        <v>785684.8</v>
      </c>
      <c r="J142" s="104">
        <f t="shared" si="84"/>
        <v>0</v>
      </c>
      <c r="K142" s="104">
        <f t="shared" si="84"/>
        <v>0</v>
      </c>
      <c r="L142" s="104">
        <f t="shared" si="84"/>
        <v>0</v>
      </c>
      <c r="M142" s="104">
        <f t="shared" si="84"/>
        <v>0</v>
      </c>
      <c r="N142" s="104">
        <f t="shared" si="84"/>
        <v>0</v>
      </c>
      <c r="O142" s="104">
        <f t="shared" si="84"/>
        <v>0</v>
      </c>
    </row>
    <row r="144" spans="2:15" ht="13.5" thickBot="1">
      <c r="B144" s="107" t="s">
        <v>105</v>
      </c>
      <c r="C144" s="108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</row>
    <row r="145" spans="2:15">
      <c r="B145" s="15" t="str">
        <f>B133</f>
        <v>Moonshine Night Club</v>
      </c>
      <c r="D145" s="104">
        <f>IF(VLOOKUP($B145,$B$49:$H$58,7,FALSE)=1,VLOOKUP($B145,$B$49:$G$58,4,FALSE)*D63,0)</f>
        <v>0</v>
      </c>
      <c r="E145" s="104">
        <f t="shared" ref="E145:O145" si="85">IF(VLOOKUP($B145,$B$49:$H$58,7,FALSE)=1,VLOOKUP($B145,$B$49:$G$58,4,FALSE)*E63,0)</f>
        <v>0</v>
      </c>
      <c r="F145" s="104">
        <f t="shared" si="85"/>
        <v>0</v>
      </c>
      <c r="G145" s="104">
        <f t="shared" si="85"/>
        <v>0</v>
      </c>
      <c r="H145" s="104">
        <f t="shared" si="85"/>
        <v>0</v>
      </c>
      <c r="I145" s="104">
        <f t="shared" si="85"/>
        <v>0</v>
      </c>
      <c r="J145" s="104">
        <f t="shared" si="85"/>
        <v>339595.60000000003</v>
      </c>
      <c r="K145" s="104">
        <f t="shared" si="85"/>
        <v>679191.20000000007</v>
      </c>
      <c r="L145" s="104">
        <f t="shared" si="85"/>
        <v>848989</v>
      </c>
      <c r="M145" s="104">
        <f t="shared" si="85"/>
        <v>848989</v>
      </c>
      <c r="N145" s="104">
        <f t="shared" si="85"/>
        <v>679191.20000000007</v>
      </c>
      <c r="O145" s="104">
        <f t="shared" si="85"/>
        <v>0</v>
      </c>
    </row>
    <row r="146" spans="2:15">
      <c r="B146" s="15" t="str">
        <f t="shared" ref="B146:B154" si="86">B134</f>
        <v>Titan Office Building</v>
      </c>
      <c r="D146" s="104">
        <f t="shared" ref="D146:O146" si="87">IF(VLOOKUP($B146,$B$49:$H$58,7,FALSE)=1,VLOOKUP($B146,$B$49:$G$58,4,FALSE)*D64,0)</f>
        <v>0</v>
      </c>
      <c r="E146" s="104">
        <f t="shared" si="87"/>
        <v>445848.60000000003</v>
      </c>
      <c r="F146" s="104">
        <f t="shared" si="87"/>
        <v>891697.20000000007</v>
      </c>
      <c r="G146" s="104">
        <f t="shared" si="87"/>
        <v>1337545.8</v>
      </c>
      <c r="H146" s="104">
        <f t="shared" si="87"/>
        <v>1783394.4000000001</v>
      </c>
      <c r="I146" s="104">
        <f t="shared" si="87"/>
        <v>1783394.4000000001</v>
      </c>
      <c r="J146" s="104">
        <f t="shared" si="87"/>
        <v>1783394.4000000001</v>
      </c>
      <c r="K146" s="104">
        <f t="shared" si="87"/>
        <v>891697.20000000007</v>
      </c>
      <c r="L146" s="104">
        <f t="shared" si="87"/>
        <v>0</v>
      </c>
      <c r="M146" s="104">
        <f t="shared" si="87"/>
        <v>0</v>
      </c>
      <c r="N146" s="104">
        <f t="shared" si="87"/>
        <v>0</v>
      </c>
      <c r="O146" s="104">
        <f t="shared" si="87"/>
        <v>0</v>
      </c>
    </row>
    <row r="147" spans="2:15">
      <c r="B147" s="15" t="str">
        <f t="shared" si="86"/>
        <v>Evergreen City Office Building</v>
      </c>
      <c r="D147" s="104">
        <f t="shared" ref="D147:O147" si="88">IF(VLOOKUP($B147,$B$49:$H$58,7,FALSE)=1,VLOOKUP($B147,$B$49:$G$58,4,FALSE)*D65,0)</f>
        <v>0</v>
      </c>
      <c r="E147" s="104">
        <f t="shared" si="88"/>
        <v>0</v>
      </c>
      <c r="F147" s="104">
        <f t="shared" si="88"/>
        <v>0</v>
      </c>
      <c r="G147" s="104">
        <f t="shared" si="88"/>
        <v>341094.35000000003</v>
      </c>
      <c r="H147" s="104">
        <f t="shared" si="88"/>
        <v>682188.70000000007</v>
      </c>
      <c r="I147" s="104">
        <f t="shared" si="88"/>
        <v>1023283.0499999999</v>
      </c>
      <c r="J147" s="104">
        <f t="shared" si="88"/>
        <v>1364377.4000000001</v>
      </c>
      <c r="K147" s="104">
        <f t="shared" si="88"/>
        <v>1364377.4000000001</v>
      </c>
      <c r="L147" s="104">
        <f t="shared" si="88"/>
        <v>1364377.4000000001</v>
      </c>
      <c r="M147" s="104">
        <f t="shared" si="88"/>
        <v>682188.70000000007</v>
      </c>
      <c r="N147" s="104">
        <f t="shared" si="88"/>
        <v>0</v>
      </c>
      <c r="O147" s="104">
        <f t="shared" si="88"/>
        <v>0</v>
      </c>
    </row>
    <row r="148" spans="2:15">
      <c r="B148" s="15" t="str">
        <f t="shared" si="86"/>
        <v>Sky Is The Limit Office Building</v>
      </c>
      <c r="D148" s="104">
        <f t="shared" ref="D148:O148" si="89">IF(VLOOKUP($B148,$B$49:$H$58,7,FALSE)=1,VLOOKUP($B148,$B$49:$G$58,4,FALSE)*D66,0)</f>
        <v>0</v>
      </c>
      <c r="E148" s="104">
        <f t="shared" si="89"/>
        <v>0</v>
      </c>
      <c r="F148" s="104">
        <f t="shared" si="89"/>
        <v>0</v>
      </c>
      <c r="G148" s="104">
        <f t="shared" si="89"/>
        <v>0</v>
      </c>
      <c r="H148" s="104">
        <f t="shared" si="89"/>
        <v>614525.95000000007</v>
      </c>
      <c r="I148" s="104">
        <f t="shared" si="89"/>
        <v>1229051.9000000001</v>
      </c>
      <c r="J148" s="104">
        <f t="shared" si="89"/>
        <v>1843577.8499999999</v>
      </c>
      <c r="K148" s="104">
        <f t="shared" si="89"/>
        <v>2458103.8000000003</v>
      </c>
      <c r="L148" s="104">
        <f t="shared" si="89"/>
        <v>2458103.8000000003</v>
      </c>
      <c r="M148" s="104">
        <f t="shared" si="89"/>
        <v>2458103.8000000003</v>
      </c>
      <c r="N148" s="104">
        <f t="shared" si="89"/>
        <v>1229051.9000000001</v>
      </c>
      <c r="O148" s="104">
        <f t="shared" si="89"/>
        <v>0</v>
      </c>
    </row>
    <row r="149" spans="2:15">
      <c r="B149" s="15" t="str">
        <f t="shared" si="86"/>
        <v>One Foot Taller Office Building</v>
      </c>
      <c r="D149" s="104">
        <f t="shared" ref="D149:O149" si="90">IF(VLOOKUP($B149,$B$49:$H$58,7,FALSE)=1,VLOOKUP($B149,$B$49:$G$58,4,FALSE)*D67,0)</f>
        <v>0</v>
      </c>
      <c r="E149" s="104">
        <f t="shared" si="90"/>
        <v>0</v>
      </c>
      <c r="F149" s="104">
        <f t="shared" si="90"/>
        <v>592283.85</v>
      </c>
      <c r="G149" s="104">
        <f t="shared" si="90"/>
        <v>1184567.7</v>
      </c>
      <c r="H149" s="104">
        <f t="shared" si="90"/>
        <v>1776851.55</v>
      </c>
      <c r="I149" s="104">
        <f t="shared" si="90"/>
        <v>2369135.4</v>
      </c>
      <c r="J149" s="104">
        <f t="shared" si="90"/>
        <v>2369135.4</v>
      </c>
      <c r="K149" s="104">
        <f t="shared" si="90"/>
        <v>2369135.4</v>
      </c>
      <c r="L149" s="104">
        <f t="shared" si="90"/>
        <v>1184567.7</v>
      </c>
      <c r="M149" s="104">
        <f t="shared" si="90"/>
        <v>0</v>
      </c>
      <c r="N149" s="104">
        <f t="shared" si="90"/>
        <v>0</v>
      </c>
      <c r="O149" s="104">
        <f t="shared" si="90"/>
        <v>0</v>
      </c>
    </row>
    <row r="150" spans="2:15">
      <c r="B150" s="15" t="str">
        <f t="shared" si="86"/>
        <v>Sputnik Catcher Office Building</v>
      </c>
      <c r="D150" s="104">
        <f t="shared" ref="D150:O150" si="91">IF(VLOOKUP($B150,$B$49:$H$58,7,FALSE)=1,VLOOKUP($B150,$B$49:$G$58,4,FALSE)*D68,0)</f>
        <v>0</v>
      </c>
      <c r="E150" s="104">
        <f t="shared" si="91"/>
        <v>956266.75</v>
      </c>
      <c r="F150" s="104">
        <f t="shared" si="91"/>
        <v>1530026.8</v>
      </c>
      <c r="G150" s="104">
        <f t="shared" si="91"/>
        <v>1912533.5</v>
      </c>
      <c r="H150" s="104">
        <f t="shared" si="91"/>
        <v>2868800.25</v>
      </c>
      <c r="I150" s="104">
        <f t="shared" si="91"/>
        <v>2868800.25</v>
      </c>
      <c r="J150" s="104">
        <f t="shared" si="91"/>
        <v>2868800.25</v>
      </c>
      <c r="K150" s="104">
        <f t="shared" si="91"/>
        <v>2868800.25</v>
      </c>
      <c r="L150" s="104">
        <f t="shared" si="91"/>
        <v>2868800.25</v>
      </c>
      <c r="M150" s="104">
        <f t="shared" si="91"/>
        <v>382506.7</v>
      </c>
      <c r="N150" s="104">
        <f t="shared" si="91"/>
        <v>0</v>
      </c>
      <c r="O150" s="104">
        <f t="shared" si="91"/>
        <v>0</v>
      </c>
    </row>
    <row r="151" spans="2:15">
      <c r="B151" s="15" t="str">
        <f t="shared" si="86"/>
        <v>Evergreen Stock Exchange</v>
      </c>
      <c r="D151" s="104">
        <f t="shared" ref="D151:O151" si="92">IF(VLOOKUP($B151,$B$49:$H$58,7,FALSE)=1,VLOOKUP($B151,$B$49:$G$58,4,FALSE)*D69,0)</f>
        <v>0</v>
      </c>
      <c r="E151" s="104">
        <f t="shared" si="92"/>
        <v>0</v>
      </c>
      <c r="F151" s="104">
        <f t="shared" si="92"/>
        <v>0</v>
      </c>
      <c r="G151" s="104">
        <f t="shared" si="92"/>
        <v>0</v>
      </c>
      <c r="H151" s="104">
        <f t="shared" si="92"/>
        <v>0</v>
      </c>
      <c r="I151" s="104">
        <f t="shared" si="92"/>
        <v>0</v>
      </c>
      <c r="J151" s="104">
        <f t="shared" si="92"/>
        <v>526267.30000000005</v>
      </c>
      <c r="K151" s="104">
        <f t="shared" si="92"/>
        <v>1052534.6000000001</v>
      </c>
      <c r="L151" s="104">
        <f t="shared" si="92"/>
        <v>1315668.25</v>
      </c>
      <c r="M151" s="104">
        <f t="shared" si="92"/>
        <v>1315668.25</v>
      </c>
      <c r="N151" s="104">
        <f t="shared" si="92"/>
        <v>1052534.6000000001</v>
      </c>
      <c r="O151" s="104">
        <f t="shared" si="92"/>
        <v>0</v>
      </c>
    </row>
    <row r="152" spans="2:15">
      <c r="B152" s="15" t="str">
        <f t="shared" si="86"/>
        <v>Olympic Ice Arena</v>
      </c>
      <c r="D152" s="104">
        <f t="shared" ref="D152:O152" si="93">IF(VLOOKUP($B152,$B$49:$H$58,7,FALSE)=1,VLOOKUP($B152,$B$49:$G$58,4,FALSE)*D70,0)</f>
        <v>0</v>
      </c>
      <c r="E152" s="104">
        <f t="shared" si="93"/>
        <v>0</v>
      </c>
      <c r="F152" s="104">
        <f t="shared" si="93"/>
        <v>0</v>
      </c>
      <c r="G152" s="104">
        <f t="shared" si="93"/>
        <v>276068.90000000002</v>
      </c>
      <c r="H152" s="104">
        <f t="shared" si="93"/>
        <v>552137.80000000005</v>
      </c>
      <c r="I152" s="104">
        <f t="shared" si="93"/>
        <v>828206.7</v>
      </c>
      <c r="J152" s="104">
        <f t="shared" si="93"/>
        <v>1104275.6000000001</v>
      </c>
      <c r="K152" s="104">
        <f t="shared" si="93"/>
        <v>1104275.6000000001</v>
      </c>
      <c r="L152" s="104">
        <f t="shared" si="93"/>
        <v>1104275.6000000001</v>
      </c>
      <c r="M152" s="104">
        <f t="shared" si="93"/>
        <v>552137.80000000005</v>
      </c>
      <c r="N152" s="104">
        <f t="shared" si="93"/>
        <v>0</v>
      </c>
      <c r="O152" s="104">
        <f t="shared" si="93"/>
        <v>0</v>
      </c>
    </row>
    <row r="153" spans="2:15">
      <c r="B153" s="15" t="str">
        <f t="shared" si="86"/>
        <v>Wildlife Zoo</v>
      </c>
      <c r="D153" s="104">
        <f t="shared" ref="D153:O153" si="94">IF(VLOOKUP($B153,$B$49:$H$58,7,FALSE)=1,VLOOKUP($B153,$B$49:$G$58,4,FALSE)*D71,0)</f>
        <v>0</v>
      </c>
      <c r="E153" s="104">
        <f t="shared" si="94"/>
        <v>0</v>
      </c>
      <c r="F153" s="104">
        <f t="shared" si="94"/>
        <v>0</v>
      </c>
      <c r="G153" s="104">
        <f t="shared" si="94"/>
        <v>0</v>
      </c>
      <c r="H153" s="104">
        <f t="shared" si="94"/>
        <v>395305.85000000003</v>
      </c>
      <c r="I153" s="104">
        <f t="shared" si="94"/>
        <v>790611.70000000007</v>
      </c>
      <c r="J153" s="104">
        <f t="shared" si="94"/>
        <v>1185917.55</v>
      </c>
      <c r="K153" s="104">
        <f t="shared" si="94"/>
        <v>1581223.4000000001</v>
      </c>
      <c r="L153" s="104">
        <f t="shared" si="94"/>
        <v>1581223.4000000001</v>
      </c>
      <c r="M153" s="104">
        <f t="shared" si="94"/>
        <v>1581223.4000000001</v>
      </c>
      <c r="N153" s="104">
        <f t="shared" si="94"/>
        <v>790611.70000000007</v>
      </c>
      <c r="O153" s="104">
        <f t="shared" si="94"/>
        <v>0</v>
      </c>
    </row>
    <row r="154" spans="2:15">
      <c r="B154" s="15" t="str">
        <f t="shared" si="86"/>
        <v>Planetarium Science Museum</v>
      </c>
      <c r="D154" s="104">
        <f t="shared" ref="D154:O154" si="95">IF(VLOOKUP($B154,$B$49:$H$58,7,FALSE)=1,VLOOKUP($B154,$B$49:$G$58,4,FALSE)*D72,0)</f>
        <v>0</v>
      </c>
      <c r="E154" s="104">
        <f t="shared" si="95"/>
        <v>306832.10000000003</v>
      </c>
      <c r="F154" s="104">
        <f t="shared" si="95"/>
        <v>613664.20000000007</v>
      </c>
      <c r="G154" s="104">
        <f t="shared" si="95"/>
        <v>767080.25</v>
      </c>
      <c r="H154" s="104">
        <f t="shared" si="95"/>
        <v>767080.25</v>
      </c>
      <c r="I154" s="104">
        <f t="shared" si="95"/>
        <v>613664.20000000007</v>
      </c>
      <c r="J154" s="104">
        <f t="shared" si="95"/>
        <v>0</v>
      </c>
      <c r="K154" s="104">
        <f t="shared" si="95"/>
        <v>0</v>
      </c>
      <c r="L154" s="104">
        <f t="shared" si="95"/>
        <v>0</v>
      </c>
      <c r="M154" s="104">
        <f t="shared" si="95"/>
        <v>0</v>
      </c>
      <c r="N154" s="104">
        <f t="shared" si="95"/>
        <v>0</v>
      </c>
      <c r="O154" s="104">
        <f t="shared" si="95"/>
        <v>0</v>
      </c>
    </row>
    <row r="157" spans="2:15">
      <c r="B157" s="15" t="s">
        <v>106</v>
      </c>
    </row>
    <row r="158" spans="2:15">
      <c r="D158" s="104">
        <f>SUM(D133:D142)</f>
        <v>0</v>
      </c>
      <c r="E158" s="104">
        <f t="shared" ref="E158:O158" si="96">SUM(E133:E142)</f>
        <v>1661414.35</v>
      </c>
      <c r="F158" s="104">
        <f t="shared" si="96"/>
        <v>3516020.09</v>
      </c>
      <c r="G158" s="104">
        <f t="shared" si="96"/>
        <v>5827486.6500000004</v>
      </c>
      <c r="H158" s="104">
        <f t="shared" si="96"/>
        <v>9228317.8000000007</v>
      </c>
      <c r="I158" s="104">
        <f t="shared" si="96"/>
        <v>11164155.800000001</v>
      </c>
      <c r="J158" s="104">
        <f t="shared" si="96"/>
        <v>12687265.75</v>
      </c>
      <c r="K158" s="104">
        <f t="shared" si="96"/>
        <v>13329793.4</v>
      </c>
      <c r="L158" s="104">
        <f t="shared" si="96"/>
        <v>11776587.050000001</v>
      </c>
      <c r="M158" s="104">
        <f t="shared" si="96"/>
        <v>6865971.6100000013</v>
      </c>
      <c r="N158" s="104">
        <f t="shared" si="96"/>
        <v>2972323.5</v>
      </c>
      <c r="O158" s="104">
        <f t="shared" si="96"/>
        <v>0</v>
      </c>
    </row>
    <row r="160" spans="2:15">
      <c r="B160" s="15" t="s">
        <v>107</v>
      </c>
    </row>
    <row r="161" spans="2:15">
      <c r="D161" s="104">
        <f>SUM(D145:D154)</f>
        <v>0</v>
      </c>
      <c r="E161" s="104">
        <f t="shared" ref="E161:O161" si="97">SUM(E145:E154)</f>
        <v>1708947.4500000002</v>
      </c>
      <c r="F161" s="104">
        <f t="shared" si="97"/>
        <v>3627672.0500000003</v>
      </c>
      <c r="G161" s="104">
        <f t="shared" si="97"/>
        <v>5818890.5</v>
      </c>
      <c r="H161" s="104">
        <f t="shared" si="97"/>
        <v>9440284.75</v>
      </c>
      <c r="I161" s="104">
        <f t="shared" si="97"/>
        <v>11506147.599999998</v>
      </c>
      <c r="J161" s="104">
        <f t="shared" si="97"/>
        <v>13385341.350000001</v>
      </c>
      <c r="K161" s="104">
        <f t="shared" si="97"/>
        <v>14369338.85</v>
      </c>
      <c r="L161" s="104">
        <f t="shared" si="97"/>
        <v>12726005.400000002</v>
      </c>
      <c r="M161" s="104">
        <f t="shared" si="97"/>
        <v>7820817.6500000004</v>
      </c>
      <c r="N161" s="104">
        <f t="shared" si="97"/>
        <v>3751389.4000000004</v>
      </c>
      <c r="O161" s="104">
        <f t="shared" si="97"/>
        <v>0</v>
      </c>
    </row>
    <row r="163" spans="2:15">
      <c r="B163" s="43" t="s">
        <v>108</v>
      </c>
    </row>
    <row r="165" spans="2:15">
      <c r="B165" s="15" t="s">
        <v>109</v>
      </c>
      <c r="D165" s="44">
        <f>Model!E33</f>
        <v>0</v>
      </c>
      <c r="E165" s="44">
        <f>D168</f>
        <v>0</v>
      </c>
      <c r="F165" s="44">
        <f t="shared" ref="F165:O165" si="98">E168</f>
        <v>3255769.56</v>
      </c>
      <c r="G165" s="44">
        <f t="shared" si="98"/>
        <v>6900806.7520000003</v>
      </c>
      <c r="H165" s="44">
        <f t="shared" si="98"/>
        <v>11250400.52</v>
      </c>
      <c r="I165" s="44">
        <f t="shared" si="98"/>
        <v>18033870.280000001</v>
      </c>
      <c r="J165" s="44">
        <f t="shared" si="98"/>
        <v>21899513.280000001</v>
      </c>
      <c r="K165" s="44">
        <f t="shared" si="98"/>
        <v>25186138.600000001</v>
      </c>
      <c r="L165" s="44">
        <f t="shared" si="98"/>
        <v>26757361.880000003</v>
      </c>
      <c r="M165" s="44">
        <f t="shared" si="98"/>
        <v>23669504.360000003</v>
      </c>
      <c r="N165" s="44">
        <f t="shared" si="98"/>
        <v>14187438.448000003</v>
      </c>
      <c r="O165" s="44">
        <f t="shared" si="98"/>
        <v>6495106.7200000025</v>
      </c>
    </row>
    <row r="166" spans="2:15">
      <c r="B166" s="20" t="s">
        <v>111</v>
      </c>
      <c r="D166" s="104">
        <f>D127</f>
        <v>0</v>
      </c>
      <c r="E166" s="104">
        <f>E127</f>
        <v>3255769.56</v>
      </c>
      <c r="F166" s="104">
        <f t="shared" ref="F166:O166" si="99">F127</f>
        <v>6900806.7520000003</v>
      </c>
      <c r="G166" s="104">
        <f t="shared" si="99"/>
        <v>11250400.52</v>
      </c>
      <c r="H166" s="104">
        <f t="shared" si="99"/>
        <v>18033870.280000001</v>
      </c>
      <c r="I166" s="104">
        <f t="shared" si="99"/>
        <v>21899513.280000001</v>
      </c>
      <c r="J166" s="104">
        <f t="shared" si="99"/>
        <v>25186138.600000001</v>
      </c>
      <c r="K166" s="104">
        <f t="shared" si="99"/>
        <v>26757361.880000006</v>
      </c>
      <c r="L166" s="104">
        <f t="shared" si="99"/>
        <v>23669504.360000003</v>
      </c>
      <c r="M166" s="104">
        <f t="shared" si="99"/>
        <v>14187438.448000003</v>
      </c>
      <c r="N166" s="104">
        <f t="shared" si="99"/>
        <v>6495106.7200000007</v>
      </c>
      <c r="O166" s="104">
        <f t="shared" si="99"/>
        <v>0</v>
      </c>
    </row>
    <row r="167" spans="2:15">
      <c r="B167" s="20" t="s">
        <v>110</v>
      </c>
      <c r="E167" s="104">
        <f>-D127</f>
        <v>0</v>
      </c>
      <c r="F167" s="104">
        <f t="shared" ref="F167:O167" si="100">-E127</f>
        <v>-3255769.56</v>
      </c>
      <c r="G167" s="104">
        <f t="shared" si="100"/>
        <v>-6900806.7520000003</v>
      </c>
      <c r="H167" s="104">
        <f t="shared" si="100"/>
        <v>-11250400.52</v>
      </c>
      <c r="I167" s="104">
        <f t="shared" si="100"/>
        <v>-18033870.280000001</v>
      </c>
      <c r="J167" s="104">
        <f t="shared" si="100"/>
        <v>-21899513.280000001</v>
      </c>
      <c r="K167" s="104">
        <f t="shared" si="100"/>
        <v>-25186138.600000001</v>
      </c>
      <c r="L167" s="104">
        <f t="shared" si="100"/>
        <v>-26757361.880000006</v>
      </c>
      <c r="M167" s="104">
        <f t="shared" si="100"/>
        <v>-23669504.360000003</v>
      </c>
      <c r="N167" s="104">
        <f t="shared" si="100"/>
        <v>-14187438.448000003</v>
      </c>
      <c r="O167" s="104">
        <f t="shared" si="100"/>
        <v>-6495106.7200000007</v>
      </c>
    </row>
    <row r="168" spans="2:15">
      <c r="B168" s="15" t="s">
        <v>112</v>
      </c>
      <c r="D168" s="44">
        <f>SUM(D165:D167)</f>
        <v>0</v>
      </c>
      <c r="E168" s="44">
        <f>SUM(E165:E167)</f>
        <v>3255769.56</v>
      </c>
      <c r="F168" s="44">
        <f t="shared" ref="F168:O168" si="101">SUM(F165:F167)</f>
        <v>6900806.7520000003</v>
      </c>
      <c r="G168" s="44">
        <f t="shared" si="101"/>
        <v>11250400.52</v>
      </c>
      <c r="H168" s="44">
        <f t="shared" si="101"/>
        <v>18033870.280000001</v>
      </c>
      <c r="I168" s="44">
        <f t="shared" si="101"/>
        <v>21899513.280000001</v>
      </c>
      <c r="J168" s="44">
        <f t="shared" si="101"/>
        <v>25186138.600000001</v>
      </c>
      <c r="K168" s="44">
        <f t="shared" si="101"/>
        <v>26757361.880000003</v>
      </c>
      <c r="L168" s="44">
        <f t="shared" si="101"/>
        <v>23669504.360000003</v>
      </c>
      <c r="M168" s="44">
        <f t="shared" si="101"/>
        <v>14187438.448000003</v>
      </c>
      <c r="N168" s="44">
        <f t="shared" si="101"/>
        <v>6495106.7200000025</v>
      </c>
      <c r="O168" s="44">
        <f t="shared" si="101"/>
        <v>0</v>
      </c>
    </row>
    <row r="169" spans="2:15">
      <c r="B169" s="20"/>
    </row>
  </sheetData>
  <mergeCells count="1">
    <mergeCell ref="K48:L50"/>
  </mergeCells>
  <phoneticPr fontId="11" type="noConversion"/>
  <dataValidations disablePrompts="1" count="1">
    <dataValidation type="list" allowBlank="1" showInputMessage="1" showErrorMessage="1" sqref="M13 B40" xr:uid="{9C44087D-1516-4E7A-86E2-D75DB15B2D0A}">
      <formula1>$D$62:$O$62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70D0-8A28-4297-9221-E1E592BAB18D}">
  <dimension ref="B1:R150"/>
  <sheetViews>
    <sheetView showGridLines="0"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87" sqref="B87"/>
    </sheetView>
  </sheetViews>
  <sheetFormatPr defaultColWidth="0" defaultRowHeight="15"/>
  <cols>
    <col min="1" max="1" width="3.42578125" customWidth="1"/>
    <col min="2" max="2" width="31.5703125" style="120" customWidth="1"/>
    <col min="3" max="3" width="11" style="120" customWidth="1"/>
    <col min="4" max="4" width="11" style="120" bestFit="1" customWidth="1"/>
    <col min="5" max="5" width="11.5703125" style="120" bestFit="1" customWidth="1"/>
    <col min="6" max="6" width="14.140625" style="120" bestFit="1" customWidth="1"/>
    <col min="7" max="13" width="15" style="120" bestFit="1" customWidth="1"/>
    <col min="14" max="17" width="14.140625" style="120" bestFit="1" customWidth="1"/>
    <col min="18" max="18" width="10.28515625" hidden="1"/>
    <col min="19" max="16384" width="8.7109375" hidden="1"/>
  </cols>
  <sheetData>
    <row r="1" spans="2:17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2:17" ht="16.5" thickBot="1">
      <c r="B2" s="31" t="str">
        <f>Assumptions!$D$9&amp;" 3-Way Financial Projections"</f>
        <v>Power-Up Builders 3-Way Financial Projections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2:17" ht="15.75" thickTop="1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2:17" s="3" customFormat="1" ht="14.45" customHeight="1">
      <c r="B4" s="1" t="s">
        <v>0</v>
      </c>
      <c r="C4" s="1"/>
      <c r="D4" s="1"/>
      <c r="E4" s="1"/>
      <c r="F4" s="2">
        <v>44197</v>
      </c>
      <c r="G4" s="2">
        <f>F5+1</f>
        <v>44228</v>
      </c>
      <c r="H4" s="2">
        <f t="shared" ref="H4:Q4" si="0">G5+1</f>
        <v>44256</v>
      </c>
      <c r="I4" s="2">
        <f t="shared" si="0"/>
        <v>44287</v>
      </c>
      <c r="J4" s="2">
        <f t="shared" si="0"/>
        <v>44317</v>
      </c>
      <c r="K4" s="2">
        <f t="shared" si="0"/>
        <v>44348</v>
      </c>
      <c r="L4" s="2">
        <f t="shared" si="0"/>
        <v>44378</v>
      </c>
      <c r="M4" s="2">
        <f t="shared" si="0"/>
        <v>44409</v>
      </c>
      <c r="N4" s="2">
        <f t="shared" si="0"/>
        <v>44440</v>
      </c>
      <c r="O4" s="2">
        <f t="shared" si="0"/>
        <v>44470</v>
      </c>
      <c r="P4" s="2">
        <f t="shared" si="0"/>
        <v>44501</v>
      </c>
      <c r="Q4" s="2">
        <f t="shared" si="0"/>
        <v>44531</v>
      </c>
    </row>
    <row r="5" spans="2:17" s="3" customFormat="1" ht="12">
      <c r="B5" s="1" t="s">
        <v>1</v>
      </c>
      <c r="C5" s="1"/>
      <c r="D5" s="1"/>
      <c r="E5" s="2">
        <f>F4-1</f>
        <v>44196</v>
      </c>
      <c r="F5" s="2">
        <f>EOMONTH(F4,0)</f>
        <v>44227</v>
      </c>
      <c r="G5" s="2">
        <f t="shared" ref="G5:Q5" si="1">EOMONTH(G4,0)</f>
        <v>44255</v>
      </c>
      <c r="H5" s="2">
        <f t="shared" si="1"/>
        <v>44286</v>
      </c>
      <c r="I5" s="2">
        <f t="shared" si="1"/>
        <v>44316</v>
      </c>
      <c r="J5" s="2">
        <f t="shared" si="1"/>
        <v>44347</v>
      </c>
      <c r="K5" s="2">
        <f t="shared" si="1"/>
        <v>44377</v>
      </c>
      <c r="L5" s="2">
        <f t="shared" si="1"/>
        <v>44408</v>
      </c>
      <c r="M5" s="2">
        <f t="shared" si="1"/>
        <v>44439</v>
      </c>
      <c r="N5" s="2">
        <f t="shared" si="1"/>
        <v>44469</v>
      </c>
      <c r="O5" s="2">
        <f t="shared" si="1"/>
        <v>44500</v>
      </c>
      <c r="P5" s="2">
        <f t="shared" si="1"/>
        <v>44530</v>
      </c>
      <c r="Q5" s="2">
        <f t="shared" si="1"/>
        <v>44561</v>
      </c>
    </row>
    <row r="6" spans="2:17" s="3" customFormat="1" ht="12">
      <c r="B6" s="1" t="s">
        <v>2</v>
      </c>
      <c r="C6" s="1"/>
      <c r="D6" s="1"/>
      <c r="E6" s="1">
        <v>0</v>
      </c>
      <c r="F6" s="1">
        <f t="shared" ref="F6:O6" si="2">E6+1</f>
        <v>1</v>
      </c>
      <c r="G6" s="1">
        <f t="shared" si="2"/>
        <v>2</v>
      </c>
      <c r="H6" s="1">
        <f t="shared" si="2"/>
        <v>3</v>
      </c>
      <c r="I6" s="1">
        <f t="shared" si="2"/>
        <v>4</v>
      </c>
      <c r="J6" s="1">
        <f t="shared" si="2"/>
        <v>5</v>
      </c>
      <c r="K6" s="1">
        <f t="shared" si="2"/>
        <v>6</v>
      </c>
      <c r="L6" s="1">
        <f t="shared" si="2"/>
        <v>7</v>
      </c>
      <c r="M6" s="1">
        <f t="shared" si="2"/>
        <v>8</v>
      </c>
      <c r="N6" s="1">
        <f t="shared" si="2"/>
        <v>9</v>
      </c>
      <c r="O6" s="1">
        <f t="shared" si="2"/>
        <v>10</v>
      </c>
      <c r="P6" s="1">
        <f t="shared" ref="P6:Q6" si="3">O6+1</f>
        <v>11</v>
      </c>
      <c r="Q6" s="1">
        <f t="shared" si="3"/>
        <v>12</v>
      </c>
    </row>
    <row r="7" spans="2:17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</row>
    <row r="8" spans="2:17" ht="16.5" thickBot="1">
      <c r="B8" s="31" t="s">
        <v>36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</row>
    <row r="9" spans="2:17" ht="15.75" thickTop="1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2:17">
      <c r="B10" s="4" t="s">
        <v>60</v>
      </c>
      <c r="C10" s="5"/>
      <c r="D10" s="67" t="s">
        <v>6</v>
      </c>
      <c r="E10" s="35"/>
      <c r="F10" s="53">
        <f>Assumptions!D129</f>
        <v>0</v>
      </c>
      <c r="G10" s="53">
        <f>Assumptions!E129</f>
        <v>4069711.9499999997</v>
      </c>
      <c r="H10" s="53">
        <f>Assumptions!F129</f>
        <v>8626008.4400000013</v>
      </c>
      <c r="I10" s="53">
        <f>Assumptions!G129</f>
        <v>14063000.649999999</v>
      </c>
      <c r="J10" s="53">
        <f>Assumptions!H129</f>
        <v>22542337.850000001</v>
      </c>
      <c r="K10" s="53">
        <f>Assumptions!I129</f>
        <v>27374391.600000001</v>
      </c>
      <c r="L10" s="53">
        <f>Assumptions!J129</f>
        <v>31482673.25</v>
      </c>
      <c r="M10" s="53">
        <f>Assumptions!K129</f>
        <v>33446702.350000005</v>
      </c>
      <c r="N10" s="53">
        <f>Assumptions!L129</f>
        <v>29586880.450000007</v>
      </c>
      <c r="O10" s="53">
        <f>Assumptions!M129</f>
        <v>17734298.060000002</v>
      </c>
      <c r="P10" s="53">
        <f>Assumptions!N129</f>
        <v>8118883.4000000004</v>
      </c>
      <c r="Q10" s="53">
        <f>Assumptions!O129</f>
        <v>0</v>
      </c>
    </row>
    <row r="11" spans="2:17">
      <c r="B11" s="12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2:17">
      <c r="B12" t="s">
        <v>61</v>
      </c>
      <c r="C12"/>
      <c r="D12" s="6" t="s">
        <v>6</v>
      </c>
      <c r="E12"/>
      <c r="F12" s="10">
        <f>-Assumptions!D158</f>
        <v>0</v>
      </c>
      <c r="G12" s="10">
        <f>-Assumptions!E158</f>
        <v>-1661414.35</v>
      </c>
      <c r="H12" s="10">
        <f>-Assumptions!F158</f>
        <v>-3516020.09</v>
      </c>
      <c r="I12" s="10">
        <f>-Assumptions!G158</f>
        <v>-5827486.6500000004</v>
      </c>
      <c r="J12" s="10">
        <f>-Assumptions!H158</f>
        <v>-9228317.8000000007</v>
      </c>
      <c r="K12" s="10">
        <f>-Assumptions!I158</f>
        <v>-11164155.800000001</v>
      </c>
      <c r="L12" s="10">
        <f>-Assumptions!J158</f>
        <v>-12687265.75</v>
      </c>
      <c r="M12" s="10">
        <f>-Assumptions!K158</f>
        <v>-13329793.4</v>
      </c>
      <c r="N12" s="10">
        <f>-Assumptions!L158</f>
        <v>-11776587.050000001</v>
      </c>
      <c r="O12" s="10">
        <f>-Assumptions!M158</f>
        <v>-6865971.6100000013</v>
      </c>
      <c r="P12" s="10">
        <f>-Assumptions!N158</f>
        <v>-2972323.5</v>
      </c>
      <c r="Q12" s="10">
        <f>-Assumptions!O158</f>
        <v>0</v>
      </c>
    </row>
    <row r="13" spans="2:17">
      <c r="B13" s="5" t="s">
        <v>62</v>
      </c>
      <c r="C13" s="5"/>
      <c r="D13" s="36" t="s">
        <v>6</v>
      </c>
      <c r="E13" s="5"/>
      <c r="F13" s="35">
        <f>-Assumptions!D161</f>
        <v>0</v>
      </c>
      <c r="G13" s="35">
        <f>-Assumptions!E161</f>
        <v>-1708947.4500000002</v>
      </c>
      <c r="H13" s="35">
        <f>-Assumptions!F161</f>
        <v>-3627672.0500000003</v>
      </c>
      <c r="I13" s="35">
        <f>-Assumptions!G161</f>
        <v>-5818890.5</v>
      </c>
      <c r="J13" s="35">
        <f>-Assumptions!H161</f>
        <v>-9440284.75</v>
      </c>
      <c r="K13" s="35">
        <f>-Assumptions!I161</f>
        <v>-11506147.599999998</v>
      </c>
      <c r="L13" s="35">
        <f>-Assumptions!J161</f>
        <v>-13385341.350000001</v>
      </c>
      <c r="M13" s="35">
        <f>-Assumptions!K161</f>
        <v>-14369338.85</v>
      </c>
      <c r="N13" s="35">
        <f>-Assumptions!L161</f>
        <v>-12726005.400000002</v>
      </c>
      <c r="O13" s="35">
        <f>-Assumptions!M161</f>
        <v>-7820817.6500000004</v>
      </c>
      <c r="P13" s="35">
        <f>-Assumptions!N161</f>
        <v>-3751389.4000000004</v>
      </c>
      <c r="Q13" s="35">
        <f>-Assumptions!O161</f>
        <v>0</v>
      </c>
    </row>
    <row r="14" spans="2:17">
      <c r="B14" s="12" t="s">
        <v>63</v>
      </c>
      <c r="C14"/>
      <c r="D14" s="34" t="s">
        <v>6</v>
      </c>
      <c r="E14"/>
      <c r="F14" s="32">
        <f>SUM(F12:F13)</f>
        <v>0</v>
      </c>
      <c r="G14" s="32">
        <f t="shared" ref="G14:Q14" si="4">SUM(G12:G13)</f>
        <v>-3370361.8000000003</v>
      </c>
      <c r="H14" s="32">
        <f t="shared" si="4"/>
        <v>-7143692.1400000006</v>
      </c>
      <c r="I14" s="32">
        <f t="shared" si="4"/>
        <v>-11646377.15</v>
      </c>
      <c r="J14" s="32">
        <f t="shared" si="4"/>
        <v>-18668602.550000001</v>
      </c>
      <c r="K14" s="32">
        <f t="shared" si="4"/>
        <v>-22670303.399999999</v>
      </c>
      <c r="L14" s="32">
        <f t="shared" si="4"/>
        <v>-26072607.100000001</v>
      </c>
      <c r="M14" s="32">
        <f t="shared" si="4"/>
        <v>-27699132.25</v>
      </c>
      <c r="N14" s="32">
        <f t="shared" si="4"/>
        <v>-24502592.450000003</v>
      </c>
      <c r="O14" s="32">
        <f t="shared" si="4"/>
        <v>-14686789.260000002</v>
      </c>
      <c r="P14" s="32">
        <f t="shared" si="4"/>
        <v>-6723712.9000000004</v>
      </c>
      <c r="Q14" s="32">
        <f t="shared" si="4"/>
        <v>0</v>
      </c>
    </row>
    <row r="15" spans="2:17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2:17" ht="15.75" thickBot="1">
      <c r="B16" s="7" t="s">
        <v>64</v>
      </c>
      <c r="C16" s="8"/>
      <c r="D16" s="9" t="s">
        <v>6</v>
      </c>
      <c r="E16" s="8"/>
      <c r="F16" s="11">
        <f>F10+F14</f>
        <v>0</v>
      </c>
      <c r="G16" s="11">
        <f t="shared" ref="G16:Q16" si="5">G10+G14</f>
        <v>699350.14999999944</v>
      </c>
      <c r="H16" s="11">
        <f t="shared" si="5"/>
        <v>1482316.3000000007</v>
      </c>
      <c r="I16" s="11">
        <f t="shared" si="5"/>
        <v>2416623.4999999981</v>
      </c>
      <c r="J16" s="11">
        <f t="shared" si="5"/>
        <v>3873735.3000000007</v>
      </c>
      <c r="K16" s="11">
        <f t="shared" si="5"/>
        <v>4704088.200000003</v>
      </c>
      <c r="L16" s="11">
        <f t="shared" si="5"/>
        <v>5410066.1499999985</v>
      </c>
      <c r="M16" s="11">
        <f t="shared" si="5"/>
        <v>5747570.1000000052</v>
      </c>
      <c r="N16" s="11">
        <f t="shared" si="5"/>
        <v>5084288.0000000037</v>
      </c>
      <c r="O16" s="11">
        <f t="shared" si="5"/>
        <v>3047508.8000000007</v>
      </c>
      <c r="P16" s="11">
        <f t="shared" si="5"/>
        <v>1395170.5</v>
      </c>
      <c r="Q16" s="11">
        <f t="shared" si="5"/>
        <v>0</v>
      </c>
    </row>
    <row r="17" spans="2:18" ht="15.75" thickTop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2:18">
      <c r="B18" t="s">
        <v>41</v>
      </c>
      <c r="C18"/>
      <c r="D18" s="6" t="s">
        <v>6</v>
      </c>
      <c r="E18"/>
      <c r="F18" s="66">
        <f>-Assumptions!$D$13</f>
        <v>-500000</v>
      </c>
      <c r="G18" s="66">
        <f>-Assumptions!$D$13</f>
        <v>-500000</v>
      </c>
      <c r="H18" s="66">
        <f>-Assumptions!$D$13</f>
        <v>-500000</v>
      </c>
      <c r="I18" s="66">
        <f>-Assumptions!$D$13</f>
        <v>-500000</v>
      </c>
      <c r="J18" s="66">
        <f>-Assumptions!$D$13</f>
        <v>-500000</v>
      </c>
      <c r="K18" s="66">
        <f>-Assumptions!$D$13</f>
        <v>-500000</v>
      </c>
      <c r="L18" s="66">
        <f>-Assumptions!$D$13</f>
        <v>-500000</v>
      </c>
      <c r="M18" s="66">
        <f>-Assumptions!$D$13</f>
        <v>-500000</v>
      </c>
      <c r="N18" s="66">
        <f>-Assumptions!$D$13</f>
        <v>-500000</v>
      </c>
      <c r="O18" s="66">
        <f>-Assumptions!$D$13</f>
        <v>-500000</v>
      </c>
      <c r="P18" s="66">
        <f>-Assumptions!$D$13</f>
        <v>-500000</v>
      </c>
      <c r="Q18" s="66">
        <f>-Assumptions!$D$13</f>
        <v>-500000</v>
      </c>
      <c r="R18" s="10"/>
    </row>
    <row r="19" spans="2:18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2:18" ht="15.75" thickBot="1">
      <c r="B20" s="7" t="s">
        <v>65</v>
      </c>
      <c r="C20" s="8"/>
      <c r="D20" s="9" t="s">
        <v>6</v>
      </c>
      <c r="E20" s="8"/>
      <c r="F20" s="11">
        <f>SUM(F16:F19)</f>
        <v>-500000</v>
      </c>
      <c r="G20" s="11">
        <f t="shared" ref="G20:Q20" si="6">SUM(G16:G19)</f>
        <v>199350.14999999944</v>
      </c>
      <c r="H20" s="11">
        <f t="shared" si="6"/>
        <v>982316.30000000075</v>
      </c>
      <c r="I20" s="11">
        <f t="shared" si="6"/>
        <v>1916623.4999999981</v>
      </c>
      <c r="J20" s="11">
        <f t="shared" si="6"/>
        <v>3373735.3000000007</v>
      </c>
      <c r="K20" s="11">
        <f t="shared" si="6"/>
        <v>4204088.200000003</v>
      </c>
      <c r="L20" s="11">
        <f t="shared" si="6"/>
        <v>4910066.1499999985</v>
      </c>
      <c r="M20" s="11">
        <f t="shared" si="6"/>
        <v>5247570.1000000052</v>
      </c>
      <c r="N20" s="11">
        <f t="shared" si="6"/>
        <v>4584288.0000000037</v>
      </c>
      <c r="O20" s="11">
        <f t="shared" si="6"/>
        <v>2547508.8000000007</v>
      </c>
      <c r="P20" s="11">
        <f t="shared" si="6"/>
        <v>895170.5</v>
      </c>
      <c r="Q20" s="11">
        <f t="shared" si="6"/>
        <v>-500000</v>
      </c>
      <c r="R20" s="10"/>
    </row>
    <row r="21" spans="2:18" ht="15.75" thickTop="1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8">
      <c r="B22" t="s">
        <v>66</v>
      </c>
      <c r="C22"/>
      <c r="D22" s="6" t="s">
        <v>6</v>
      </c>
      <c r="E22"/>
      <c r="F22" s="10">
        <f>-F99</f>
        <v>-100000</v>
      </c>
      <c r="G22" s="10">
        <f t="shared" ref="G22:Q22" si="7">-G99</f>
        <v>-100000</v>
      </c>
      <c r="H22" s="10">
        <f t="shared" si="7"/>
        <v>-433333.33333333331</v>
      </c>
      <c r="I22" s="10">
        <f t="shared" si="7"/>
        <v>-433333.33333333331</v>
      </c>
      <c r="J22" s="10">
        <f t="shared" si="7"/>
        <v>-433333.33333333331</v>
      </c>
      <c r="K22" s="10">
        <f t="shared" si="7"/>
        <v>-433333.33333333331</v>
      </c>
      <c r="L22" s="10">
        <f t="shared" si="7"/>
        <v>-433333.33333333331</v>
      </c>
      <c r="M22" s="10">
        <f t="shared" si="7"/>
        <v>-433333.33333333331</v>
      </c>
      <c r="N22" s="10">
        <f t="shared" si="7"/>
        <v>-433333.33333333331</v>
      </c>
      <c r="O22" s="10">
        <f t="shared" si="7"/>
        <v>-433333.33333333331</v>
      </c>
      <c r="P22" s="10">
        <f t="shared" si="7"/>
        <v>-433333.33333333331</v>
      </c>
      <c r="Q22" s="10">
        <f t="shared" si="7"/>
        <v>-433333.33333333331</v>
      </c>
      <c r="R22" s="10"/>
    </row>
    <row r="23" spans="2:18">
      <c r="B23" t="s">
        <v>67</v>
      </c>
      <c r="C23"/>
      <c r="D23" s="6" t="s">
        <v>6</v>
      </c>
      <c r="E23"/>
      <c r="F23" s="10">
        <f>F107+F129</f>
        <v>-6369.8630136986294</v>
      </c>
      <c r="G23" s="10">
        <f t="shared" ref="G23:Q23" si="8">G107+G129</f>
        <v>0</v>
      </c>
      <c r="H23" s="10">
        <f t="shared" si="8"/>
        <v>-36182.376409870521</v>
      </c>
      <c r="I23" s="10">
        <f t="shared" si="8"/>
        <v>-37459.853253373185</v>
      </c>
      <c r="J23" s="10">
        <f t="shared" si="8"/>
        <v>-41283.229190126644</v>
      </c>
      <c r="K23" s="10">
        <f t="shared" si="8"/>
        <v>-59687.229196932502</v>
      </c>
      <c r="L23" s="10">
        <f t="shared" si="8"/>
        <v>-63557.077625570782</v>
      </c>
      <c r="M23" s="10">
        <f t="shared" si="8"/>
        <v>-62990.867579908678</v>
      </c>
      <c r="N23" s="10">
        <f t="shared" si="8"/>
        <v>-60410.95890410959</v>
      </c>
      <c r="O23" s="10">
        <f t="shared" si="8"/>
        <v>-61858.447488584483</v>
      </c>
      <c r="P23" s="10">
        <f t="shared" si="8"/>
        <v>-56518.256366016314</v>
      </c>
      <c r="Q23" s="10">
        <f t="shared" si="8"/>
        <v>-40916.254552044426</v>
      </c>
    </row>
    <row r="24" spans="2:18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2:18" ht="15.75" thickBot="1">
      <c r="B25" s="7" t="s">
        <v>68</v>
      </c>
      <c r="C25" s="8"/>
      <c r="D25" s="9" t="s">
        <v>6</v>
      </c>
      <c r="E25" s="8"/>
      <c r="F25" s="11">
        <f>SUM(F20:F24)</f>
        <v>-606369.8630136986</v>
      </c>
      <c r="G25" s="11">
        <f t="shared" ref="G25:Q25" si="9">SUM(G20:G24)</f>
        <v>99350.149999999441</v>
      </c>
      <c r="H25" s="11">
        <f t="shared" si="9"/>
        <v>512800.59025679698</v>
      </c>
      <c r="I25" s="11">
        <f t="shared" si="9"/>
        <v>1445830.3134132917</v>
      </c>
      <c r="J25" s="11">
        <f t="shared" si="9"/>
        <v>2899118.7374765407</v>
      </c>
      <c r="K25" s="11">
        <f t="shared" si="9"/>
        <v>3711067.6374697369</v>
      </c>
      <c r="L25" s="11">
        <f t="shared" si="9"/>
        <v>4413175.7390410947</v>
      </c>
      <c r="M25" s="11">
        <f t="shared" si="9"/>
        <v>4751245.8990867632</v>
      </c>
      <c r="N25" s="11">
        <f t="shared" si="9"/>
        <v>4090543.7077625608</v>
      </c>
      <c r="O25" s="11">
        <f t="shared" si="9"/>
        <v>2052317.0191780827</v>
      </c>
      <c r="P25" s="11">
        <f t="shared" si="9"/>
        <v>405318.9103006504</v>
      </c>
      <c r="Q25" s="11">
        <f t="shared" si="9"/>
        <v>-974249.5878853777</v>
      </c>
      <c r="R25" s="10"/>
    </row>
    <row r="26" spans="2:18" ht="15.75" thickTop="1">
      <c r="B26"/>
      <c r="C26"/>
      <c r="D26" s="12"/>
      <c r="E26"/>
      <c r="F26" s="10"/>
      <c r="G26"/>
      <c r="H26"/>
      <c r="I26"/>
      <c r="J26"/>
      <c r="K26"/>
      <c r="L26"/>
      <c r="M26"/>
      <c r="N26"/>
      <c r="O26"/>
      <c r="P26"/>
      <c r="Q26"/>
    </row>
    <row r="27" spans="2:18">
      <c r="B27"/>
      <c r="C27"/>
      <c r="D27"/>
      <c r="E27"/>
      <c r="F27" s="10"/>
      <c r="G27"/>
      <c r="H27"/>
      <c r="I27"/>
      <c r="J27"/>
      <c r="K27"/>
      <c r="L27"/>
      <c r="M27"/>
      <c r="N27"/>
      <c r="O27"/>
      <c r="P27"/>
      <c r="Q27"/>
    </row>
    <row r="28" spans="2:18" ht="16.5" thickBot="1">
      <c r="B28" s="31" t="s">
        <v>15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2:18" ht="15.75" thickTop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>
      <c r="B30" s="4" t="s">
        <v>14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2:18">
      <c r="B31" s="33" t="s">
        <v>19</v>
      </c>
      <c r="C31"/>
      <c r="D31" s="6" t="s">
        <v>6</v>
      </c>
      <c r="E31" s="56">
        <f>Assumptions!D28</f>
        <v>0</v>
      </c>
      <c r="F31" s="66">
        <f>F81</f>
        <v>4288197.0369863017</v>
      </c>
      <c r="G31" s="66">
        <f t="shared" ref="G31:Q31" si="10">G81</f>
        <v>0</v>
      </c>
      <c r="H31" s="66">
        <f t="shared" si="10"/>
        <v>0</v>
      </c>
      <c r="I31" s="66">
        <f t="shared" si="10"/>
        <v>0</v>
      </c>
      <c r="J31" s="66">
        <f t="shared" si="10"/>
        <v>0</v>
      </c>
      <c r="K31" s="66">
        <f t="shared" si="10"/>
        <v>-101650.3457306663</v>
      </c>
      <c r="L31" s="66">
        <f t="shared" si="10"/>
        <v>-5104967.910022906</v>
      </c>
      <c r="M31" s="66">
        <f t="shared" si="10"/>
        <v>-8447619.0942694787</v>
      </c>
      <c r="N31" s="66">
        <f t="shared" si="10"/>
        <v>-7019927.2898402521</v>
      </c>
      <c r="O31" s="66">
        <f t="shared" si="10"/>
        <v>0</v>
      </c>
      <c r="P31" s="66">
        <f t="shared" si="10"/>
        <v>0</v>
      </c>
      <c r="Q31" s="66">
        <f t="shared" si="10"/>
        <v>962327.11975310557</v>
      </c>
    </row>
    <row r="32" spans="2:18">
      <c r="B32" s="33" t="s">
        <v>20</v>
      </c>
      <c r="C32"/>
      <c r="D32" s="6" t="s">
        <v>6</v>
      </c>
      <c r="E32" s="56">
        <f>Assumptions!D29</f>
        <v>0</v>
      </c>
      <c r="F32" s="66">
        <f>E32</f>
        <v>0</v>
      </c>
      <c r="G32" s="66">
        <f t="shared" ref="G32:Q32" si="11">F32</f>
        <v>0</v>
      </c>
      <c r="H32" s="66">
        <f t="shared" si="11"/>
        <v>0</v>
      </c>
      <c r="I32" s="66">
        <f t="shared" si="11"/>
        <v>0</v>
      </c>
      <c r="J32" s="66">
        <f t="shared" si="11"/>
        <v>0</v>
      </c>
      <c r="K32" s="66">
        <f t="shared" si="11"/>
        <v>0</v>
      </c>
      <c r="L32" s="66">
        <f t="shared" si="11"/>
        <v>0</v>
      </c>
      <c r="M32" s="66">
        <f t="shared" si="11"/>
        <v>0</v>
      </c>
      <c r="N32" s="66">
        <f t="shared" si="11"/>
        <v>0</v>
      </c>
      <c r="O32" s="66">
        <f t="shared" si="11"/>
        <v>0</v>
      </c>
      <c r="P32" s="66">
        <f t="shared" si="11"/>
        <v>0</v>
      </c>
      <c r="Q32" s="66">
        <f t="shared" si="11"/>
        <v>0</v>
      </c>
    </row>
    <row r="33" spans="2:17">
      <c r="B33" s="33" t="s">
        <v>21</v>
      </c>
      <c r="C33"/>
      <c r="D33" s="6" t="s">
        <v>6</v>
      </c>
      <c r="E33" s="56">
        <f>Assumptions!D30</f>
        <v>0</v>
      </c>
      <c r="F33" s="66">
        <f>Assumptions!D168</f>
        <v>0</v>
      </c>
      <c r="G33" s="66">
        <f>Assumptions!E168</f>
        <v>3255769.56</v>
      </c>
      <c r="H33" s="66">
        <f>Assumptions!F168</f>
        <v>6900806.7520000003</v>
      </c>
      <c r="I33" s="66">
        <f>Assumptions!G168</f>
        <v>11250400.52</v>
      </c>
      <c r="J33" s="66">
        <f>Assumptions!H168</f>
        <v>18033870.280000001</v>
      </c>
      <c r="K33" s="66">
        <f>Assumptions!I168</f>
        <v>21899513.280000001</v>
      </c>
      <c r="L33" s="66">
        <f>Assumptions!J168</f>
        <v>25186138.600000001</v>
      </c>
      <c r="M33" s="66">
        <f>Assumptions!K168</f>
        <v>26757361.880000003</v>
      </c>
      <c r="N33" s="66">
        <f>Assumptions!L168</f>
        <v>23669504.360000003</v>
      </c>
      <c r="O33" s="66">
        <f>Assumptions!M168</f>
        <v>14187438.448000003</v>
      </c>
      <c r="P33" s="66">
        <f>Assumptions!N168</f>
        <v>6495106.7200000025</v>
      </c>
      <c r="Q33" s="66">
        <f>Assumptions!O168</f>
        <v>0</v>
      </c>
    </row>
    <row r="34" spans="2:17">
      <c r="B34" s="41" t="s">
        <v>30</v>
      </c>
      <c r="C34" s="5"/>
      <c r="D34" s="36" t="s">
        <v>6</v>
      </c>
      <c r="E34" s="86">
        <f>Assumptions!D31</f>
        <v>5000000</v>
      </c>
      <c r="F34" s="89">
        <f>IF(F5=Assumptions!$B$40,SUM(Assumptions!D99:D108)+Model!E34-Assumptions!$D$40,SUM(Assumptions!D99:D108)+Model!E34)</f>
        <v>5000000</v>
      </c>
      <c r="G34" s="89">
        <f>IF(G5=Assumptions!$B$40,SUM(Assumptions!E99:E108)+Model!F34-Assumptions!$D$40,SUM(Assumptions!E99:E108)+Model!F34)</f>
        <v>5406971.1950000003</v>
      </c>
      <c r="H34" s="89">
        <f>IF(H5=Assumptions!$B$40,SUM(Assumptions!F99:F108)+Model!G34-Assumptions!$D$40,SUM(Assumptions!F99:F108)+Model!G34)</f>
        <v>6269572.0390000008</v>
      </c>
      <c r="I34" s="89">
        <f>IF(I5=Assumptions!$B$40,SUM(Assumptions!G99:G108)+Model!H34-Assumptions!$D$40,SUM(Assumptions!G99:G108)+Model!H34)</f>
        <v>7675872.1040000003</v>
      </c>
      <c r="J34" s="89">
        <f>IF(J5=Assumptions!$B$40,SUM(Assumptions!H99:H108)+Model!I34-Assumptions!$D$40,SUM(Assumptions!H99:H108)+Model!I34)</f>
        <v>9930105.8890000004</v>
      </c>
      <c r="K34" s="89">
        <f>IF(K5=Assumptions!$B$40,SUM(Assumptions!I99:I108)+Model!J34-Assumptions!$D$40,SUM(Assumptions!I99:I108)+Model!J34)</f>
        <v>10167545.049000001</v>
      </c>
      <c r="L34" s="89">
        <f>IF(L5=Assumptions!$B$40,SUM(Assumptions!J99:J108)+Model!K34-Assumptions!$D$40,SUM(Assumptions!J99:J108)+Model!K34)</f>
        <v>13315812.374000002</v>
      </c>
      <c r="M34" s="89">
        <f>IF(M5=Assumptions!$B$40,SUM(Assumptions!K99:K108)+Model!L34-Assumptions!$D$40,SUM(Assumptions!K99:K108)+Model!L34)</f>
        <v>16660482.609000003</v>
      </c>
      <c r="N34" s="89">
        <f>IF(N5=Assumptions!$B$40,SUM(Assumptions!L99:L108)+Model!M34-Assumptions!$D$40,SUM(Assumptions!L99:L108)+Model!M34)</f>
        <v>19619170.654000003</v>
      </c>
      <c r="O34" s="89">
        <f>IF(O5=Assumptions!$B$40,SUM(Assumptions!M99:M108)+Model!N34-Assumptions!$D$40,SUM(Assumptions!M99:M108)+Model!N34)</f>
        <v>21392600.460000005</v>
      </c>
      <c r="P34" s="89">
        <f>IF(P5=Assumptions!$B$40,SUM(Assumptions!N99:N108)+Model!O34-Assumptions!$D$40,SUM(Assumptions!N99:N108)+Model!O34)</f>
        <v>22204488.800000004</v>
      </c>
      <c r="Q34" s="89">
        <f>IF(Q5=Assumptions!$B$40,SUM(Assumptions!O99:O108)+Model!P34-Assumptions!$D$40,SUM(Assumptions!O99:O108)+Model!P34)</f>
        <v>22204488.800000004</v>
      </c>
    </row>
    <row r="35" spans="2:17">
      <c r="B35" s="12" t="s">
        <v>17</v>
      </c>
      <c r="C35" s="12"/>
      <c r="D35" s="34" t="s">
        <v>6</v>
      </c>
      <c r="E35" s="32">
        <f>SUM(E31:E34)</f>
        <v>5000000</v>
      </c>
      <c r="F35" s="32">
        <f t="shared" ref="F35" si="12">SUM(F31:F34)</f>
        <v>9288197.0369863026</v>
      </c>
      <c r="G35" s="32">
        <f t="shared" ref="G35" si="13">SUM(G31:G34)</f>
        <v>8662740.7550000008</v>
      </c>
      <c r="H35" s="32">
        <f t="shared" ref="H35" si="14">SUM(H31:H34)</f>
        <v>13170378.791000001</v>
      </c>
      <c r="I35" s="32">
        <f t="shared" ref="I35" si="15">SUM(I31:I34)</f>
        <v>18926272.623999998</v>
      </c>
      <c r="J35" s="32">
        <f t="shared" ref="J35" si="16">SUM(J31:J34)</f>
        <v>27963976.169</v>
      </c>
      <c r="K35" s="32">
        <f t="shared" ref="K35" si="17">SUM(K31:K34)</f>
        <v>31965407.983269334</v>
      </c>
      <c r="L35" s="32">
        <f t="shared" ref="L35" si="18">SUM(L31:L34)</f>
        <v>33396983.063977096</v>
      </c>
      <c r="M35" s="32">
        <f t="shared" ref="M35" si="19">SUM(M31:M34)</f>
        <v>34970225.394730531</v>
      </c>
      <c r="N35" s="32">
        <f t="shared" ref="N35" si="20">SUM(N31:N34)</f>
        <v>36268747.724159755</v>
      </c>
      <c r="O35" s="32">
        <f t="shared" ref="O35" si="21">SUM(O31:O34)</f>
        <v>35580038.908000007</v>
      </c>
      <c r="P35" s="32">
        <f t="shared" ref="P35" si="22">SUM(P31:P34)</f>
        <v>28699595.520000007</v>
      </c>
      <c r="Q35" s="32">
        <f t="shared" ref="Q35" si="23">SUM(Q31:Q34)</f>
        <v>23166815.919753112</v>
      </c>
    </row>
    <row r="36" spans="2:17">
      <c r="B36" s="33" t="s">
        <v>22</v>
      </c>
      <c r="C36"/>
      <c r="D36" s="6" t="s">
        <v>6</v>
      </c>
      <c r="E36" s="56">
        <f>Assumptions!D33</f>
        <v>3600000</v>
      </c>
      <c r="F36" s="10">
        <f>F97</f>
        <v>3500000</v>
      </c>
      <c r="G36" s="10">
        <f t="shared" ref="G36:Q36" si="24">G97</f>
        <v>23400000</v>
      </c>
      <c r="H36" s="10">
        <f t="shared" si="24"/>
        <v>22966666.666666668</v>
      </c>
      <c r="I36" s="10">
        <f t="shared" si="24"/>
        <v>22533333.333333336</v>
      </c>
      <c r="J36" s="10">
        <f t="shared" si="24"/>
        <v>22100000.000000004</v>
      </c>
      <c r="K36" s="10">
        <f t="shared" si="24"/>
        <v>21666666.666666672</v>
      </c>
      <c r="L36" s="10">
        <f t="shared" si="24"/>
        <v>21233333.33333334</v>
      </c>
      <c r="M36" s="10">
        <f t="shared" si="24"/>
        <v>20800000.000000007</v>
      </c>
      <c r="N36" s="10">
        <f t="shared" si="24"/>
        <v>20366666.666666675</v>
      </c>
      <c r="O36" s="10">
        <f t="shared" si="24"/>
        <v>19933333.333333343</v>
      </c>
      <c r="P36" s="10">
        <f t="shared" si="24"/>
        <v>19500000.000000011</v>
      </c>
      <c r="Q36" s="10">
        <f t="shared" si="24"/>
        <v>19066666.666666679</v>
      </c>
    </row>
    <row r="37" spans="2:17">
      <c r="B37" s="41" t="s">
        <v>23</v>
      </c>
      <c r="C37" s="5"/>
      <c r="D37" s="36" t="s">
        <v>6</v>
      </c>
      <c r="E37" s="86">
        <f>Assumptions!D34</f>
        <v>0</v>
      </c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</row>
    <row r="38" spans="2:17">
      <c r="B38" s="12" t="s">
        <v>18</v>
      </c>
      <c r="C38" s="12"/>
      <c r="D38" s="34" t="s">
        <v>6</v>
      </c>
      <c r="E38" s="32">
        <f t="shared" ref="E38:Q38" si="25">SUM(E36:E37)</f>
        <v>3600000</v>
      </c>
      <c r="F38" s="32">
        <f t="shared" si="25"/>
        <v>3500000</v>
      </c>
      <c r="G38" s="32">
        <f t="shared" si="25"/>
        <v>23400000</v>
      </c>
      <c r="H38" s="32">
        <f t="shared" si="25"/>
        <v>22966666.666666668</v>
      </c>
      <c r="I38" s="32">
        <f t="shared" si="25"/>
        <v>22533333.333333336</v>
      </c>
      <c r="J38" s="32">
        <f t="shared" si="25"/>
        <v>22100000.000000004</v>
      </c>
      <c r="K38" s="32">
        <f t="shared" si="25"/>
        <v>21666666.666666672</v>
      </c>
      <c r="L38" s="32">
        <f t="shared" si="25"/>
        <v>21233333.33333334</v>
      </c>
      <c r="M38" s="32">
        <f t="shared" si="25"/>
        <v>20800000.000000007</v>
      </c>
      <c r="N38" s="32">
        <f t="shared" si="25"/>
        <v>20366666.666666675</v>
      </c>
      <c r="O38" s="32">
        <f t="shared" si="25"/>
        <v>19933333.333333343</v>
      </c>
      <c r="P38" s="32">
        <f t="shared" si="25"/>
        <v>19500000.000000011</v>
      </c>
      <c r="Q38" s="32">
        <f t="shared" si="25"/>
        <v>19066666.666666679</v>
      </c>
    </row>
    <row r="39" spans="2:17" ht="15.75" thickBot="1">
      <c r="B39" s="7" t="s">
        <v>16</v>
      </c>
      <c r="C39" s="8"/>
      <c r="D39" s="9" t="s">
        <v>6</v>
      </c>
      <c r="E39" s="11">
        <f t="shared" ref="E39:Q39" si="26">SUM(E38,E35)</f>
        <v>8600000</v>
      </c>
      <c r="F39" s="11">
        <f t="shared" si="26"/>
        <v>12788197.036986303</v>
      </c>
      <c r="G39" s="11">
        <f t="shared" si="26"/>
        <v>32062740.755000003</v>
      </c>
      <c r="H39" s="11">
        <f t="shared" si="26"/>
        <v>36137045.457666665</v>
      </c>
      <c r="I39" s="11">
        <f t="shared" si="26"/>
        <v>41459605.957333334</v>
      </c>
      <c r="J39" s="11">
        <f t="shared" si="26"/>
        <v>50063976.169</v>
      </c>
      <c r="K39" s="11">
        <f t="shared" si="26"/>
        <v>53632074.649936005</v>
      </c>
      <c r="L39" s="11">
        <f t="shared" si="26"/>
        <v>54630316.397310436</v>
      </c>
      <c r="M39" s="11">
        <f t="shared" si="26"/>
        <v>55770225.394730538</v>
      </c>
      <c r="N39" s="11">
        <f t="shared" si="26"/>
        <v>56635414.390826434</v>
      </c>
      <c r="O39" s="11">
        <f t="shared" si="26"/>
        <v>55513372.241333351</v>
      </c>
      <c r="P39" s="11">
        <f t="shared" si="26"/>
        <v>48199595.520000018</v>
      </c>
      <c r="Q39" s="11">
        <f t="shared" si="26"/>
        <v>42233482.586419791</v>
      </c>
    </row>
    <row r="40" spans="2:17" ht="15.75" thickTop="1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2:17">
      <c r="B41" s="4" t="s">
        <v>24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2:17">
      <c r="B42" s="33" t="s">
        <v>31</v>
      </c>
      <c r="C42"/>
      <c r="D42" s="6" t="s">
        <v>6</v>
      </c>
      <c r="E42" s="56">
        <f>Assumptions!M28</f>
        <v>0</v>
      </c>
      <c r="F42" s="10">
        <f>E42</f>
        <v>0</v>
      </c>
      <c r="G42" s="10">
        <f t="shared" ref="G42:Q42" si="27">F42</f>
        <v>0</v>
      </c>
      <c r="H42" s="10">
        <f t="shared" si="27"/>
        <v>0</v>
      </c>
      <c r="I42" s="10">
        <f t="shared" si="27"/>
        <v>0</v>
      </c>
      <c r="J42" s="10">
        <f t="shared" si="27"/>
        <v>0</v>
      </c>
      <c r="K42" s="10">
        <f t="shared" si="27"/>
        <v>0</v>
      </c>
      <c r="L42" s="10">
        <f t="shared" si="27"/>
        <v>0</v>
      </c>
      <c r="M42" s="10">
        <f t="shared" si="27"/>
        <v>0</v>
      </c>
      <c r="N42" s="10">
        <f t="shared" si="27"/>
        <v>0</v>
      </c>
      <c r="O42" s="10">
        <f t="shared" si="27"/>
        <v>0</v>
      </c>
      <c r="P42" s="10">
        <f t="shared" si="27"/>
        <v>0</v>
      </c>
      <c r="Q42" s="10">
        <f t="shared" si="27"/>
        <v>0</v>
      </c>
    </row>
    <row r="43" spans="2:17">
      <c r="B43" s="33" t="s">
        <v>33</v>
      </c>
      <c r="C43"/>
      <c r="D43" s="6" t="s">
        <v>6</v>
      </c>
      <c r="E43" s="56">
        <f>Assumptions!M29</f>
        <v>0</v>
      </c>
      <c r="F43" s="10">
        <f>SUM(Assumptions!D75:D84)</f>
        <v>7294566.9000000004</v>
      </c>
      <c r="G43" s="10">
        <f>F43+SUM(Assumptions!E75:E84)-SUM(Assumptions!E87:E96)</f>
        <v>9602483.7050000001</v>
      </c>
      <c r="H43" s="10">
        <f>G43+SUM(Assumptions!F75:F84)-SUM(Assumptions!F87:F96)</f>
        <v>12216990.761</v>
      </c>
      <c r="I43" s="10">
        <f>H43+SUM(Assumptions!G75:G84)-SUM(Assumptions!G87:G96)</f>
        <v>15127659.296000002</v>
      </c>
      <c r="J43" s="10">
        <f>I43+SUM(Assumptions!H75:H84)-SUM(Assumptions!H87:H96)</f>
        <v>12873425.511000002</v>
      </c>
      <c r="K43" s="10">
        <f>J43+SUM(Assumptions!I75:I84)-SUM(Assumptions!I87:I96)</f>
        <v>12036943.751000002</v>
      </c>
      <c r="L43" s="10">
        <f>K43+SUM(Assumptions!J75:J84)-SUM(Assumptions!J87:J96)</f>
        <v>8888676.4260000028</v>
      </c>
      <c r="M43" s="10">
        <f>L43+SUM(Assumptions!K75:K84)-SUM(Assumptions!K87:K96)</f>
        <v>5544006.1910000024</v>
      </c>
      <c r="N43" s="10">
        <f>M43+SUM(Assumptions!L75:L84)-SUM(Assumptions!L87:L96)</f>
        <v>2585318.146000002</v>
      </c>
      <c r="O43" s="10">
        <f>N43+SUM(Assumptions!M75:M84)-SUM(Assumptions!M87:M96)</f>
        <v>811888.34000000171</v>
      </c>
      <c r="P43" s="10">
        <f>O43+SUM(Assumptions!N75:N84)-SUM(Assumptions!N87:N96)</f>
        <v>1.5133991837501526E-9</v>
      </c>
      <c r="Q43" s="10">
        <f>P43+SUM(Assumptions!O75:O84)-SUM(Assumptions!O87:O96)</f>
        <v>1.5133991837501526E-9</v>
      </c>
    </row>
    <row r="44" spans="2:17">
      <c r="B44" s="41" t="s">
        <v>32</v>
      </c>
      <c r="C44" s="5"/>
      <c r="D44" s="36" t="s">
        <v>6</v>
      </c>
      <c r="E44" s="86">
        <f>Assumptions!M30</f>
        <v>2500000</v>
      </c>
      <c r="F44" s="35">
        <f>F127</f>
        <v>0</v>
      </c>
      <c r="G44" s="35">
        <f t="shared" ref="G44:Q44" si="28">G127</f>
        <v>867276.76301370002</v>
      </c>
      <c r="H44" s="35">
        <f t="shared" si="28"/>
        <v>2080940.4860902373</v>
      </c>
      <c r="I44" s="35">
        <f t="shared" si="28"/>
        <v>3313668.8040102758</v>
      </c>
      <c r="J44" s="35">
        <f t="shared" si="28"/>
        <v>11539820.729867071</v>
      </c>
      <c r="K44" s="35">
        <f t="shared" si="28"/>
        <v>12500000</v>
      </c>
      <c r="L44" s="35">
        <f t="shared" si="28"/>
        <v>12500000</v>
      </c>
      <c r="M44" s="35">
        <f t="shared" si="28"/>
        <v>12500000</v>
      </c>
      <c r="N44" s="35">
        <f t="shared" si="28"/>
        <v>12500000</v>
      </c>
      <c r="O44" s="35">
        <f t="shared" si="28"/>
        <v>11365737.303995503</v>
      </c>
      <c r="P44" s="35">
        <f t="shared" si="28"/>
        <v>4725196.679028186</v>
      </c>
      <c r="Q44" s="35">
        <f t="shared" si="28"/>
        <v>0</v>
      </c>
    </row>
    <row r="45" spans="2:17">
      <c r="B45" s="12" t="s">
        <v>28</v>
      </c>
      <c r="C45" s="12"/>
      <c r="D45" s="34" t="s">
        <v>6</v>
      </c>
      <c r="E45" s="32">
        <f t="shared" ref="E45:Q45" si="29">SUM(E42:E44)</f>
        <v>2500000</v>
      </c>
      <c r="F45" s="32">
        <f t="shared" si="29"/>
        <v>7294566.9000000004</v>
      </c>
      <c r="G45" s="32">
        <f t="shared" si="29"/>
        <v>10469760.4680137</v>
      </c>
      <c r="H45" s="32">
        <f t="shared" si="29"/>
        <v>14297931.247090237</v>
      </c>
      <c r="I45" s="32">
        <f t="shared" si="29"/>
        <v>18441328.100010276</v>
      </c>
      <c r="J45" s="32">
        <f t="shared" si="29"/>
        <v>24413246.240867071</v>
      </c>
      <c r="K45" s="32">
        <f t="shared" si="29"/>
        <v>24536943.751000002</v>
      </c>
      <c r="L45" s="32">
        <f t="shared" si="29"/>
        <v>21388676.426000003</v>
      </c>
      <c r="M45" s="32">
        <f t="shared" si="29"/>
        <v>18044006.191000003</v>
      </c>
      <c r="N45" s="32">
        <f t="shared" si="29"/>
        <v>15085318.146000002</v>
      </c>
      <c r="O45" s="32">
        <f t="shared" si="29"/>
        <v>12177625.643995505</v>
      </c>
      <c r="P45" s="32">
        <f t="shared" si="29"/>
        <v>4725196.6790281879</v>
      </c>
      <c r="Q45" s="32">
        <f t="shared" si="29"/>
        <v>1.5133991837501526E-9</v>
      </c>
    </row>
    <row r="46" spans="2:17">
      <c r="B46" s="41" t="s">
        <v>59</v>
      </c>
      <c r="C46" s="5"/>
      <c r="D46" s="36" t="s">
        <v>6</v>
      </c>
      <c r="E46" s="86">
        <f>Assumptions!M32</f>
        <v>0</v>
      </c>
      <c r="F46" s="35">
        <f>F105</f>
        <v>0</v>
      </c>
      <c r="G46" s="35">
        <f>G105</f>
        <v>16000000</v>
      </c>
      <c r="H46" s="35">
        <f>H105</f>
        <v>15733333.333333334</v>
      </c>
      <c r="I46" s="35">
        <f>I105</f>
        <v>15466666.666666668</v>
      </c>
      <c r="J46" s="35">
        <f>J105</f>
        <v>15200000.000000002</v>
      </c>
      <c r="K46" s="35">
        <f>K105</f>
        <v>14933333.333333336</v>
      </c>
      <c r="L46" s="35">
        <f>L105</f>
        <v>14666666.66666667</v>
      </c>
      <c r="M46" s="35">
        <f>M105</f>
        <v>14400000.000000004</v>
      </c>
      <c r="N46" s="35">
        <f>N105</f>
        <v>14133333.333333338</v>
      </c>
      <c r="O46" s="35">
        <f>O105</f>
        <v>13866666.666666672</v>
      </c>
      <c r="P46" s="35">
        <f>P105</f>
        <v>13600000.000000006</v>
      </c>
      <c r="Q46" s="35">
        <f>Q105</f>
        <v>13333333.33333334</v>
      </c>
    </row>
    <row r="47" spans="2:17">
      <c r="B47" s="12" t="s">
        <v>29</v>
      </c>
      <c r="C47" s="12"/>
      <c r="D47" s="34" t="s">
        <v>6</v>
      </c>
      <c r="E47" s="32">
        <f t="shared" ref="E47:Q47" si="30">SUM(E46:E46)</f>
        <v>0</v>
      </c>
      <c r="F47" s="32">
        <f t="shared" si="30"/>
        <v>0</v>
      </c>
      <c r="G47" s="32">
        <f t="shared" si="30"/>
        <v>16000000</v>
      </c>
      <c r="H47" s="32">
        <f t="shared" si="30"/>
        <v>15733333.333333334</v>
      </c>
      <c r="I47" s="32">
        <f t="shared" si="30"/>
        <v>15466666.666666668</v>
      </c>
      <c r="J47" s="32">
        <f t="shared" si="30"/>
        <v>15200000.000000002</v>
      </c>
      <c r="K47" s="32">
        <f t="shared" si="30"/>
        <v>14933333.333333336</v>
      </c>
      <c r="L47" s="32">
        <f t="shared" si="30"/>
        <v>14666666.66666667</v>
      </c>
      <c r="M47" s="32">
        <f t="shared" si="30"/>
        <v>14400000.000000004</v>
      </c>
      <c r="N47" s="32">
        <f t="shared" si="30"/>
        <v>14133333.333333338</v>
      </c>
      <c r="O47" s="32">
        <f t="shared" si="30"/>
        <v>13866666.666666672</v>
      </c>
      <c r="P47" s="32">
        <f t="shared" si="30"/>
        <v>13600000.000000006</v>
      </c>
      <c r="Q47" s="32">
        <f t="shared" si="30"/>
        <v>13333333.33333334</v>
      </c>
    </row>
    <row r="48" spans="2:17" ht="15.75" thickBot="1">
      <c r="B48" s="7" t="s">
        <v>35</v>
      </c>
      <c r="C48" s="7"/>
      <c r="D48" s="9" t="s">
        <v>6</v>
      </c>
      <c r="E48" s="11">
        <f>SUM(E45,E47)</f>
        <v>2500000</v>
      </c>
      <c r="F48" s="11">
        <f t="shared" ref="F48:Q48" si="31">SUM(F45,F47)</f>
        <v>7294566.9000000004</v>
      </c>
      <c r="G48" s="11">
        <f t="shared" si="31"/>
        <v>26469760.4680137</v>
      </c>
      <c r="H48" s="11">
        <f t="shared" si="31"/>
        <v>30031264.580423571</v>
      </c>
      <c r="I48" s="11">
        <f t="shared" si="31"/>
        <v>33907994.766676947</v>
      </c>
      <c r="J48" s="11">
        <f t="shared" si="31"/>
        <v>39613246.240867071</v>
      </c>
      <c r="K48" s="11">
        <f t="shared" si="31"/>
        <v>39470277.084333338</v>
      </c>
      <c r="L48" s="11">
        <f t="shared" si="31"/>
        <v>36055343.092666671</v>
      </c>
      <c r="M48" s="11">
        <f t="shared" si="31"/>
        <v>32444006.191000007</v>
      </c>
      <c r="N48" s="11">
        <f t="shared" si="31"/>
        <v>29218651.479333341</v>
      </c>
      <c r="O48" s="11">
        <f t="shared" si="31"/>
        <v>26044292.310662176</v>
      </c>
      <c r="P48" s="11">
        <f t="shared" si="31"/>
        <v>18325196.679028194</v>
      </c>
      <c r="Q48" s="11">
        <f t="shared" si="31"/>
        <v>13333333.333333341</v>
      </c>
    </row>
    <row r="49" spans="2:17" ht="15.75" thickTop="1">
      <c r="B49" s="12"/>
      <c r="C49" s="12"/>
      <c r="D49" s="34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</row>
    <row r="50" spans="2:17">
      <c r="B50" s="4" t="s">
        <v>90</v>
      </c>
      <c r="C50" s="4"/>
      <c r="D50" s="67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</row>
    <row r="51" spans="2:17">
      <c r="B51" s="33" t="s">
        <v>26</v>
      </c>
      <c r="C51"/>
      <c r="D51" s="6" t="s">
        <v>6</v>
      </c>
      <c r="E51" s="56">
        <f>Assumptions!M37</f>
        <v>1000000</v>
      </c>
      <c r="F51" s="10">
        <f>E51</f>
        <v>1000000</v>
      </c>
      <c r="G51" s="10">
        <f t="shared" ref="G51:Q51" si="32">F51</f>
        <v>1000000</v>
      </c>
      <c r="H51" s="10">
        <f t="shared" si="32"/>
        <v>1000000</v>
      </c>
      <c r="I51" s="10">
        <f t="shared" si="32"/>
        <v>1000000</v>
      </c>
      <c r="J51" s="10">
        <f t="shared" si="32"/>
        <v>1000000</v>
      </c>
      <c r="K51" s="10">
        <f t="shared" si="32"/>
        <v>1000000</v>
      </c>
      <c r="L51" s="10">
        <f t="shared" si="32"/>
        <v>1000000</v>
      </c>
      <c r="M51" s="10">
        <f t="shared" si="32"/>
        <v>1000000</v>
      </c>
      <c r="N51" s="10">
        <f t="shared" si="32"/>
        <v>1000000</v>
      </c>
      <c r="O51" s="10">
        <f t="shared" si="32"/>
        <v>1000000</v>
      </c>
      <c r="P51" s="10">
        <f t="shared" si="32"/>
        <v>1000000</v>
      </c>
      <c r="Q51" s="10">
        <f t="shared" si="32"/>
        <v>1000000</v>
      </c>
    </row>
    <row r="52" spans="2:17">
      <c r="B52" s="41" t="s">
        <v>27</v>
      </c>
      <c r="C52" s="5"/>
      <c r="D52" s="36" t="s">
        <v>6</v>
      </c>
      <c r="E52" s="86">
        <f>Assumptions!M38</f>
        <v>5100000</v>
      </c>
      <c r="F52" s="35">
        <f>E52+F25</f>
        <v>4493630.1369863013</v>
      </c>
      <c r="G52" s="35">
        <f t="shared" ref="G52:Q52" si="33">F52+G25</f>
        <v>4592980.2869863007</v>
      </c>
      <c r="H52" s="35">
        <f t="shared" si="33"/>
        <v>5105780.8772430979</v>
      </c>
      <c r="I52" s="35">
        <f t="shared" si="33"/>
        <v>6551611.19065639</v>
      </c>
      <c r="J52" s="35">
        <f t="shared" si="33"/>
        <v>9450729.9281329308</v>
      </c>
      <c r="K52" s="35">
        <f t="shared" si="33"/>
        <v>13161797.565602668</v>
      </c>
      <c r="L52" s="35">
        <f t="shared" si="33"/>
        <v>17574973.304643761</v>
      </c>
      <c r="M52" s="35">
        <f t="shared" si="33"/>
        <v>22326219.203730524</v>
      </c>
      <c r="N52" s="35">
        <f t="shared" si="33"/>
        <v>26416762.911493085</v>
      </c>
      <c r="O52" s="35">
        <f t="shared" si="33"/>
        <v>28469079.930671167</v>
      </c>
      <c r="P52" s="35">
        <f t="shared" si="33"/>
        <v>28874398.840971816</v>
      </c>
      <c r="Q52" s="35">
        <f t="shared" si="33"/>
        <v>27900149.25308644</v>
      </c>
    </row>
    <row r="53" spans="2:17">
      <c r="B53" s="12" t="s">
        <v>34</v>
      </c>
      <c r="C53" s="12"/>
      <c r="D53" s="34" t="s">
        <v>6</v>
      </c>
      <c r="E53" s="32">
        <f t="shared" ref="E53" si="34">SUM(E51:E52)</f>
        <v>6100000</v>
      </c>
      <c r="F53" s="32">
        <f t="shared" ref="F53" si="35">SUM(F51:F52)</f>
        <v>5493630.1369863013</v>
      </c>
      <c r="G53" s="32">
        <f t="shared" ref="G53" si="36">SUM(G51:G52)</f>
        <v>5592980.2869863007</v>
      </c>
      <c r="H53" s="32">
        <f t="shared" ref="H53" si="37">SUM(H51:H52)</f>
        <v>6105780.8772430979</v>
      </c>
      <c r="I53" s="32">
        <f t="shared" ref="I53" si="38">SUM(I51:I52)</f>
        <v>7551611.19065639</v>
      </c>
      <c r="J53" s="32">
        <f t="shared" ref="J53" si="39">SUM(J51:J52)</f>
        <v>10450729.928132931</v>
      </c>
      <c r="K53" s="32">
        <f t="shared" ref="K53" si="40">SUM(K51:K52)</f>
        <v>14161797.565602668</v>
      </c>
      <c r="L53" s="32">
        <f t="shared" ref="L53" si="41">SUM(L51:L52)</f>
        <v>18574973.304643761</v>
      </c>
      <c r="M53" s="32">
        <f t="shared" ref="M53" si="42">SUM(M51:M52)</f>
        <v>23326219.203730524</v>
      </c>
      <c r="N53" s="32">
        <f t="shared" ref="N53" si="43">SUM(N51:N52)</f>
        <v>27416762.911493085</v>
      </c>
      <c r="O53" s="32">
        <f t="shared" ref="O53" si="44">SUM(O51:O52)</f>
        <v>29469079.930671167</v>
      </c>
      <c r="P53" s="32">
        <f t="shared" ref="P53" si="45">SUM(P51:P52)</f>
        <v>29874398.840971816</v>
      </c>
      <c r="Q53" s="32">
        <f t="shared" ref="Q53" si="46">SUM(Q51:Q52)</f>
        <v>28900149.25308644</v>
      </c>
    </row>
    <row r="54" spans="2:17" ht="15.75" thickBot="1">
      <c r="B54" s="7" t="s">
        <v>25</v>
      </c>
      <c r="C54" s="8"/>
      <c r="D54" s="9" t="s">
        <v>6</v>
      </c>
      <c r="E54" s="11">
        <f>SUM(E48,E53)</f>
        <v>8600000</v>
      </c>
      <c r="F54" s="11">
        <f t="shared" ref="F54:Q54" si="47">SUM(F48,F53)</f>
        <v>12788197.036986303</v>
      </c>
      <c r="G54" s="11">
        <f t="shared" si="47"/>
        <v>32062740.755000003</v>
      </c>
      <c r="H54" s="11">
        <f t="shared" si="47"/>
        <v>36137045.457666665</v>
      </c>
      <c r="I54" s="11">
        <f t="shared" si="47"/>
        <v>41459605.957333341</v>
      </c>
      <c r="J54" s="11">
        <f t="shared" si="47"/>
        <v>50063976.169</v>
      </c>
      <c r="K54" s="11">
        <f t="shared" si="47"/>
        <v>53632074.649936005</v>
      </c>
      <c r="L54" s="11">
        <f t="shared" si="47"/>
        <v>54630316.397310436</v>
      </c>
      <c r="M54" s="11">
        <f t="shared" si="47"/>
        <v>55770225.394730531</v>
      </c>
      <c r="N54" s="11">
        <f t="shared" si="47"/>
        <v>56635414.390826426</v>
      </c>
      <c r="O54" s="11">
        <f t="shared" si="47"/>
        <v>55513372.241333343</v>
      </c>
      <c r="P54" s="11">
        <f t="shared" si="47"/>
        <v>48199595.520000011</v>
      </c>
      <c r="Q54" s="11">
        <f t="shared" si="47"/>
        <v>42233482.586419784</v>
      </c>
    </row>
    <row r="55" spans="2:17" ht="15.75" thickTop="1">
      <c r="B55" s="54" t="s">
        <v>69</v>
      </c>
      <c r="C55"/>
      <c r="D55"/>
      <c r="E55" s="55">
        <f>E54-E39</f>
        <v>0</v>
      </c>
      <c r="F55" s="55">
        <f t="shared" ref="F55:Q55" si="48">F54-F39</f>
        <v>0</v>
      </c>
      <c r="G55" s="55">
        <f t="shared" si="48"/>
        <v>0</v>
      </c>
      <c r="H55" s="55">
        <f t="shared" si="48"/>
        <v>0</v>
      </c>
      <c r="I55" s="55">
        <f t="shared" si="48"/>
        <v>0</v>
      </c>
      <c r="J55" s="55">
        <f t="shared" si="48"/>
        <v>0</v>
      </c>
      <c r="K55" s="55">
        <f t="shared" si="48"/>
        <v>0</v>
      </c>
      <c r="L55" s="55">
        <f t="shared" si="48"/>
        <v>0</v>
      </c>
      <c r="M55" s="55">
        <f t="shared" si="48"/>
        <v>0</v>
      </c>
      <c r="N55" s="55">
        <f t="shared" si="48"/>
        <v>0</v>
      </c>
      <c r="O55" s="55">
        <f t="shared" si="48"/>
        <v>0</v>
      </c>
      <c r="P55" s="55">
        <f t="shared" si="48"/>
        <v>0</v>
      </c>
      <c r="Q55" s="55">
        <f t="shared" si="48"/>
        <v>0</v>
      </c>
    </row>
    <row r="56" spans="2:17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2:17" ht="16.5" thickBot="1">
      <c r="B57" s="31" t="s">
        <v>37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2:17" ht="15.75" thickTop="1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2:17">
      <c r="B59" s="4" t="s">
        <v>123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2:17">
      <c r="B60" s="33" t="s">
        <v>124</v>
      </c>
      <c r="C60"/>
      <c r="D60"/>
      <c r="E60"/>
      <c r="F60" s="10">
        <f>F25</f>
        <v>-606369.8630136986</v>
      </c>
      <c r="G60" s="10">
        <f t="shared" ref="G60:Q60" si="49">G25</f>
        <v>99350.149999999441</v>
      </c>
      <c r="H60" s="10">
        <f t="shared" si="49"/>
        <v>512800.59025679698</v>
      </c>
      <c r="I60" s="10">
        <f t="shared" si="49"/>
        <v>1445830.3134132917</v>
      </c>
      <c r="J60" s="10">
        <f t="shared" si="49"/>
        <v>2899118.7374765407</v>
      </c>
      <c r="K60" s="10">
        <f t="shared" si="49"/>
        <v>3711067.6374697369</v>
      </c>
      <c r="L60" s="10">
        <f t="shared" si="49"/>
        <v>4413175.7390410947</v>
      </c>
      <c r="M60" s="10">
        <f t="shared" si="49"/>
        <v>4751245.8990867632</v>
      </c>
      <c r="N60" s="10">
        <f t="shared" si="49"/>
        <v>4090543.7077625608</v>
      </c>
      <c r="O60" s="10">
        <f t="shared" si="49"/>
        <v>2052317.0191780827</v>
      </c>
      <c r="P60" s="10">
        <f t="shared" si="49"/>
        <v>405318.9103006504</v>
      </c>
      <c r="Q60" s="10">
        <f t="shared" si="49"/>
        <v>-974249.5878853777</v>
      </c>
    </row>
    <row r="61" spans="2:17">
      <c r="B61" s="33" t="s">
        <v>66</v>
      </c>
      <c r="C61"/>
      <c r="D61"/>
      <c r="E61"/>
      <c r="F61" s="10">
        <f>-F22</f>
        <v>100000</v>
      </c>
      <c r="G61" s="10">
        <f t="shared" ref="G61:Q61" si="50">-G22</f>
        <v>100000</v>
      </c>
      <c r="H61" s="10">
        <f t="shared" si="50"/>
        <v>433333.33333333331</v>
      </c>
      <c r="I61" s="10">
        <f t="shared" si="50"/>
        <v>433333.33333333331</v>
      </c>
      <c r="J61" s="10">
        <f t="shared" si="50"/>
        <v>433333.33333333331</v>
      </c>
      <c r="K61" s="10">
        <f t="shared" si="50"/>
        <v>433333.33333333331</v>
      </c>
      <c r="L61" s="10">
        <f t="shared" si="50"/>
        <v>433333.33333333331</v>
      </c>
      <c r="M61" s="10">
        <f t="shared" si="50"/>
        <v>433333.33333333331</v>
      </c>
      <c r="N61" s="10">
        <f t="shared" si="50"/>
        <v>433333.33333333331</v>
      </c>
      <c r="O61" s="10">
        <f t="shared" si="50"/>
        <v>433333.33333333331</v>
      </c>
      <c r="P61" s="10">
        <f t="shared" si="50"/>
        <v>433333.33333333331</v>
      </c>
      <c r="Q61" s="10">
        <f t="shared" si="50"/>
        <v>433333.33333333331</v>
      </c>
    </row>
    <row r="62" spans="2:17">
      <c r="B62" s="33" t="s">
        <v>20</v>
      </c>
      <c r="C62"/>
      <c r="D62"/>
      <c r="E62"/>
      <c r="F62" s="10">
        <f>E32-F32</f>
        <v>0</v>
      </c>
      <c r="G62" s="10">
        <f t="shared" ref="G62:Q62" si="51">F32-G32</f>
        <v>0</v>
      </c>
      <c r="H62" s="10">
        <f t="shared" si="51"/>
        <v>0</v>
      </c>
      <c r="I62" s="10">
        <f t="shared" si="51"/>
        <v>0</v>
      </c>
      <c r="J62" s="10">
        <f t="shared" si="51"/>
        <v>0</v>
      </c>
      <c r="K62" s="10">
        <f t="shared" si="51"/>
        <v>0</v>
      </c>
      <c r="L62" s="10">
        <f t="shared" si="51"/>
        <v>0</v>
      </c>
      <c r="M62" s="10">
        <f t="shared" si="51"/>
        <v>0</v>
      </c>
      <c r="N62" s="10">
        <f t="shared" si="51"/>
        <v>0</v>
      </c>
      <c r="O62" s="10">
        <f t="shared" si="51"/>
        <v>0</v>
      </c>
      <c r="P62" s="10">
        <f t="shared" si="51"/>
        <v>0</v>
      </c>
      <c r="Q62" s="10">
        <f t="shared" si="51"/>
        <v>0</v>
      </c>
    </row>
    <row r="63" spans="2:17">
      <c r="B63" s="33" t="s">
        <v>98</v>
      </c>
      <c r="C63"/>
      <c r="D63"/>
      <c r="E63"/>
      <c r="F63" s="10">
        <f>E33-F33</f>
        <v>0</v>
      </c>
      <c r="G63" s="10">
        <f t="shared" ref="G63:Q63" si="52">F33-G33</f>
        <v>-3255769.56</v>
      </c>
      <c r="H63" s="10">
        <f t="shared" si="52"/>
        <v>-3645037.1920000003</v>
      </c>
      <c r="I63" s="10">
        <f t="shared" si="52"/>
        <v>-4349593.7679999992</v>
      </c>
      <c r="J63" s="10">
        <f t="shared" si="52"/>
        <v>-6783469.7600000016</v>
      </c>
      <c r="K63" s="10">
        <f t="shared" si="52"/>
        <v>-3865643</v>
      </c>
      <c r="L63" s="10">
        <f t="shared" si="52"/>
        <v>-3286625.3200000003</v>
      </c>
      <c r="M63" s="10">
        <f t="shared" si="52"/>
        <v>-1571223.2800000012</v>
      </c>
      <c r="N63" s="10">
        <f t="shared" si="52"/>
        <v>3087857.5199999996</v>
      </c>
      <c r="O63" s="10">
        <f t="shared" si="52"/>
        <v>9482065.9120000005</v>
      </c>
      <c r="P63" s="10">
        <f t="shared" si="52"/>
        <v>7692331.7280000001</v>
      </c>
      <c r="Q63" s="10">
        <f t="shared" si="52"/>
        <v>6495106.7200000025</v>
      </c>
    </row>
    <row r="64" spans="2:17">
      <c r="B64" s="33" t="s">
        <v>30</v>
      </c>
      <c r="C64"/>
      <c r="D64"/>
      <c r="E64"/>
      <c r="F64" s="10">
        <f>E34-F34</f>
        <v>0</v>
      </c>
      <c r="G64" s="10">
        <f t="shared" ref="G64:Q64" si="53">F34-G34</f>
        <v>-406971.1950000003</v>
      </c>
      <c r="H64" s="10">
        <f t="shared" si="53"/>
        <v>-862600.84400000051</v>
      </c>
      <c r="I64" s="10">
        <f t="shared" si="53"/>
        <v>-1406300.0649999995</v>
      </c>
      <c r="J64" s="10">
        <f t="shared" si="53"/>
        <v>-2254233.7850000001</v>
      </c>
      <c r="K64" s="10">
        <f t="shared" si="53"/>
        <v>-237439.16000000015</v>
      </c>
      <c r="L64" s="10">
        <f t="shared" si="53"/>
        <v>-3148267.3250000011</v>
      </c>
      <c r="M64" s="10">
        <f t="shared" si="53"/>
        <v>-3344670.2350000013</v>
      </c>
      <c r="N64" s="10">
        <f t="shared" si="53"/>
        <v>-2958688.0449999999</v>
      </c>
      <c r="O64" s="10">
        <f t="shared" si="53"/>
        <v>-1773429.8060000017</v>
      </c>
      <c r="P64" s="10">
        <f t="shared" si="53"/>
        <v>-811888.33999999985</v>
      </c>
      <c r="Q64" s="10">
        <f t="shared" si="53"/>
        <v>0</v>
      </c>
    </row>
    <row r="65" spans="2:17">
      <c r="B65" s="33" t="s">
        <v>125</v>
      </c>
      <c r="C65"/>
      <c r="D65"/>
      <c r="E65"/>
      <c r="F65" s="10">
        <f>F42-E42</f>
        <v>0</v>
      </c>
      <c r="G65" s="10">
        <f t="shared" ref="G65:Q65" si="54">G42-F42</f>
        <v>0</v>
      </c>
      <c r="H65" s="10">
        <f t="shared" si="54"/>
        <v>0</v>
      </c>
      <c r="I65" s="10">
        <f t="shared" si="54"/>
        <v>0</v>
      </c>
      <c r="J65" s="10">
        <f t="shared" si="54"/>
        <v>0</v>
      </c>
      <c r="K65" s="10">
        <f t="shared" si="54"/>
        <v>0</v>
      </c>
      <c r="L65" s="10">
        <f t="shared" si="54"/>
        <v>0</v>
      </c>
      <c r="M65" s="10">
        <f t="shared" si="54"/>
        <v>0</v>
      </c>
      <c r="N65" s="10">
        <f t="shared" si="54"/>
        <v>0</v>
      </c>
      <c r="O65" s="10">
        <f t="shared" si="54"/>
        <v>0</v>
      </c>
      <c r="P65" s="10">
        <f t="shared" si="54"/>
        <v>0</v>
      </c>
      <c r="Q65" s="10">
        <f t="shared" si="54"/>
        <v>0</v>
      </c>
    </row>
    <row r="66" spans="2:17">
      <c r="B66" s="33" t="s">
        <v>33</v>
      </c>
      <c r="C66"/>
      <c r="D66"/>
      <c r="E66"/>
      <c r="F66" s="10">
        <f>F43-E43</f>
        <v>7294566.9000000004</v>
      </c>
      <c r="G66" s="10">
        <f t="shared" ref="G66:Q66" si="55">G43-F43</f>
        <v>2307916.8049999997</v>
      </c>
      <c r="H66" s="10">
        <f t="shared" si="55"/>
        <v>2614507.0559999999</v>
      </c>
      <c r="I66" s="10">
        <f t="shared" si="55"/>
        <v>2910668.535000002</v>
      </c>
      <c r="J66" s="10">
        <f t="shared" si="55"/>
        <v>-2254233.7850000001</v>
      </c>
      <c r="K66" s="10">
        <f t="shared" si="55"/>
        <v>-836481.75999999978</v>
      </c>
      <c r="L66" s="10">
        <f t="shared" si="55"/>
        <v>-3148267.3249999993</v>
      </c>
      <c r="M66" s="10">
        <f t="shared" si="55"/>
        <v>-3344670.2350000003</v>
      </c>
      <c r="N66" s="10">
        <f t="shared" si="55"/>
        <v>-2958688.0450000004</v>
      </c>
      <c r="O66" s="10">
        <f t="shared" si="55"/>
        <v>-1773429.8060000003</v>
      </c>
      <c r="P66" s="10">
        <f t="shared" si="55"/>
        <v>-811888.3400000002</v>
      </c>
      <c r="Q66" s="10">
        <f t="shared" si="55"/>
        <v>0</v>
      </c>
    </row>
    <row r="67" spans="2:17" ht="15.75" thickBot="1">
      <c r="B67" s="7" t="s">
        <v>126</v>
      </c>
      <c r="C67" s="8"/>
      <c r="D67" s="8"/>
      <c r="E67" s="8"/>
      <c r="F67" s="11">
        <f>SUM(F60:F66)</f>
        <v>6788197.0369863017</v>
      </c>
      <c r="G67" s="11">
        <f>SUM(G60:G66)</f>
        <v>-1155473.8000000012</v>
      </c>
      <c r="H67" s="11">
        <f>SUM(H60:H66)</f>
        <v>-946997.05640987074</v>
      </c>
      <c r="I67" s="11">
        <f>SUM(I60:I66)</f>
        <v>-966061.6512533715</v>
      </c>
      <c r="J67" s="11">
        <f>SUM(J60:J66)</f>
        <v>-7959485.2591901273</v>
      </c>
      <c r="K67" s="11">
        <f>SUM(K60:K66)</f>
        <v>-795162.94919692958</v>
      </c>
      <c r="L67" s="11">
        <f>SUM(L60:L66)</f>
        <v>-4736650.897625573</v>
      </c>
      <c r="M67" s="11">
        <f>SUM(M60:M66)</f>
        <v>-3075984.5175799066</v>
      </c>
      <c r="N67" s="11">
        <f>SUM(N60:N66)</f>
        <v>1694358.4710958931</v>
      </c>
      <c r="O67" s="11">
        <f>SUM(O60:O66)</f>
        <v>8420856.652511416</v>
      </c>
      <c r="P67" s="11">
        <f>SUM(P60:P66)</f>
        <v>6907207.2916339841</v>
      </c>
      <c r="Q67" s="11">
        <f>SUM(Q60:Q66)</f>
        <v>5954190.4654479586</v>
      </c>
    </row>
    <row r="68" spans="2:17" ht="15.75" thickTop="1">
      <c r="B68" s="122"/>
      <c r="C68" s="117"/>
      <c r="D68" s="117"/>
      <c r="E68" s="117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</row>
    <row r="69" spans="2:17">
      <c r="B69" s="114" t="s">
        <v>127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2:17">
      <c r="B70" s="33" t="s">
        <v>113</v>
      </c>
      <c r="C70"/>
      <c r="D70"/>
      <c r="E70"/>
      <c r="F70"/>
      <c r="G70" s="112">
        <f>-(G88-G105)</f>
        <v>-4000000</v>
      </c>
      <c r="H70"/>
      <c r="I70"/>
      <c r="J70"/>
      <c r="K70"/>
      <c r="L70"/>
      <c r="M70"/>
      <c r="N70"/>
      <c r="O70"/>
      <c r="P70"/>
      <c r="Q70"/>
    </row>
    <row r="71" spans="2:17" ht="15.75" thickBot="1">
      <c r="B71" s="7" t="s">
        <v>128</v>
      </c>
      <c r="C71" s="8"/>
      <c r="D71" s="8"/>
      <c r="E71" s="8"/>
      <c r="F71" s="7">
        <f>SUM(F70)</f>
        <v>0</v>
      </c>
      <c r="G71" s="133">
        <f t="shared" ref="G71:Q71" si="56">SUM(G70)</f>
        <v>-4000000</v>
      </c>
      <c r="H71" s="7">
        <f t="shared" si="56"/>
        <v>0</v>
      </c>
      <c r="I71" s="7">
        <f t="shared" si="56"/>
        <v>0</v>
      </c>
      <c r="J71" s="7">
        <f t="shared" si="56"/>
        <v>0</v>
      </c>
      <c r="K71" s="7">
        <f t="shared" si="56"/>
        <v>0</v>
      </c>
      <c r="L71" s="7">
        <f t="shared" si="56"/>
        <v>0</v>
      </c>
      <c r="M71" s="7">
        <f t="shared" si="56"/>
        <v>0</v>
      </c>
      <c r="N71" s="7">
        <f t="shared" si="56"/>
        <v>0</v>
      </c>
      <c r="O71" s="7">
        <f t="shared" si="56"/>
        <v>0</v>
      </c>
      <c r="P71" s="7">
        <f t="shared" si="56"/>
        <v>0</v>
      </c>
      <c r="Q71" s="7">
        <f t="shared" si="56"/>
        <v>0</v>
      </c>
    </row>
    <row r="72" spans="2:17" ht="15.75" thickTop="1">
      <c r="B72" s="122"/>
      <c r="C72" s="117"/>
      <c r="D72" s="117"/>
      <c r="E72" s="117"/>
      <c r="F72" s="122"/>
      <c r="G72" s="135"/>
      <c r="H72" s="122"/>
      <c r="I72" s="122"/>
      <c r="J72" s="122"/>
      <c r="K72" s="122"/>
      <c r="L72" s="122"/>
      <c r="M72" s="122"/>
      <c r="N72" s="122"/>
      <c r="O72" s="122"/>
      <c r="P72" s="122"/>
      <c r="Q72" s="122"/>
    </row>
    <row r="73" spans="2:17">
      <c r="B73" s="12" t="s">
        <v>137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2:17">
      <c r="B74" s="33" t="s">
        <v>139</v>
      </c>
      <c r="C74"/>
      <c r="D74"/>
      <c r="E74"/>
      <c r="F74" s="113">
        <f>-F104</f>
        <v>0</v>
      </c>
      <c r="G74" s="113">
        <f>-G104</f>
        <v>0</v>
      </c>
      <c r="H74" s="113">
        <f>-H104</f>
        <v>-266666.66666666669</v>
      </c>
      <c r="I74" s="113">
        <f>-I104</f>
        <v>-266666.66666666669</v>
      </c>
      <c r="J74" s="113">
        <f>-J104</f>
        <v>-266666.66666666669</v>
      </c>
      <c r="K74" s="113">
        <f>-K104</f>
        <v>-266666.66666666669</v>
      </c>
      <c r="L74" s="113">
        <f>-L104</f>
        <v>-266666.66666666669</v>
      </c>
      <c r="M74" s="113">
        <f>-M104</f>
        <v>-266666.66666666669</v>
      </c>
      <c r="N74" s="113">
        <f>-N104</f>
        <v>-266666.66666666669</v>
      </c>
      <c r="O74" s="113">
        <f>-O104</f>
        <v>-266666.66666666669</v>
      </c>
      <c r="P74" s="113">
        <f>-P104</f>
        <v>-266666.66666666669</v>
      </c>
      <c r="Q74" s="113">
        <f>-Q104</f>
        <v>-266666.66666666669</v>
      </c>
    </row>
    <row r="75" spans="2:17">
      <c r="B75" s="116" t="s">
        <v>133</v>
      </c>
      <c r="C75" s="115"/>
      <c r="D75" s="115"/>
      <c r="E75" s="115"/>
      <c r="F75" s="134">
        <f>SUM(F119:F120)</f>
        <v>-2500000</v>
      </c>
      <c r="G75" s="134">
        <f t="shared" ref="G75:Q75" si="57">SUM(G119:G120)</f>
        <v>867276.76301369956</v>
      </c>
      <c r="H75" s="134">
        <f t="shared" si="57"/>
        <v>1213663.7230765375</v>
      </c>
      <c r="I75" s="134">
        <f t="shared" si="57"/>
        <v>1232728.3179200382</v>
      </c>
      <c r="J75" s="134">
        <f t="shared" si="57"/>
        <v>8226151.9258567942</v>
      </c>
      <c r="K75" s="134">
        <f t="shared" si="57"/>
        <v>960179.27013293002</v>
      </c>
      <c r="L75" s="134">
        <f t="shared" si="57"/>
        <v>0</v>
      </c>
      <c r="M75" s="134">
        <f t="shared" si="57"/>
        <v>0</v>
      </c>
      <c r="N75" s="134">
        <f t="shared" si="57"/>
        <v>0</v>
      </c>
      <c r="O75" s="134">
        <f t="shared" si="57"/>
        <v>-1134262.6960044971</v>
      </c>
      <c r="P75" s="134">
        <f t="shared" si="57"/>
        <v>-6640540.6249673171</v>
      </c>
      <c r="Q75" s="134">
        <f t="shared" si="57"/>
        <v>-4725196.679028186</v>
      </c>
    </row>
    <row r="76" spans="2:17" ht="15.75" thickBot="1">
      <c r="B76" s="136" t="s">
        <v>138</v>
      </c>
      <c r="C76" s="8"/>
      <c r="D76" s="8"/>
      <c r="E76" s="8"/>
      <c r="F76" s="138">
        <f>SUM(F74:F75)</f>
        <v>-2500000</v>
      </c>
      <c r="G76" s="138">
        <f>SUM(G74:G75)</f>
        <v>867276.76301369956</v>
      </c>
      <c r="H76" s="138">
        <f>SUM(H74:H75)</f>
        <v>946997.05640987074</v>
      </c>
      <c r="I76" s="138">
        <f>SUM(I74:I75)</f>
        <v>966061.6512533715</v>
      </c>
      <c r="J76" s="138">
        <f>SUM(J74:J75)</f>
        <v>7959485.2591901273</v>
      </c>
      <c r="K76" s="138">
        <f>SUM(K74:K75)</f>
        <v>693512.60346626327</v>
      </c>
      <c r="L76" s="138">
        <f>SUM(L74:L75)</f>
        <v>-266666.66666666669</v>
      </c>
      <c r="M76" s="138">
        <f>SUM(M74:M75)</f>
        <v>-266666.66666666669</v>
      </c>
      <c r="N76" s="138">
        <f>SUM(N74:N75)</f>
        <v>-266666.66666666669</v>
      </c>
      <c r="O76" s="138">
        <f>SUM(O74:O75)</f>
        <v>-1400929.3626711639</v>
      </c>
      <c r="P76" s="138">
        <f>SUM(P74:P75)</f>
        <v>-6907207.2916339841</v>
      </c>
      <c r="Q76" s="138">
        <f>SUM(Q74:Q75)</f>
        <v>-4991863.345694853</v>
      </c>
    </row>
    <row r="77" spans="2:17" ht="15.75" thickTop="1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2:17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2:17">
      <c r="B79" t="s">
        <v>140</v>
      </c>
      <c r="C79"/>
      <c r="D79"/>
      <c r="E79"/>
      <c r="F79" s="10">
        <f>E31</f>
        <v>0</v>
      </c>
      <c r="G79" s="10">
        <f>F81</f>
        <v>4288197.0369863017</v>
      </c>
      <c r="H79" s="10">
        <f t="shared" ref="H79:Q79" si="58">G81</f>
        <v>0</v>
      </c>
      <c r="I79" s="10">
        <f t="shared" si="58"/>
        <v>0</v>
      </c>
      <c r="J79" s="10">
        <f t="shared" si="58"/>
        <v>0</v>
      </c>
      <c r="K79" s="10">
        <f t="shared" si="58"/>
        <v>0</v>
      </c>
      <c r="L79" s="10">
        <f t="shared" si="58"/>
        <v>-101650.3457306663</v>
      </c>
      <c r="M79" s="10">
        <f t="shared" si="58"/>
        <v>-5104967.910022906</v>
      </c>
      <c r="N79" s="10">
        <f t="shared" si="58"/>
        <v>-8447619.0942694787</v>
      </c>
      <c r="O79" s="10">
        <f t="shared" si="58"/>
        <v>-7019927.2898402521</v>
      </c>
      <c r="P79" s="10">
        <f t="shared" si="58"/>
        <v>0</v>
      </c>
      <c r="Q79" s="10">
        <f t="shared" si="58"/>
        <v>0</v>
      </c>
    </row>
    <row r="80" spans="2:17">
      <c r="B80" s="122" t="s">
        <v>131</v>
      </c>
      <c r="C80" s="117"/>
      <c r="D80" s="117"/>
      <c r="E80" s="117"/>
      <c r="F80" s="137">
        <f>F67+F71+F76</f>
        <v>4288197.0369863017</v>
      </c>
      <c r="G80" s="137">
        <f>G67+G71+G76</f>
        <v>-4288197.0369863007</v>
      </c>
      <c r="H80" s="137">
        <f>H67+H71+H76</f>
        <v>0</v>
      </c>
      <c r="I80" s="137">
        <f>I67+I71+I76</f>
        <v>0</v>
      </c>
      <c r="J80" s="137">
        <f>J67+J71+J76</f>
        <v>0</v>
      </c>
      <c r="K80" s="137">
        <f>K67+K71+K76</f>
        <v>-101650.3457306663</v>
      </c>
      <c r="L80" s="137">
        <f>L67+L71+L76</f>
        <v>-5003317.56429224</v>
      </c>
      <c r="M80" s="137">
        <f>M67+M71+M76</f>
        <v>-3342651.1842465731</v>
      </c>
      <c r="N80" s="137">
        <f>N67+N71+N76</f>
        <v>1427691.8044292263</v>
      </c>
      <c r="O80" s="137">
        <f>O67+O71+O76</f>
        <v>7019927.2898402521</v>
      </c>
      <c r="P80" s="137">
        <f>P67+P71+P76</f>
        <v>0</v>
      </c>
      <c r="Q80" s="137">
        <f>Q67+Q71+Q76</f>
        <v>962327.11975310557</v>
      </c>
    </row>
    <row r="81" spans="2:17">
      <c r="B81" t="s">
        <v>132</v>
      </c>
      <c r="C81"/>
      <c r="D81"/>
      <c r="E81"/>
      <c r="F81" s="10">
        <f>SUM(F79:F80)</f>
        <v>4288197.0369863017</v>
      </c>
      <c r="G81" s="10">
        <f t="shared" ref="G81:Q81" si="59">SUM(G79:G80)</f>
        <v>0</v>
      </c>
      <c r="H81" s="10">
        <f t="shared" si="59"/>
        <v>0</v>
      </c>
      <c r="I81" s="10">
        <f t="shared" si="59"/>
        <v>0</v>
      </c>
      <c r="J81" s="10">
        <f t="shared" si="59"/>
        <v>0</v>
      </c>
      <c r="K81" s="10">
        <f t="shared" si="59"/>
        <v>-101650.3457306663</v>
      </c>
      <c r="L81" s="10">
        <f t="shared" si="59"/>
        <v>-5104967.910022906</v>
      </c>
      <c r="M81" s="10">
        <f t="shared" si="59"/>
        <v>-8447619.0942694787</v>
      </c>
      <c r="N81" s="10">
        <f t="shared" si="59"/>
        <v>-7019927.2898402521</v>
      </c>
      <c r="O81" s="10">
        <f t="shared" si="59"/>
        <v>0</v>
      </c>
      <c r="P81" s="10">
        <f t="shared" si="59"/>
        <v>0</v>
      </c>
      <c r="Q81" s="10">
        <f t="shared" si="59"/>
        <v>962327.11975310557</v>
      </c>
    </row>
    <row r="82" spans="2:17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2:17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2:17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2:17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2:17" ht="16.5" thickBot="1">
      <c r="B86" s="31" t="s">
        <v>38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</row>
    <row r="87" spans="2:17" ht="15.75" thickTop="1">
      <c r="B87" s="12" t="s">
        <v>72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2:17">
      <c r="B88" s="33" t="s">
        <v>113</v>
      </c>
      <c r="C88"/>
      <c r="D88"/>
      <c r="E88"/>
      <c r="F88"/>
      <c r="G88" s="111">
        <f>IF(SUM(Assumptions!G49:G58)&lt;=Assumptions!L9,Assumptions!M9,IF(SUM(Assumptions!G49:G58)&lt;=Assumptions!L10,Assumptions!M10,IF(SUM(Assumptions!G49:G58)&lt;=Assumptions!L11,Assumptions!M11,Assumptions!M12)))</f>
        <v>20000000</v>
      </c>
      <c r="H88" s="112">
        <f>G90</f>
        <v>20000000</v>
      </c>
      <c r="I88" s="112">
        <f t="shared" ref="I88:Q88" si="60">H90</f>
        <v>19666666.666666668</v>
      </c>
      <c r="J88" s="112">
        <f t="shared" si="60"/>
        <v>19333333.333333336</v>
      </c>
      <c r="K88" s="112">
        <f t="shared" si="60"/>
        <v>19000000.000000004</v>
      </c>
      <c r="L88" s="112">
        <f t="shared" si="60"/>
        <v>18666666.666666672</v>
      </c>
      <c r="M88" s="112">
        <f t="shared" si="60"/>
        <v>18333333.33333334</v>
      </c>
      <c r="N88" s="112">
        <f t="shared" si="60"/>
        <v>18000000.000000007</v>
      </c>
      <c r="O88" s="112">
        <f t="shared" si="60"/>
        <v>17666666.666666675</v>
      </c>
      <c r="P88" s="112">
        <f t="shared" si="60"/>
        <v>17333333.333333343</v>
      </c>
      <c r="Q88" s="112">
        <f t="shared" si="60"/>
        <v>17000000.000000011</v>
      </c>
    </row>
    <row r="89" spans="2:17">
      <c r="B89" s="33" t="s">
        <v>66</v>
      </c>
      <c r="C89"/>
      <c r="D89"/>
      <c r="E89"/>
      <c r="F89"/>
      <c r="G89"/>
      <c r="H89" s="113">
        <f>H88/(Assumptions!D21*12)</f>
        <v>333333.33333333331</v>
      </c>
      <c r="I89" s="113">
        <f>H89</f>
        <v>333333.33333333331</v>
      </c>
      <c r="J89" s="113">
        <f t="shared" ref="J89:Q89" si="61">I89</f>
        <v>333333.33333333331</v>
      </c>
      <c r="K89" s="113">
        <f t="shared" si="61"/>
        <v>333333.33333333331</v>
      </c>
      <c r="L89" s="113">
        <f t="shared" si="61"/>
        <v>333333.33333333331</v>
      </c>
      <c r="M89" s="113">
        <f t="shared" si="61"/>
        <v>333333.33333333331</v>
      </c>
      <c r="N89" s="113">
        <f t="shared" si="61"/>
        <v>333333.33333333331</v>
      </c>
      <c r="O89" s="113">
        <f t="shared" si="61"/>
        <v>333333.33333333331</v>
      </c>
      <c r="P89" s="113">
        <f t="shared" si="61"/>
        <v>333333.33333333331</v>
      </c>
      <c r="Q89" s="113">
        <f t="shared" si="61"/>
        <v>333333.33333333331</v>
      </c>
    </row>
    <row r="90" spans="2:17">
      <c r="B90" t="s">
        <v>114</v>
      </c>
      <c r="C90"/>
      <c r="D90"/>
      <c r="E90"/>
      <c r="F90"/>
      <c r="G90" s="112">
        <f>G88</f>
        <v>20000000</v>
      </c>
      <c r="H90" s="113">
        <f>H88-H89</f>
        <v>19666666.666666668</v>
      </c>
      <c r="I90" s="113">
        <f t="shared" ref="I90:Q90" si="62">I88-I89</f>
        <v>19333333.333333336</v>
      </c>
      <c r="J90" s="113">
        <f t="shared" si="62"/>
        <v>19000000.000000004</v>
      </c>
      <c r="K90" s="113">
        <f t="shared" si="62"/>
        <v>18666666.666666672</v>
      </c>
      <c r="L90" s="113">
        <f t="shared" si="62"/>
        <v>18333333.33333334</v>
      </c>
      <c r="M90" s="113">
        <f t="shared" si="62"/>
        <v>18000000.000000007</v>
      </c>
      <c r="N90" s="113">
        <f t="shared" si="62"/>
        <v>17666666.666666675</v>
      </c>
      <c r="O90" s="113">
        <f t="shared" si="62"/>
        <v>17333333.333333343</v>
      </c>
      <c r="P90" s="113">
        <f t="shared" si="62"/>
        <v>17000000.000000011</v>
      </c>
      <c r="Q90" s="113">
        <f t="shared" si="62"/>
        <v>16666666.666666677</v>
      </c>
    </row>
    <row r="91" spans="2:17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2:17">
      <c r="B92" s="12" t="s">
        <v>71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2:17">
      <c r="B93" t="s">
        <v>115</v>
      </c>
      <c r="C93"/>
      <c r="D93"/>
      <c r="E93"/>
      <c r="F93" s="10">
        <f>E36</f>
        <v>3600000</v>
      </c>
      <c r="G93" s="10">
        <f>F95</f>
        <v>3500000</v>
      </c>
      <c r="H93" s="10">
        <f t="shared" ref="H93:Q93" si="63">G95</f>
        <v>3400000</v>
      </c>
      <c r="I93" s="10">
        <f t="shared" si="63"/>
        <v>3300000</v>
      </c>
      <c r="J93" s="10">
        <f t="shared" si="63"/>
        <v>3200000</v>
      </c>
      <c r="K93" s="10">
        <f t="shared" si="63"/>
        <v>3100000</v>
      </c>
      <c r="L93" s="10">
        <f t="shared" si="63"/>
        <v>3000000</v>
      </c>
      <c r="M93" s="10">
        <f t="shared" si="63"/>
        <v>2900000</v>
      </c>
      <c r="N93" s="10">
        <f t="shared" si="63"/>
        <v>2800000</v>
      </c>
      <c r="O93" s="10">
        <f t="shared" si="63"/>
        <v>2700000</v>
      </c>
      <c r="P93" s="10">
        <f t="shared" si="63"/>
        <v>2600000</v>
      </c>
      <c r="Q93" s="10">
        <f t="shared" si="63"/>
        <v>2500000</v>
      </c>
    </row>
    <row r="94" spans="2:17">
      <c r="B94" s="33" t="s">
        <v>66</v>
      </c>
      <c r="C94"/>
      <c r="D94"/>
      <c r="E94"/>
      <c r="F94" s="10">
        <f>F93/(Assumptions!D20*12)</f>
        <v>100000</v>
      </c>
      <c r="G94" s="10">
        <f>F94</f>
        <v>100000</v>
      </c>
      <c r="H94" s="10">
        <f t="shared" ref="H94:Q94" si="64">G94</f>
        <v>100000</v>
      </c>
      <c r="I94" s="10">
        <f t="shared" si="64"/>
        <v>100000</v>
      </c>
      <c r="J94" s="10">
        <f t="shared" si="64"/>
        <v>100000</v>
      </c>
      <c r="K94" s="10">
        <f t="shared" si="64"/>
        <v>100000</v>
      </c>
      <c r="L94" s="10">
        <f t="shared" si="64"/>
        <v>100000</v>
      </c>
      <c r="M94" s="10">
        <f t="shared" si="64"/>
        <v>100000</v>
      </c>
      <c r="N94" s="10">
        <f t="shared" si="64"/>
        <v>100000</v>
      </c>
      <c r="O94" s="10">
        <f t="shared" si="64"/>
        <v>100000</v>
      </c>
      <c r="P94" s="10">
        <f t="shared" si="64"/>
        <v>100000</v>
      </c>
      <c r="Q94" s="10">
        <f t="shared" si="64"/>
        <v>100000</v>
      </c>
    </row>
    <row r="95" spans="2:17">
      <c r="B95" t="s">
        <v>116</v>
      </c>
      <c r="C95"/>
      <c r="D95"/>
      <c r="E95"/>
      <c r="F95" s="10">
        <f>F93-F94</f>
        <v>3500000</v>
      </c>
      <c r="G95" s="10">
        <f t="shared" ref="G95:Q95" si="65">G93-G94</f>
        <v>3400000</v>
      </c>
      <c r="H95" s="10">
        <f t="shared" si="65"/>
        <v>3300000</v>
      </c>
      <c r="I95" s="10">
        <f t="shared" si="65"/>
        <v>3200000</v>
      </c>
      <c r="J95" s="10">
        <f t="shared" si="65"/>
        <v>3100000</v>
      </c>
      <c r="K95" s="10">
        <f t="shared" si="65"/>
        <v>3000000</v>
      </c>
      <c r="L95" s="10">
        <f t="shared" si="65"/>
        <v>2900000</v>
      </c>
      <c r="M95" s="10">
        <f t="shared" si="65"/>
        <v>2800000</v>
      </c>
      <c r="N95" s="10">
        <f t="shared" si="65"/>
        <v>2700000</v>
      </c>
      <c r="O95" s="10">
        <f t="shared" si="65"/>
        <v>2600000</v>
      </c>
      <c r="P95" s="10">
        <f t="shared" si="65"/>
        <v>2500000</v>
      </c>
      <c r="Q95" s="10">
        <f t="shared" si="65"/>
        <v>2400000</v>
      </c>
    </row>
    <row r="96" spans="2:17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2:17">
      <c r="B97" s="12" t="s">
        <v>117</v>
      </c>
      <c r="C97"/>
      <c r="D97"/>
      <c r="E97"/>
      <c r="F97" s="10">
        <f>F95+F90</f>
        <v>3500000</v>
      </c>
      <c r="G97" s="10">
        <f t="shared" ref="G97:Q97" si="66">G95+G90</f>
        <v>23400000</v>
      </c>
      <c r="H97" s="10">
        <f t="shared" si="66"/>
        <v>22966666.666666668</v>
      </c>
      <c r="I97" s="10">
        <f t="shared" si="66"/>
        <v>22533333.333333336</v>
      </c>
      <c r="J97" s="10">
        <f t="shared" si="66"/>
        <v>22100000.000000004</v>
      </c>
      <c r="K97" s="10">
        <f t="shared" si="66"/>
        <v>21666666.666666672</v>
      </c>
      <c r="L97" s="10">
        <f t="shared" si="66"/>
        <v>21233333.33333334</v>
      </c>
      <c r="M97" s="10">
        <f t="shared" si="66"/>
        <v>20800000.000000007</v>
      </c>
      <c r="N97" s="10">
        <f t="shared" si="66"/>
        <v>20366666.666666675</v>
      </c>
      <c r="O97" s="10">
        <f t="shared" si="66"/>
        <v>19933333.333333343</v>
      </c>
      <c r="P97" s="10">
        <f t="shared" si="66"/>
        <v>19500000.000000011</v>
      </c>
      <c r="Q97" s="10">
        <f t="shared" si="66"/>
        <v>19066666.666666679</v>
      </c>
    </row>
    <row r="98" spans="2:17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2:17">
      <c r="B99" s="12" t="s">
        <v>118</v>
      </c>
      <c r="C99"/>
      <c r="D99"/>
      <c r="E99"/>
      <c r="F99" s="10">
        <f>F94+F89</f>
        <v>100000</v>
      </c>
      <c r="G99" s="10">
        <f t="shared" ref="G99:Q99" si="67">G94+G89</f>
        <v>100000</v>
      </c>
      <c r="H99" s="10">
        <f t="shared" si="67"/>
        <v>433333.33333333331</v>
      </c>
      <c r="I99" s="10">
        <f t="shared" si="67"/>
        <v>433333.33333333331</v>
      </c>
      <c r="J99" s="10">
        <f t="shared" si="67"/>
        <v>433333.33333333331</v>
      </c>
      <c r="K99" s="10">
        <f t="shared" si="67"/>
        <v>433333.33333333331</v>
      </c>
      <c r="L99" s="10">
        <f t="shared" si="67"/>
        <v>433333.33333333331</v>
      </c>
      <c r="M99" s="10">
        <f t="shared" si="67"/>
        <v>433333.33333333331</v>
      </c>
      <c r="N99" s="10">
        <f t="shared" si="67"/>
        <v>433333.33333333331</v>
      </c>
      <c r="O99" s="10">
        <f t="shared" si="67"/>
        <v>433333.33333333331</v>
      </c>
      <c r="P99" s="10">
        <f t="shared" si="67"/>
        <v>433333.33333333331</v>
      </c>
      <c r="Q99" s="10">
        <f t="shared" si="67"/>
        <v>433333.33333333331</v>
      </c>
    </row>
    <row r="100" spans="2:17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2:17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2:17" ht="18.75">
      <c r="B102" s="139" t="s">
        <v>119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2:17">
      <c r="B103" t="s">
        <v>120</v>
      </c>
      <c r="C103"/>
      <c r="D103"/>
      <c r="E103"/>
      <c r="F103"/>
      <c r="G103" s="112"/>
      <c r="H103" s="113">
        <f>G105</f>
        <v>16000000</v>
      </c>
      <c r="I103" s="113">
        <f t="shared" ref="I103:Q103" si="68">H105</f>
        <v>15733333.333333334</v>
      </c>
      <c r="J103" s="113">
        <f t="shared" si="68"/>
        <v>15466666.666666668</v>
      </c>
      <c r="K103" s="113">
        <f t="shared" si="68"/>
        <v>15200000.000000002</v>
      </c>
      <c r="L103" s="113">
        <f t="shared" si="68"/>
        <v>14933333.333333336</v>
      </c>
      <c r="M103" s="113">
        <f t="shared" si="68"/>
        <v>14666666.66666667</v>
      </c>
      <c r="N103" s="113">
        <f t="shared" si="68"/>
        <v>14400000.000000004</v>
      </c>
      <c r="O103" s="113">
        <f t="shared" si="68"/>
        <v>14133333.333333338</v>
      </c>
      <c r="P103" s="113">
        <f t="shared" si="68"/>
        <v>13866666.666666672</v>
      </c>
      <c r="Q103" s="113">
        <f t="shared" si="68"/>
        <v>13600000.000000006</v>
      </c>
    </row>
    <row r="104" spans="2:17">
      <c r="B104" t="s">
        <v>121</v>
      </c>
      <c r="C104"/>
      <c r="D104"/>
      <c r="E104"/>
      <c r="F104"/>
      <c r="G104" s="113"/>
      <c r="H104" s="113">
        <f>$H$103/(Assumptions!$M$22)</f>
        <v>266666.66666666669</v>
      </c>
      <c r="I104" s="113">
        <f>$H$103/(Assumptions!$M$22)</f>
        <v>266666.66666666669</v>
      </c>
      <c r="J104" s="113">
        <f>$H$103/(Assumptions!$M$22)</f>
        <v>266666.66666666669</v>
      </c>
      <c r="K104" s="113">
        <f>$H$103/(Assumptions!$M$22)</f>
        <v>266666.66666666669</v>
      </c>
      <c r="L104" s="113">
        <f>$H$103/(Assumptions!$M$22)</f>
        <v>266666.66666666669</v>
      </c>
      <c r="M104" s="113">
        <f>$H$103/(Assumptions!$M$22)</f>
        <v>266666.66666666669</v>
      </c>
      <c r="N104" s="113">
        <f>$H$103/(Assumptions!$M$22)</f>
        <v>266666.66666666669</v>
      </c>
      <c r="O104" s="113">
        <f>$H$103/(Assumptions!$M$22)</f>
        <v>266666.66666666669</v>
      </c>
      <c r="P104" s="113">
        <f>$H$103/(Assumptions!$M$22)</f>
        <v>266666.66666666669</v>
      </c>
      <c r="Q104" s="113">
        <f>$H$103/(Assumptions!$M$22)</f>
        <v>266666.66666666669</v>
      </c>
    </row>
    <row r="105" spans="2:17">
      <c r="B105" t="s">
        <v>122</v>
      </c>
      <c r="C105"/>
      <c r="D105"/>
      <c r="E105"/>
      <c r="F105" s="112"/>
      <c r="G105" s="113">
        <f>G90*Assumptions!M20</f>
        <v>16000000</v>
      </c>
      <c r="H105" s="113">
        <f>H103-H104</f>
        <v>15733333.333333334</v>
      </c>
      <c r="I105" s="113">
        <f t="shared" ref="I105:Q105" si="69">I103-I104</f>
        <v>15466666.666666668</v>
      </c>
      <c r="J105" s="113">
        <f t="shared" si="69"/>
        <v>15200000.000000002</v>
      </c>
      <c r="K105" s="113">
        <f t="shared" si="69"/>
        <v>14933333.333333336</v>
      </c>
      <c r="L105" s="113">
        <f t="shared" si="69"/>
        <v>14666666.66666667</v>
      </c>
      <c r="M105" s="113">
        <f t="shared" si="69"/>
        <v>14400000.000000004</v>
      </c>
      <c r="N105" s="113">
        <f t="shared" si="69"/>
        <v>14133333.333333338</v>
      </c>
      <c r="O105" s="113">
        <f t="shared" si="69"/>
        <v>13866666.666666672</v>
      </c>
      <c r="P105" s="113">
        <f t="shared" si="69"/>
        <v>13600000.000000006</v>
      </c>
      <c r="Q105" s="113">
        <f t="shared" si="69"/>
        <v>13333333.33333334</v>
      </c>
    </row>
    <row r="106" spans="2:17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2:17">
      <c r="B107" t="s">
        <v>67</v>
      </c>
      <c r="C107"/>
      <c r="D107"/>
      <c r="E107"/>
      <c r="F107" s="112"/>
      <c r="G107" s="112">
        <f>G103*((Assumptions!$M$21)*(_xlfn.DAYS(Model!G4,Model!G5)/365))</f>
        <v>0</v>
      </c>
      <c r="H107" s="112">
        <f>H103*-((Assumptions!$M$21)*(DAY(H5)/365))</f>
        <v>-33972.602739726026</v>
      </c>
      <c r="I107" s="112">
        <f>I103*-((Assumptions!$M$21)*(DAY(I5)/365))</f>
        <v>-32328.767123287671</v>
      </c>
      <c r="J107" s="112">
        <f>J103*-((Assumptions!$M$21)*(DAY(J5)/365))</f>
        <v>-32840.182648401831</v>
      </c>
      <c r="K107" s="112">
        <f>K103*-((Assumptions!$M$21)*(DAY(K5)/365))</f>
        <v>-31232.876712328769</v>
      </c>
      <c r="L107" s="112">
        <f>L103*-((Assumptions!$M$21)*(DAY(L5)/365))</f>
        <v>-31707.762557077633</v>
      </c>
      <c r="M107" s="112">
        <f>M103*-((Assumptions!$M$21)*(DAY(M5)/365))</f>
        <v>-31141.552511415532</v>
      </c>
      <c r="N107" s="112">
        <f>N103*-((Assumptions!$M$21)*(DAY(N5)/365))</f>
        <v>-29589.041095890414</v>
      </c>
      <c r="O107" s="112">
        <f>O103*-((Assumptions!$M$21)*(DAY(O5)/365))</f>
        <v>-30009.132420091333</v>
      </c>
      <c r="P107" s="112">
        <f>P103*-((Assumptions!$M$21)*(DAY(P5)/365))</f>
        <v>-28493.150684931516</v>
      </c>
      <c r="Q107" s="112">
        <f>Q103*-((Assumptions!$M$21)*(DAY(Q5)/365))</f>
        <v>-28876.712328767135</v>
      </c>
    </row>
    <row r="108" spans="2:17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2:17">
      <c r="B109" s="12"/>
      <c r="C109"/>
      <c r="D109"/>
      <c r="E109"/>
      <c r="F109"/>
      <c r="G109"/>
      <c r="H109" s="112"/>
      <c r="I109"/>
      <c r="J109"/>
      <c r="K109"/>
      <c r="L109"/>
      <c r="M109"/>
      <c r="N109"/>
      <c r="O109"/>
      <c r="P109"/>
      <c r="Q109"/>
    </row>
    <row r="110" spans="2:17" ht="18.75">
      <c r="B110" s="139" t="s">
        <v>135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2:17">
      <c r="B111" s="12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2:17">
      <c r="B112" s="128" t="s">
        <v>130</v>
      </c>
      <c r="F112" s="121">
        <f>E31</f>
        <v>0</v>
      </c>
      <c r="G112" s="121">
        <f>F122</f>
        <v>4288197.0369863017</v>
      </c>
      <c r="H112" s="121">
        <f t="shared" ref="H112:J112" si="70">G122</f>
        <v>0</v>
      </c>
      <c r="I112" s="121">
        <f t="shared" si="70"/>
        <v>0</v>
      </c>
      <c r="J112" s="121">
        <f t="shared" si="70"/>
        <v>0</v>
      </c>
      <c r="K112" s="121">
        <f t="shared" ref="K112:Q112" si="71">J122</f>
        <v>0</v>
      </c>
      <c r="L112" s="121">
        <f t="shared" si="71"/>
        <v>-101650.3457306663</v>
      </c>
      <c r="M112" s="121">
        <f t="shared" si="71"/>
        <v>-5104967.910022906</v>
      </c>
      <c r="N112" s="121">
        <f t="shared" si="71"/>
        <v>-8447619.0942694787</v>
      </c>
      <c r="O112" s="121">
        <f t="shared" si="71"/>
        <v>-7019927.2898402521</v>
      </c>
      <c r="P112" s="121">
        <f t="shared" si="71"/>
        <v>0</v>
      </c>
      <c r="Q112" s="121">
        <f t="shared" si="71"/>
        <v>0</v>
      </c>
    </row>
    <row r="113" spans="2:17">
      <c r="B113" s="118" t="s">
        <v>141</v>
      </c>
      <c r="F113" s="121">
        <f>F67</f>
        <v>6788197.0369863017</v>
      </c>
      <c r="G113" s="121">
        <f>G67</f>
        <v>-1155473.8000000012</v>
      </c>
      <c r="H113" s="121">
        <f>H67</f>
        <v>-946997.05640987074</v>
      </c>
      <c r="I113" s="121">
        <f>I67</f>
        <v>-966061.6512533715</v>
      </c>
      <c r="J113" s="121">
        <f>J67</f>
        <v>-7959485.2591901273</v>
      </c>
      <c r="K113" s="121">
        <f>K67</f>
        <v>-795162.94919692958</v>
      </c>
      <c r="L113" s="121">
        <f>L67</f>
        <v>-4736650.897625573</v>
      </c>
      <c r="M113" s="121">
        <f>M67</f>
        <v>-3075984.5175799066</v>
      </c>
      <c r="N113" s="121">
        <f>N67</f>
        <v>1694358.4710958931</v>
      </c>
      <c r="O113" s="121">
        <f>O67</f>
        <v>8420856.652511416</v>
      </c>
      <c r="P113" s="121">
        <f>P67</f>
        <v>6907207.2916339841</v>
      </c>
      <c r="Q113" s="121">
        <f>Q67</f>
        <v>5954190.4654479586</v>
      </c>
    </row>
    <row r="114" spans="2:17">
      <c r="B114" s="124" t="s">
        <v>142</v>
      </c>
      <c r="F114" s="121">
        <f>F71</f>
        <v>0</v>
      </c>
      <c r="G114" s="121">
        <f>G71</f>
        <v>-4000000</v>
      </c>
      <c r="H114" s="121">
        <f>H71</f>
        <v>0</v>
      </c>
      <c r="I114" s="121">
        <f>I71</f>
        <v>0</v>
      </c>
      <c r="J114" s="121">
        <f>J71</f>
        <v>0</v>
      </c>
      <c r="K114" s="121">
        <f>K71</f>
        <v>0</v>
      </c>
      <c r="L114" s="121">
        <f>L71</f>
        <v>0</v>
      </c>
      <c r="M114" s="121">
        <f>M71</f>
        <v>0</v>
      </c>
      <c r="N114" s="121">
        <f>N71</f>
        <v>0</v>
      </c>
      <c r="O114" s="121">
        <f>O71</f>
        <v>0</v>
      </c>
      <c r="P114" s="121">
        <f>P71</f>
        <v>0</v>
      </c>
      <c r="Q114" s="121">
        <f>Q71</f>
        <v>0</v>
      </c>
    </row>
    <row r="115" spans="2:17">
      <c r="B115" s="125" t="s">
        <v>143</v>
      </c>
      <c r="F115" s="126">
        <f>SUM(F112:F114)</f>
        <v>6788197.0369863017</v>
      </c>
      <c r="G115" s="126">
        <f t="shared" ref="G115" si="72">SUM(G112:G114)</f>
        <v>-867276.76301369956</v>
      </c>
      <c r="H115" s="126">
        <f t="shared" ref="H115" si="73">SUM(H112:H114)</f>
        <v>-946997.05640987074</v>
      </c>
      <c r="I115" s="126">
        <f t="shared" ref="I115" si="74">SUM(I112:I114)</f>
        <v>-966061.6512533715</v>
      </c>
      <c r="J115" s="126">
        <f t="shared" ref="J115" si="75">SUM(J112:J114)</f>
        <v>-7959485.2591901273</v>
      </c>
      <c r="K115" s="126">
        <f t="shared" ref="K115" si="76">SUM(K112:K114)</f>
        <v>-795162.94919692958</v>
      </c>
      <c r="L115" s="126">
        <f t="shared" ref="L115" si="77">SUM(L112:L114)</f>
        <v>-4838301.2433562391</v>
      </c>
      <c r="M115" s="126">
        <f t="shared" ref="M115" si="78">SUM(M112:M114)</f>
        <v>-8180952.4276028126</v>
      </c>
      <c r="N115" s="126">
        <f t="shared" ref="N115" si="79">SUM(N112:N114)</f>
        <v>-6753260.6231735852</v>
      </c>
      <c r="O115" s="126">
        <f t="shared" ref="O115" si="80">SUM(O112:O114)</f>
        <v>1400929.3626711639</v>
      </c>
      <c r="P115" s="126">
        <f t="shared" ref="P115" si="81">SUM(P112:P114)</f>
        <v>6907207.2916339841</v>
      </c>
      <c r="Q115" s="126">
        <f t="shared" ref="Q115" si="82">SUM(Q112:Q114)</f>
        <v>5954190.4654479586</v>
      </c>
    </row>
    <row r="116" spans="2:17">
      <c r="B116" s="127" t="s">
        <v>144</v>
      </c>
      <c r="F116" s="121">
        <f>F74</f>
        <v>0</v>
      </c>
      <c r="G116" s="121">
        <f>G74</f>
        <v>0</v>
      </c>
      <c r="H116" s="121">
        <f>H74</f>
        <v>-266666.66666666669</v>
      </c>
      <c r="I116" s="121">
        <f>I74</f>
        <v>-266666.66666666669</v>
      </c>
      <c r="J116" s="121">
        <f>J74</f>
        <v>-266666.66666666669</v>
      </c>
      <c r="K116" s="121">
        <f>K74</f>
        <v>-266666.66666666669</v>
      </c>
      <c r="L116" s="121">
        <f>L74</f>
        <v>-266666.66666666669</v>
      </c>
      <c r="M116" s="121">
        <f>M74</f>
        <v>-266666.66666666669</v>
      </c>
      <c r="N116" s="121">
        <f>N74</f>
        <v>-266666.66666666669</v>
      </c>
      <c r="O116" s="121">
        <f>O74</f>
        <v>-266666.66666666669</v>
      </c>
      <c r="P116" s="121">
        <f>P74</f>
        <v>-266666.66666666669</v>
      </c>
      <c r="Q116" s="121">
        <f>Q74</f>
        <v>-266666.66666666669</v>
      </c>
    </row>
    <row r="117" spans="2:17">
      <c r="B117" s="128" t="s">
        <v>145</v>
      </c>
      <c r="F117" s="126">
        <f>SUM(F115:F116)</f>
        <v>6788197.0369863017</v>
      </c>
      <c r="G117" s="126">
        <f t="shared" ref="G117" si="83">SUM(G115:G116)</f>
        <v>-867276.76301369956</v>
      </c>
      <c r="H117" s="126">
        <f t="shared" ref="H117" si="84">SUM(H115:H116)</f>
        <v>-1213663.7230765375</v>
      </c>
      <c r="I117" s="126">
        <f t="shared" ref="I117" si="85">SUM(I115:I116)</f>
        <v>-1232728.3179200382</v>
      </c>
      <c r="J117" s="126">
        <f t="shared" ref="J117" si="86">SUM(J115:J116)</f>
        <v>-8226151.9258567942</v>
      </c>
      <c r="K117" s="126">
        <f t="shared" ref="K117" si="87">SUM(K115:K116)</f>
        <v>-1061829.6158635963</v>
      </c>
      <c r="L117" s="126">
        <f t="shared" ref="L117" si="88">SUM(L115:L116)</f>
        <v>-5104967.910022906</v>
      </c>
      <c r="M117" s="126">
        <f t="shared" ref="M117" si="89">SUM(M115:M116)</f>
        <v>-8447619.0942694787</v>
      </c>
      <c r="N117" s="126">
        <f t="shared" ref="N117" si="90">SUM(N115:N116)</f>
        <v>-7019927.2898402521</v>
      </c>
      <c r="O117" s="126">
        <f t="shared" ref="O117" si="91">SUM(O115:O116)</f>
        <v>1134262.6960044971</v>
      </c>
      <c r="P117" s="126">
        <f t="shared" ref="P117" si="92">SUM(P115:P116)</f>
        <v>6640540.6249673171</v>
      </c>
      <c r="Q117" s="126">
        <f t="shared" ref="Q117" si="93">SUM(Q115:Q116)</f>
        <v>5687523.7987812916</v>
      </c>
    </row>
    <row r="118" spans="2:17">
      <c r="B118" s="127"/>
      <c r="C118" s="118"/>
      <c r="D118" s="119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</row>
    <row r="119" spans="2:17">
      <c r="B119" s="127" t="s">
        <v>129</v>
      </c>
      <c r="D119" s="121"/>
      <c r="F119" s="121">
        <f>IF(F117&gt;0,-MIN(F117,Assumptions!$M$16-Model!F124),0)</f>
        <v>-2500000</v>
      </c>
      <c r="G119" s="121">
        <f>IF(G117&gt;0,-MIN(G117,Assumptions!$M$16-Model!G124),0)</f>
        <v>0</v>
      </c>
      <c r="H119" s="121">
        <f>IF(H117&gt;0,-MIN(H117,Assumptions!$M$16-Model!H124),0)</f>
        <v>0</v>
      </c>
      <c r="I119" s="121">
        <f>IF(I117&gt;0,-MIN(I117,Assumptions!$M$16-Model!I124),0)</f>
        <v>0</v>
      </c>
      <c r="J119" s="121">
        <f>IF(J117&gt;0,-MIN(J117,Assumptions!$M$16-Model!J124),0)</f>
        <v>0</v>
      </c>
      <c r="K119" s="121">
        <f>IF(K117&gt;0,-MIN(K117,Assumptions!$M$16-Model!K124),0)</f>
        <v>0</v>
      </c>
      <c r="L119" s="121">
        <f>IF(L117&gt;0,-MIN(L117,Assumptions!$M$16-Model!L124),0)</f>
        <v>0</v>
      </c>
      <c r="M119" s="121">
        <f>IF(M117&gt;0,-MIN(M117,Assumptions!$M$16-Model!M124),0)</f>
        <v>0</v>
      </c>
      <c r="N119" s="121">
        <f>IF(N117&gt;0,-MIN(N117,Assumptions!$M$16-Model!N124),0)</f>
        <v>0</v>
      </c>
      <c r="O119" s="121">
        <f>IF(O117&gt;0,-MIN(O117,Assumptions!$M$16-Model!O124),0)</f>
        <v>-1134262.6960044971</v>
      </c>
      <c r="P119" s="121">
        <f>IF(P117&gt;0,-MIN(P117,Assumptions!$M$16-Model!P124),0)</f>
        <v>-6640540.6249673171</v>
      </c>
      <c r="Q119" s="121">
        <f>IF(Q117&gt;0,-MIN(Q117,Assumptions!$M$16-Model!Q124),0)</f>
        <v>-4725196.679028186</v>
      </c>
    </row>
    <row r="120" spans="2:17">
      <c r="B120" s="127" t="s">
        <v>136</v>
      </c>
      <c r="E120" s="121"/>
      <c r="F120" s="121">
        <f>IF(F117&lt;0,MIN(F124,-F117),0)</f>
        <v>0</v>
      </c>
      <c r="G120" s="121">
        <f t="shared" ref="G120:H120" si="94">IF(G117&lt;0,MIN(G124,-G117),0)</f>
        <v>867276.76301369956</v>
      </c>
      <c r="H120" s="121">
        <f t="shared" si="94"/>
        <v>1213663.7230765375</v>
      </c>
      <c r="I120" s="121">
        <f t="shared" ref="I120:J120" si="95">IF(I117&lt;0,MIN(I124,-I117),0)</f>
        <v>1232728.3179200382</v>
      </c>
      <c r="J120" s="121">
        <f t="shared" si="95"/>
        <v>8226151.9258567942</v>
      </c>
      <c r="K120" s="121">
        <f t="shared" ref="K120:Q120" si="96">IF(K117&lt;0,MIN(K124,-K117),0)</f>
        <v>960179.27013293002</v>
      </c>
      <c r="L120" s="121">
        <f t="shared" si="96"/>
        <v>0</v>
      </c>
      <c r="M120" s="121">
        <f t="shared" si="96"/>
        <v>0</v>
      </c>
      <c r="N120" s="121">
        <f t="shared" si="96"/>
        <v>0</v>
      </c>
      <c r="O120" s="121">
        <f t="shared" si="96"/>
        <v>0</v>
      </c>
      <c r="P120" s="121">
        <f t="shared" si="96"/>
        <v>0</v>
      </c>
      <c r="Q120" s="121">
        <f t="shared" si="96"/>
        <v>0</v>
      </c>
    </row>
    <row r="121" spans="2:17">
      <c r="B121" s="125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</row>
    <row r="122" spans="2:17">
      <c r="B122" s="125" t="s">
        <v>148</v>
      </c>
      <c r="E122" s="121"/>
      <c r="F122" s="121">
        <f>F117+SUM(F119:F120)</f>
        <v>4288197.0369863017</v>
      </c>
      <c r="G122" s="121">
        <f>G117+SUM(G119:G120)</f>
        <v>0</v>
      </c>
      <c r="H122" s="121">
        <f t="shared" ref="H122:J122" si="97">H117+SUM(H119:H120)</f>
        <v>0</v>
      </c>
      <c r="I122" s="121">
        <f t="shared" si="97"/>
        <v>0</v>
      </c>
      <c r="J122" s="121">
        <f t="shared" si="97"/>
        <v>0</v>
      </c>
      <c r="K122" s="121">
        <f t="shared" ref="K122:Q122" si="98">K117+SUM(K119:K120)</f>
        <v>-101650.3457306663</v>
      </c>
      <c r="L122" s="121">
        <f t="shared" si="98"/>
        <v>-5104967.910022906</v>
      </c>
      <c r="M122" s="121">
        <f t="shared" si="98"/>
        <v>-8447619.0942694787</v>
      </c>
      <c r="N122" s="121">
        <f t="shared" si="98"/>
        <v>-7019927.2898402521</v>
      </c>
      <c r="O122" s="121">
        <f t="shared" si="98"/>
        <v>0</v>
      </c>
      <c r="P122" s="121">
        <f t="shared" si="98"/>
        <v>0</v>
      </c>
      <c r="Q122" s="121">
        <f t="shared" si="98"/>
        <v>962327.11975310557</v>
      </c>
    </row>
    <row r="123" spans="2:17">
      <c r="B123" s="125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</row>
    <row r="124" spans="2:17">
      <c r="B124" s="127" t="s">
        <v>146</v>
      </c>
      <c r="F124" s="121">
        <f>Assumptions!M16-Model!E44</f>
        <v>10000000</v>
      </c>
      <c r="G124" s="121">
        <f>F125</f>
        <v>12500000</v>
      </c>
      <c r="H124" s="121">
        <f t="shared" ref="H124:Q124" si="99">G125</f>
        <v>11632723.2369863</v>
      </c>
      <c r="I124" s="121">
        <f t="shared" si="99"/>
        <v>10419059.513909763</v>
      </c>
      <c r="J124" s="121">
        <f t="shared" si="99"/>
        <v>9186331.1959897242</v>
      </c>
      <c r="K124" s="121">
        <f t="shared" si="99"/>
        <v>960179.27013293002</v>
      </c>
      <c r="L124" s="121">
        <f t="shared" si="99"/>
        <v>0</v>
      </c>
      <c r="M124" s="121">
        <f t="shared" si="99"/>
        <v>0</v>
      </c>
      <c r="N124" s="121">
        <f t="shared" si="99"/>
        <v>0</v>
      </c>
      <c r="O124" s="121">
        <f t="shared" si="99"/>
        <v>0</v>
      </c>
      <c r="P124" s="121">
        <f t="shared" si="99"/>
        <v>1134262.6960044971</v>
      </c>
      <c r="Q124" s="121">
        <f t="shared" si="99"/>
        <v>7774803.320971814</v>
      </c>
    </row>
    <row r="125" spans="2:17">
      <c r="B125" s="127" t="s">
        <v>134</v>
      </c>
      <c r="F125" s="121">
        <f>F124-SUM(F119:F120)</f>
        <v>12500000</v>
      </c>
      <c r="G125" s="121">
        <f t="shared" ref="G125" si="100">G124-SUM(G119:G120)</f>
        <v>11632723.2369863</v>
      </c>
      <c r="H125" s="121">
        <f t="shared" ref="H125" si="101">H124-SUM(H119:H120)</f>
        <v>10419059.513909763</v>
      </c>
      <c r="I125" s="121">
        <f t="shared" ref="I125" si="102">I124-SUM(I119:I120)</f>
        <v>9186331.1959897242</v>
      </c>
      <c r="J125" s="121">
        <f t="shared" ref="J125" si="103">J124-SUM(J119:J120)</f>
        <v>960179.27013293002</v>
      </c>
      <c r="K125" s="121">
        <f t="shared" ref="K125" si="104">K124-SUM(K119:K120)</f>
        <v>0</v>
      </c>
      <c r="L125" s="121">
        <f t="shared" ref="L125" si="105">L124-SUM(L119:L120)</f>
        <v>0</v>
      </c>
      <c r="M125" s="121">
        <f t="shared" ref="M125" si="106">M124-SUM(M119:M120)</f>
        <v>0</v>
      </c>
      <c r="N125" s="121">
        <f t="shared" ref="N125" si="107">N124-SUM(N119:N120)</f>
        <v>0</v>
      </c>
      <c r="O125" s="121">
        <f t="shared" ref="O125" si="108">O124-SUM(O119:O120)</f>
        <v>1134262.6960044971</v>
      </c>
      <c r="P125" s="121">
        <f t="shared" ref="P125" si="109">P124-SUM(P119:P120)</f>
        <v>7774803.320971814</v>
      </c>
      <c r="Q125" s="121">
        <f t="shared" ref="Q125" si="110">Q124-SUM(Q119:Q120)</f>
        <v>12500000</v>
      </c>
    </row>
    <row r="126" spans="2:17"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</row>
    <row r="127" spans="2:17">
      <c r="B127" s="120" t="s">
        <v>147</v>
      </c>
      <c r="F127" s="121">
        <f>Assumptions!$M$16-Model!F125</f>
        <v>0</v>
      </c>
      <c r="G127" s="121">
        <f>Assumptions!$M$16-Model!G125</f>
        <v>867276.76301370002</v>
      </c>
      <c r="H127" s="121">
        <f>Assumptions!$M$16-Model!H125</f>
        <v>2080940.4860902373</v>
      </c>
      <c r="I127" s="121">
        <f>Assumptions!$M$16-Model!I125</f>
        <v>3313668.8040102758</v>
      </c>
      <c r="J127" s="121">
        <f>Assumptions!$M$16-Model!J125</f>
        <v>11539820.729867071</v>
      </c>
      <c r="K127" s="121">
        <f>Assumptions!$M$16-Model!K125</f>
        <v>12500000</v>
      </c>
      <c r="L127" s="121">
        <f>Assumptions!$M$16-Model!L125</f>
        <v>12500000</v>
      </c>
      <c r="M127" s="121">
        <f>Assumptions!$M$16-Model!M125</f>
        <v>12500000</v>
      </c>
      <c r="N127" s="121">
        <f>Assumptions!$M$16-Model!N125</f>
        <v>12500000</v>
      </c>
      <c r="O127" s="121">
        <f>Assumptions!$M$16-Model!O125</f>
        <v>11365737.303995503</v>
      </c>
      <c r="P127" s="121">
        <f>Assumptions!$M$16-Model!P125</f>
        <v>4725196.679028186</v>
      </c>
      <c r="Q127" s="121">
        <f>Assumptions!$M$16-Model!Q125</f>
        <v>0</v>
      </c>
    </row>
    <row r="128" spans="2:17"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</row>
    <row r="129" spans="2:17">
      <c r="B129" s="128" t="s">
        <v>149</v>
      </c>
      <c r="F129" s="121">
        <f>-(Assumptions!$M$16-Model!F124)*(Assumptions!$M$17*(DAY(Model!F5)/365))</f>
        <v>-6369.8630136986294</v>
      </c>
      <c r="G129" s="121">
        <f>-(Assumptions!$M$16-Model!G124)*(Assumptions!$M$17*(DAY(Model!G5)/365))</f>
        <v>0</v>
      </c>
      <c r="H129" s="121">
        <f>-(Assumptions!$M$16-Model!H124)*(Assumptions!$M$17*(DAY(Model!H5)/365))</f>
        <v>-2209.7736701444956</v>
      </c>
      <c r="I129" s="121">
        <f>-(Assumptions!$M$16-Model!I124)*(Assumptions!$M$17*(DAY(Model!I5)/365))</f>
        <v>-5131.0861300855167</v>
      </c>
      <c r="J129" s="121">
        <f>-(Assumptions!$M$16-Model!J124)*(Assumptions!$M$17*(DAY(Model!J5)/365))</f>
        <v>-8443.0465417248106</v>
      </c>
      <c r="K129" s="121">
        <f>-(Assumptions!$M$16-Model!K124)*(Assumptions!$M$17*(DAY(Model!K5)/365))</f>
        <v>-28454.352484603736</v>
      </c>
      <c r="L129" s="121">
        <f>-(Assumptions!$M$16-Model!L124)*(Assumptions!$M$17*(DAY(Model!L5)/365))</f>
        <v>-31849.31506849315</v>
      </c>
      <c r="M129" s="121">
        <f>-(Assumptions!$M$16-Model!M124)*(Assumptions!$M$17*(DAY(Model!M5)/365))</f>
        <v>-31849.31506849315</v>
      </c>
      <c r="N129" s="121">
        <f>-(Assumptions!$M$16-Model!N124)*(Assumptions!$M$17*(DAY(Model!N5)/365))</f>
        <v>-30821.917808219176</v>
      </c>
      <c r="O129" s="121">
        <f>-(Assumptions!$M$16-Model!O124)*(Assumptions!$M$17*(DAY(Model!O5)/365))</f>
        <v>-31849.31506849315</v>
      </c>
      <c r="P129" s="121">
        <f>-(Assumptions!$M$16-Model!P124)*(Assumptions!$M$17*(DAY(Model!P5)/365))</f>
        <v>-28025.105681084802</v>
      </c>
      <c r="Q129" s="121">
        <f>-(Assumptions!$M$16-Model!Q124)*(Assumptions!$M$17*(DAY(Model!Q5)/365))</f>
        <v>-12039.542223277294</v>
      </c>
    </row>
    <row r="130" spans="2:17">
      <c r="B130" s="118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</row>
    <row r="131" spans="2:17"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</row>
    <row r="132" spans="2:17"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</row>
    <row r="133" spans="2:17"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</row>
    <row r="135" spans="2:17">
      <c r="B135" s="125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</row>
    <row r="136" spans="2:17"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</row>
    <row r="137" spans="2:17"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</row>
    <row r="138" spans="2:17"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</row>
    <row r="139" spans="2:17">
      <c r="B139" s="125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</row>
    <row r="140" spans="2:17"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</row>
    <row r="141" spans="2:17"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</row>
    <row r="142" spans="2:17"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</row>
    <row r="143" spans="2:17">
      <c r="B143" s="125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</row>
    <row r="144" spans="2:17"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</row>
    <row r="145" spans="6:17">
      <c r="F145" s="130"/>
    </row>
    <row r="146" spans="6:17"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</row>
    <row r="147" spans="6:17">
      <c r="F147" s="130"/>
    </row>
    <row r="148" spans="6:17"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</row>
    <row r="150" spans="6:17">
      <c r="F150" s="13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Assumptions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Grigolunovics</dc:creator>
  <cp:lastModifiedBy>Connor Umbright</cp:lastModifiedBy>
  <dcterms:created xsi:type="dcterms:W3CDTF">2020-09-30T11:35:30Z</dcterms:created>
  <dcterms:modified xsi:type="dcterms:W3CDTF">2023-08-01T16:23:18Z</dcterms:modified>
</cp:coreProperties>
</file>