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 Umbright\Downloads\"/>
    </mc:Choice>
  </mc:AlternateContent>
  <xr:revisionPtr revIDLastSave="0" documentId="8_{D195E1AA-514F-4479-811B-154075749D7E}" xr6:coauthVersionLast="47" xr6:coauthVersionMax="47" xr10:uidLastSave="{00000000-0000-0000-0000-000000000000}"/>
  <bookViews>
    <workbookView xWindow="-120" yWindow="-120" windowWidth="29040" windowHeight="15720" activeTab="1" xr2:uid="{11B7C33A-91FB-48A9-8BE0-5A462FBA6B24}"/>
  </bookViews>
  <sheets>
    <sheet name="LTM Financials" sheetId="2" r:id="rId1"/>
    <sheet name="Sheet1" sheetId="1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3" i="1" l="1"/>
  <c r="I283" i="1" s="1"/>
  <c r="J283" i="1" s="1"/>
  <c r="F283" i="1"/>
  <c r="E283" i="1" s="1"/>
  <c r="D283" i="1" s="1"/>
  <c r="E271" i="1"/>
  <c r="D271" i="1" s="1"/>
  <c r="F271" i="1"/>
  <c r="I271" i="1"/>
  <c r="J271" i="1" s="1"/>
  <c r="H271" i="1"/>
  <c r="G259" i="1"/>
  <c r="H259" i="1" s="1"/>
  <c r="I259" i="1" s="1"/>
  <c r="J259" i="1" s="1"/>
  <c r="K259" i="1" s="1"/>
  <c r="G261" i="1"/>
  <c r="H262" i="1"/>
  <c r="G262" i="1"/>
  <c r="I263" i="1"/>
  <c r="H263" i="1"/>
  <c r="G263" i="1"/>
  <c r="J264" i="1"/>
  <c r="I264" i="1"/>
  <c r="H264" i="1"/>
  <c r="G264" i="1"/>
  <c r="K236" i="1"/>
  <c r="H238" i="1"/>
  <c r="I238" i="1"/>
  <c r="J238" i="1"/>
  <c r="K238" i="1"/>
  <c r="H239" i="1"/>
  <c r="I239" i="1"/>
  <c r="J239" i="1"/>
  <c r="K239" i="1"/>
  <c r="K249" i="1"/>
  <c r="J249" i="1"/>
  <c r="I249" i="1"/>
  <c r="H249" i="1"/>
  <c r="G249" i="1"/>
  <c r="K247" i="1"/>
  <c r="J247" i="1"/>
  <c r="I247" i="1"/>
  <c r="H247" i="1"/>
  <c r="G247" i="1"/>
  <c r="H245" i="1"/>
  <c r="G241" i="1"/>
  <c r="G239" i="1"/>
  <c r="G238" i="1"/>
  <c r="H212" i="1"/>
  <c r="I212" i="1" s="1"/>
  <c r="J212" i="1" s="1"/>
  <c r="K212" i="1" s="1"/>
  <c r="G212" i="1"/>
  <c r="H106" i="1"/>
  <c r="I106" i="1"/>
  <c r="J106" i="1"/>
  <c r="K106" i="1"/>
  <c r="F224" i="1"/>
  <c r="F223" i="1"/>
  <c r="F222" i="1"/>
  <c r="K210" i="1"/>
  <c r="J210" i="1"/>
  <c r="I210" i="1"/>
  <c r="H210" i="1"/>
  <c r="K209" i="1"/>
  <c r="J209" i="1"/>
  <c r="I209" i="1"/>
  <c r="H209" i="1"/>
  <c r="G210" i="1"/>
  <c r="G209" i="1"/>
  <c r="K201" i="1"/>
  <c r="F216" i="1"/>
  <c r="F214" i="1"/>
  <c r="F206" i="1"/>
  <c r="F202" i="1"/>
  <c r="F231" i="1" s="1"/>
  <c r="G231" i="1" s="1"/>
  <c r="H231" i="1" s="1"/>
  <c r="I231" i="1" s="1"/>
  <c r="J231" i="1" s="1"/>
  <c r="K231" i="1" s="1"/>
  <c r="F191" i="1"/>
  <c r="F228" i="1" s="1"/>
  <c r="G228" i="1" s="1"/>
  <c r="H228" i="1" s="1"/>
  <c r="I228" i="1" s="1"/>
  <c r="J228" i="1" s="1"/>
  <c r="K228" i="1" s="1"/>
  <c r="F190" i="1"/>
  <c r="H187" i="1"/>
  <c r="K163" i="1"/>
  <c r="J163" i="1"/>
  <c r="I163" i="1"/>
  <c r="H163" i="1"/>
  <c r="G163" i="1"/>
  <c r="G155" i="1"/>
  <c r="G143" i="1"/>
  <c r="E12" i="1"/>
  <c r="G134" i="1" s="1"/>
  <c r="H131" i="1"/>
  <c r="I131" i="1" s="1"/>
  <c r="J131" i="1" s="1"/>
  <c r="K131" i="1" s="1"/>
  <c r="K143" i="1" s="1"/>
  <c r="H129" i="1"/>
  <c r="H100" i="1"/>
  <c r="F92" i="1"/>
  <c r="G92" i="1" s="1"/>
  <c r="H92" i="1" s="1"/>
  <c r="I92" i="1" s="1"/>
  <c r="J92" i="1" s="1"/>
  <c r="J82" i="1"/>
  <c r="I82" i="1"/>
  <c r="H82" i="1"/>
  <c r="G82" i="1"/>
  <c r="F82" i="1"/>
  <c r="F73" i="1"/>
  <c r="F77" i="1" s="1"/>
  <c r="E75" i="1"/>
  <c r="E78" i="1" s="1"/>
  <c r="E83" i="1" s="1"/>
  <c r="E86" i="1" s="1"/>
  <c r="E88" i="1" s="1"/>
  <c r="G91" i="1"/>
  <c r="H91" i="1" s="1"/>
  <c r="I91" i="1" s="1"/>
  <c r="J91" i="1" s="1"/>
  <c r="G71" i="1"/>
  <c r="H71" i="1" s="1"/>
  <c r="I71" i="1" s="1"/>
  <c r="J71" i="1" s="1"/>
  <c r="G65" i="1"/>
  <c r="G57" i="1"/>
  <c r="K57" i="1" s="1"/>
  <c r="K54" i="1"/>
  <c r="F204" i="1" s="1"/>
  <c r="F233" i="1" s="1"/>
  <c r="G233" i="1" s="1"/>
  <c r="K53" i="1"/>
  <c r="F203" i="1" s="1"/>
  <c r="F232" i="1" s="1"/>
  <c r="G232" i="1" s="1"/>
  <c r="K52" i="1"/>
  <c r="I48" i="1"/>
  <c r="K44" i="1"/>
  <c r="F193" i="1" s="1"/>
  <c r="F230" i="1" s="1"/>
  <c r="G230" i="1" s="1"/>
  <c r="K43" i="1"/>
  <c r="F192" i="1" s="1"/>
  <c r="F229" i="1" s="1"/>
  <c r="G229" i="1" s="1"/>
  <c r="H229" i="1" s="1"/>
  <c r="I229" i="1" s="1"/>
  <c r="J229" i="1" s="1"/>
  <c r="K229" i="1" s="1"/>
  <c r="K42" i="1"/>
  <c r="I41" i="1"/>
  <c r="K41" i="1" s="1"/>
  <c r="G121" i="1" s="1"/>
  <c r="G190" i="1" s="1"/>
  <c r="E55" i="1"/>
  <c r="E63" i="1" s="1"/>
  <c r="E67" i="1" s="1"/>
  <c r="E45" i="1"/>
  <c r="E50" i="1" s="1"/>
  <c r="E32" i="1"/>
  <c r="O27" i="1" s="1"/>
  <c r="O28" i="1" s="1"/>
  <c r="E29" i="1"/>
  <c r="E28" i="1"/>
  <c r="E26" i="1"/>
  <c r="E25" i="1"/>
  <c r="G35" i="2"/>
  <c r="G37" i="2" s="1"/>
  <c r="G39" i="2" s="1"/>
  <c r="G41" i="2" s="1"/>
  <c r="G32" i="2"/>
  <c r="G19" i="2"/>
  <c r="G22" i="2" s="1"/>
  <c r="G26" i="2" s="1"/>
  <c r="G9" i="2"/>
  <c r="G14" i="2" s="1"/>
  <c r="J12" i="1"/>
  <c r="E24" i="1" s="1"/>
  <c r="J7" i="1"/>
  <c r="O7" i="1" s="1"/>
  <c r="J6" i="1"/>
  <c r="E14" i="1" s="1"/>
  <c r="G159" i="1" s="1"/>
  <c r="J5" i="1"/>
  <c r="O5" i="1" s="1"/>
  <c r="G161" i="1" l="1"/>
  <c r="H159" i="1" s="1"/>
  <c r="H232" i="1"/>
  <c r="G203" i="1"/>
  <c r="G193" i="1"/>
  <c r="H230" i="1"/>
  <c r="G204" i="1"/>
  <c r="H233" i="1"/>
  <c r="G160" i="1"/>
  <c r="G138" i="1"/>
  <c r="G191" i="1"/>
  <c r="H160" i="1"/>
  <c r="H161" i="1" s="1"/>
  <c r="I159" i="1" s="1"/>
  <c r="G164" i="1"/>
  <c r="G182" i="1" s="1"/>
  <c r="K155" i="1"/>
  <c r="H155" i="1"/>
  <c r="I155" i="1"/>
  <c r="I143" i="1"/>
  <c r="J143" i="1"/>
  <c r="H143" i="1"/>
  <c r="J155" i="1"/>
  <c r="G111" i="1"/>
  <c r="F79" i="1"/>
  <c r="G102" i="1" s="1"/>
  <c r="F75" i="1"/>
  <c r="F74" i="1" s="1"/>
  <c r="F76" i="1"/>
  <c r="G73" i="1"/>
  <c r="H191" i="1" s="1"/>
  <c r="I58" i="1"/>
  <c r="K58" i="1" s="1"/>
  <c r="F208" i="1" s="1"/>
  <c r="I59" i="1"/>
  <c r="K59" i="1" s="1"/>
  <c r="F209" i="1" s="1"/>
  <c r="I60" i="1"/>
  <c r="K60" i="1" s="1"/>
  <c r="F210" i="1" s="1"/>
  <c r="E13" i="1"/>
  <c r="G150" i="1" s="1"/>
  <c r="G151" i="1" s="1"/>
  <c r="K45" i="1"/>
  <c r="F194" i="1" s="1"/>
  <c r="E27" i="1"/>
  <c r="E30" i="1" s="1"/>
  <c r="E31" i="1" s="1"/>
  <c r="G49" i="1" s="1"/>
  <c r="K49" i="1" s="1"/>
  <c r="F198" i="1" s="1"/>
  <c r="E15" i="1"/>
  <c r="K55" i="1"/>
  <c r="F205" i="1" s="1"/>
  <c r="O26" i="1"/>
  <c r="G47" i="1"/>
  <c r="K47" i="1" s="1"/>
  <c r="F196" i="1" s="1"/>
  <c r="J8" i="1"/>
  <c r="O6" i="1"/>
  <c r="O8" i="1" s="1"/>
  <c r="I233" i="1" l="1"/>
  <c r="H204" i="1"/>
  <c r="G168" i="1"/>
  <c r="G167" i="1"/>
  <c r="I232" i="1"/>
  <c r="H203" i="1"/>
  <c r="G196" i="1"/>
  <c r="G202" i="1"/>
  <c r="G192" i="1"/>
  <c r="G194" i="1" s="1"/>
  <c r="G140" i="1"/>
  <c r="H138" i="1"/>
  <c r="I138" i="1" s="1"/>
  <c r="J138" i="1" s="1"/>
  <c r="K138" i="1" s="1"/>
  <c r="I230" i="1"/>
  <c r="H193" i="1"/>
  <c r="I160" i="1"/>
  <c r="I161" i="1"/>
  <c r="J159" i="1" s="1"/>
  <c r="H164" i="1"/>
  <c r="H182" i="1" s="1"/>
  <c r="G114" i="1"/>
  <c r="G79" i="1"/>
  <c r="H102" i="1" s="1"/>
  <c r="H111" i="1"/>
  <c r="J14" i="1"/>
  <c r="G85" i="1"/>
  <c r="H105" i="1" s="1"/>
  <c r="J85" i="1"/>
  <c r="K105" i="1" s="1"/>
  <c r="F85" i="1"/>
  <c r="G105" i="1" s="1"/>
  <c r="I85" i="1"/>
  <c r="J105" i="1" s="1"/>
  <c r="H85" i="1"/>
  <c r="I105" i="1" s="1"/>
  <c r="H81" i="1"/>
  <c r="I104" i="1" s="1"/>
  <c r="G81" i="1"/>
  <c r="H104" i="1" s="1"/>
  <c r="J81" i="1"/>
  <c r="K104" i="1" s="1"/>
  <c r="I81" i="1"/>
  <c r="J104" i="1" s="1"/>
  <c r="F81" i="1"/>
  <c r="G104" i="1" s="1"/>
  <c r="F78" i="1"/>
  <c r="G77" i="1"/>
  <c r="G76" i="1"/>
  <c r="H73" i="1"/>
  <c r="I191" i="1" s="1"/>
  <c r="G75" i="1"/>
  <c r="G74" i="1" s="1"/>
  <c r="J16" i="1"/>
  <c r="E21" i="1" s="1"/>
  <c r="G62" i="1"/>
  <c r="K62" i="1" s="1"/>
  <c r="F212" i="1" s="1"/>
  <c r="E16" i="1"/>
  <c r="J26" i="1"/>
  <c r="J27" i="1"/>
  <c r="G222" i="1" l="1"/>
  <c r="H196" i="1"/>
  <c r="H202" i="1"/>
  <c r="H192" i="1"/>
  <c r="J230" i="1"/>
  <c r="I193" i="1"/>
  <c r="J232" i="1"/>
  <c r="I203" i="1"/>
  <c r="J233" i="1"/>
  <c r="I204" i="1"/>
  <c r="G176" i="1"/>
  <c r="J160" i="1"/>
  <c r="J161" i="1" s="1"/>
  <c r="I164" i="1"/>
  <c r="I182" i="1" s="1"/>
  <c r="H79" i="1"/>
  <c r="I102" i="1" s="1"/>
  <c r="I111" i="1"/>
  <c r="H80" i="1"/>
  <c r="I103" i="1" s="1"/>
  <c r="F80" i="1"/>
  <c r="G80" i="1"/>
  <c r="H103" i="1" s="1"/>
  <c r="J80" i="1"/>
  <c r="K103" i="1" s="1"/>
  <c r="I80" i="1"/>
  <c r="J103" i="1" s="1"/>
  <c r="F83" i="1"/>
  <c r="G78" i="1"/>
  <c r="G83" i="1" s="1"/>
  <c r="H77" i="1"/>
  <c r="H76" i="1"/>
  <c r="I73" i="1"/>
  <c r="J191" i="1" s="1"/>
  <c r="H75" i="1"/>
  <c r="H74" i="1" s="1"/>
  <c r="E19" i="1"/>
  <c r="E18" i="1" s="1"/>
  <c r="J28" i="1"/>
  <c r="E33" i="1"/>
  <c r="F264" i="1" l="1"/>
  <c r="F261" i="1"/>
  <c r="F260" i="1"/>
  <c r="F262" i="1"/>
  <c r="F263" i="1"/>
  <c r="I192" i="1"/>
  <c r="I202" i="1"/>
  <c r="G169" i="1"/>
  <c r="G170" i="1" s="1"/>
  <c r="G106" i="1"/>
  <c r="K232" i="1"/>
  <c r="J203" i="1"/>
  <c r="G103" i="1"/>
  <c r="G198" i="1"/>
  <c r="H198" i="1" s="1"/>
  <c r="I198" i="1" s="1"/>
  <c r="J198" i="1" s="1"/>
  <c r="K198" i="1" s="1"/>
  <c r="K233" i="1"/>
  <c r="J204" i="1"/>
  <c r="K230" i="1"/>
  <c r="J193" i="1"/>
  <c r="I196" i="1"/>
  <c r="K159" i="1"/>
  <c r="J164" i="1"/>
  <c r="J182" i="1" s="1"/>
  <c r="H107" i="1"/>
  <c r="I107" i="1"/>
  <c r="K107" i="1"/>
  <c r="G107" i="1"/>
  <c r="J107" i="1"/>
  <c r="I79" i="1"/>
  <c r="J102" i="1" s="1"/>
  <c r="J111" i="1"/>
  <c r="I77" i="1"/>
  <c r="I76" i="1"/>
  <c r="H78" i="1"/>
  <c r="H83" i="1" s="1"/>
  <c r="I65" i="1"/>
  <c r="K65" i="1" s="1"/>
  <c r="F215" i="1" s="1"/>
  <c r="E17" i="1"/>
  <c r="J73" i="1"/>
  <c r="K191" i="1" s="1"/>
  <c r="I75" i="1"/>
  <c r="I74" i="1" s="1"/>
  <c r="E34" i="1"/>
  <c r="G48" i="1" s="1"/>
  <c r="K48" i="1" s="1"/>
  <c r="I61" i="1"/>
  <c r="K61" i="1" s="1"/>
  <c r="J192" i="1" l="1"/>
  <c r="J202" i="1"/>
  <c r="K193" i="1"/>
  <c r="G175" i="1"/>
  <c r="G183" i="1" s="1"/>
  <c r="H167" i="1"/>
  <c r="K63" i="1"/>
  <c r="F213" i="1" s="1"/>
  <c r="F211" i="1"/>
  <c r="G211" i="1" s="1"/>
  <c r="H211" i="1" s="1"/>
  <c r="I211" i="1" s="1"/>
  <c r="J211" i="1" s="1"/>
  <c r="K211" i="1" s="1"/>
  <c r="K50" i="1"/>
  <c r="F197" i="1"/>
  <c r="G197" i="1" s="1"/>
  <c r="G199" i="1" s="1"/>
  <c r="G217" i="1" s="1"/>
  <c r="J196" i="1"/>
  <c r="K204" i="1"/>
  <c r="K203" i="1"/>
  <c r="K160" i="1"/>
  <c r="K161" i="1" s="1"/>
  <c r="K164" i="1" s="1"/>
  <c r="K182" i="1" s="1"/>
  <c r="J79" i="1"/>
  <c r="K102" i="1" s="1"/>
  <c r="K111" i="1"/>
  <c r="J77" i="1"/>
  <c r="J76" i="1"/>
  <c r="I78" i="1"/>
  <c r="I83" i="1" s="1"/>
  <c r="J75" i="1"/>
  <c r="J74" i="1"/>
  <c r="K67" i="1" l="1"/>
  <c r="F217" i="1" s="1"/>
  <c r="F199" i="1"/>
  <c r="K202" i="1"/>
  <c r="K205" i="1" s="1"/>
  <c r="K223" i="1" s="1"/>
  <c r="K192" i="1"/>
  <c r="K196" i="1"/>
  <c r="H197" i="1"/>
  <c r="H168" i="1"/>
  <c r="H176" i="1" s="1"/>
  <c r="H169" i="1" s="1"/>
  <c r="H170" i="1"/>
  <c r="J78" i="1"/>
  <c r="J83" i="1" s="1"/>
  <c r="I197" i="1" l="1"/>
  <c r="I167" i="1"/>
  <c r="I168" i="1" s="1"/>
  <c r="I176" i="1" s="1"/>
  <c r="I169" i="1" s="1"/>
  <c r="I170" i="1" s="1"/>
  <c r="H175" i="1"/>
  <c r="H183" i="1" s="1"/>
  <c r="J167" i="1" l="1"/>
  <c r="I175" i="1"/>
  <c r="I183" i="1" s="1"/>
  <c r="J197" i="1"/>
  <c r="K197" i="1" l="1"/>
  <c r="J168" i="1"/>
  <c r="J176" i="1"/>
  <c r="J169" i="1" s="1"/>
  <c r="J170" i="1" l="1"/>
  <c r="K167" i="1" l="1"/>
  <c r="J175" i="1"/>
  <c r="J183" i="1" s="1"/>
  <c r="K168" i="1" l="1"/>
  <c r="K176" i="1"/>
  <c r="K169" i="1" s="1"/>
  <c r="K170" i="1" s="1"/>
  <c r="K175" i="1" s="1"/>
  <c r="K183" i="1" s="1"/>
  <c r="F84" i="1" l="1"/>
  <c r="G84" i="1"/>
  <c r="H84" i="1"/>
  <c r="I84" i="1"/>
  <c r="J84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G101" i="1"/>
  <c r="H101" i="1"/>
  <c r="I101" i="1"/>
  <c r="J101" i="1"/>
  <c r="K101" i="1"/>
  <c r="G108" i="1"/>
  <c r="H108" i="1"/>
  <c r="I108" i="1"/>
  <c r="J108" i="1"/>
  <c r="K108" i="1"/>
  <c r="G109" i="1"/>
  <c r="H109" i="1"/>
  <c r="I109" i="1"/>
  <c r="J109" i="1"/>
  <c r="K109" i="1"/>
  <c r="G112" i="1"/>
  <c r="H112" i="1"/>
  <c r="I112" i="1"/>
  <c r="J112" i="1"/>
  <c r="K112" i="1"/>
  <c r="H114" i="1"/>
  <c r="I114" i="1"/>
  <c r="J114" i="1"/>
  <c r="K114" i="1"/>
  <c r="G115" i="1"/>
  <c r="H115" i="1"/>
  <c r="I115" i="1"/>
  <c r="J115" i="1"/>
  <c r="K115" i="1"/>
  <c r="G116" i="1"/>
  <c r="H116" i="1"/>
  <c r="I116" i="1"/>
  <c r="J116" i="1"/>
  <c r="K116" i="1"/>
  <c r="G117" i="1"/>
  <c r="H117" i="1"/>
  <c r="I117" i="1"/>
  <c r="J117" i="1"/>
  <c r="K117" i="1"/>
  <c r="G118" i="1"/>
  <c r="H118" i="1"/>
  <c r="I118" i="1"/>
  <c r="J118" i="1"/>
  <c r="K118" i="1"/>
  <c r="G119" i="1"/>
  <c r="H119" i="1"/>
  <c r="I119" i="1"/>
  <c r="J119" i="1"/>
  <c r="K119" i="1"/>
  <c r="H121" i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H140" i="1"/>
  <c r="I140" i="1"/>
  <c r="J140" i="1"/>
  <c r="K140" i="1"/>
  <c r="G141" i="1"/>
  <c r="H141" i="1"/>
  <c r="I141" i="1"/>
  <c r="J141" i="1"/>
  <c r="K141" i="1"/>
  <c r="G144" i="1"/>
  <c r="H144" i="1"/>
  <c r="I144" i="1"/>
  <c r="J144" i="1"/>
  <c r="K144" i="1"/>
  <c r="G147" i="1"/>
  <c r="H147" i="1"/>
  <c r="I147" i="1"/>
  <c r="J147" i="1"/>
  <c r="K147" i="1"/>
  <c r="H150" i="1"/>
  <c r="I150" i="1"/>
  <c r="J150" i="1"/>
  <c r="K150" i="1"/>
  <c r="H151" i="1"/>
  <c r="I151" i="1"/>
  <c r="J151" i="1"/>
  <c r="K151" i="1"/>
  <c r="G152" i="1"/>
  <c r="H152" i="1"/>
  <c r="I152" i="1"/>
  <c r="J152" i="1"/>
  <c r="K152" i="1"/>
  <c r="G153" i="1"/>
  <c r="H153" i="1"/>
  <c r="I153" i="1"/>
  <c r="J153" i="1"/>
  <c r="K153" i="1"/>
  <c r="G156" i="1"/>
  <c r="H156" i="1"/>
  <c r="I156" i="1"/>
  <c r="J156" i="1"/>
  <c r="K156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4" i="1"/>
  <c r="H184" i="1"/>
  <c r="I184" i="1"/>
  <c r="J184" i="1"/>
  <c r="K184" i="1"/>
  <c r="H190" i="1"/>
  <c r="I190" i="1"/>
  <c r="J190" i="1"/>
  <c r="K190" i="1"/>
  <c r="H194" i="1"/>
  <c r="I194" i="1"/>
  <c r="J194" i="1"/>
  <c r="K194" i="1"/>
  <c r="H199" i="1"/>
  <c r="I199" i="1"/>
  <c r="J199" i="1"/>
  <c r="K199" i="1"/>
  <c r="F201" i="1"/>
  <c r="G201" i="1"/>
  <c r="H201" i="1"/>
  <c r="I201" i="1"/>
  <c r="J201" i="1"/>
  <c r="G205" i="1"/>
  <c r="H205" i="1"/>
  <c r="I205" i="1"/>
  <c r="J205" i="1"/>
  <c r="G208" i="1"/>
  <c r="H208" i="1"/>
  <c r="I208" i="1"/>
  <c r="J208" i="1"/>
  <c r="K208" i="1"/>
  <c r="G213" i="1"/>
  <c r="H213" i="1"/>
  <c r="I213" i="1"/>
  <c r="J213" i="1"/>
  <c r="K213" i="1"/>
  <c r="G215" i="1"/>
  <c r="H215" i="1"/>
  <c r="I215" i="1"/>
  <c r="J215" i="1"/>
  <c r="K215" i="1"/>
  <c r="H217" i="1"/>
  <c r="I217" i="1"/>
  <c r="J217" i="1"/>
  <c r="K217" i="1"/>
  <c r="H222" i="1"/>
  <c r="I222" i="1"/>
  <c r="J222" i="1"/>
  <c r="K222" i="1"/>
  <c r="G223" i="1"/>
  <c r="H223" i="1"/>
  <c r="I223" i="1"/>
  <c r="J223" i="1"/>
  <c r="G224" i="1"/>
  <c r="H224" i="1"/>
  <c r="I224" i="1"/>
  <c r="J224" i="1"/>
  <c r="K224" i="1"/>
  <c r="G225" i="1"/>
  <c r="H225" i="1"/>
  <c r="I225" i="1"/>
  <c r="J225" i="1"/>
  <c r="K225" i="1"/>
  <c r="G236" i="1"/>
  <c r="H236" i="1"/>
  <c r="I236" i="1"/>
  <c r="J236" i="1"/>
  <c r="G237" i="1"/>
  <c r="H237" i="1"/>
  <c r="I237" i="1"/>
  <c r="J237" i="1"/>
  <c r="K237" i="1"/>
  <c r="G240" i="1"/>
  <c r="H240" i="1"/>
  <c r="I240" i="1"/>
  <c r="J240" i="1"/>
  <c r="K240" i="1"/>
  <c r="H241" i="1"/>
  <c r="I241" i="1"/>
  <c r="J241" i="1"/>
  <c r="K241" i="1"/>
  <c r="G242" i="1"/>
  <c r="H242" i="1"/>
  <c r="I242" i="1"/>
  <c r="J242" i="1"/>
  <c r="K242" i="1"/>
  <c r="G250" i="1"/>
  <c r="H250" i="1"/>
  <c r="I250" i="1"/>
  <c r="J250" i="1"/>
  <c r="K250" i="1"/>
  <c r="G251" i="1"/>
  <c r="H251" i="1"/>
  <c r="I251" i="1"/>
  <c r="J251" i="1"/>
  <c r="K251" i="1"/>
  <c r="G253" i="1"/>
  <c r="H253" i="1"/>
  <c r="I253" i="1"/>
  <c r="J253" i="1"/>
  <c r="K253" i="1"/>
  <c r="G255" i="1"/>
  <c r="H255" i="1"/>
  <c r="I255" i="1"/>
  <c r="J255" i="1"/>
  <c r="K255" i="1"/>
  <c r="G260" i="1"/>
  <c r="H261" i="1"/>
  <c r="I262" i="1"/>
  <c r="J263" i="1"/>
  <c r="K264" i="1"/>
  <c r="G266" i="1"/>
  <c r="H266" i="1"/>
  <c r="I266" i="1"/>
  <c r="J266" i="1"/>
  <c r="K266" i="1"/>
  <c r="G267" i="1"/>
  <c r="H267" i="1"/>
  <c r="I267" i="1"/>
  <c r="J267" i="1"/>
  <c r="K267" i="1"/>
  <c r="C271" i="1"/>
  <c r="C283" i="1"/>
</calcChain>
</file>

<file path=xl/sharedStrings.xml><?xml version="1.0" encoding="utf-8"?>
<sst xmlns="http://schemas.openxmlformats.org/spreadsheetml/2006/main" count="289" uniqueCount="199">
  <si>
    <t>Basic Assumptions</t>
  </si>
  <si>
    <t>LTM Rev</t>
  </si>
  <si>
    <t>LTM EBITDA</t>
  </si>
  <si>
    <t>Purchase x</t>
  </si>
  <si>
    <t>Rollover</t>
  </si>
  <si>
    <t>Revolver</t>
  </si>
  <si>
    <t>Term Loan B</t>
  </si>
  <si>
    <t>Senior Notes</t>
  </si>
  <si>
    <t>Sub Notes</t>
  </si>
  <si>
    <t>x</t>
  </si>
  <si>
    <t>$</t>
  </si>
  <si>
    <t>L+400</t>
  </si>
  <si>
    <t>Tranche</t>
  </si>
  <si>
    <t>Fees%</t>
  </si>
  <si>
    <t>Fees$</t>
  </si>
  <si>
    <t>Sources</t>
  </si>
  <si>
    <t>Uses</t>
  </si>
  <si>
    <t>Purchase EV</t>
  </si>
  <si>
    <t>Transaction Fees</t>
  </si>
  <si>
    <t>Financing Fees</t>
  </si>
  <si>
    <t>Cash to B/S</t>
  </si>
  <si>
    <t>Total Uses</t>
  </si>
  <si>
    <t>Total Debt</t>
  </si>
  <si>
    <t xml:space="preserve">Rollover Equity </t>
  </si>
  <si>
    <t>Balance Sheet</t>
  </si>
  <si>
    <t>Cash</t>
  </si>
  <si>
    <t>Accounts Receivable</t>
  </si>
  <si>
    <t>Inventory</t>
  </si>
  <si>
    <t>Prepaid Expenses</t>
  </si>
  <si>
    <t>Total Current Assets</t>
  </si>
  <si>
    <t>PP&amp;E</t>
  </si>
  <si>
    <t>Goodwill</t>
  </si>
  <si>
    <t>Intangible Assets</t>
  </si>
  <si>
    <t>Total Assets</t>
  </si>
  <si>
    <t>Accounts Payable</t>
  </si>
  <si>
    <t>Accrued Liabilities</t>
  </si>
  <si>
    <t>Deferred Revenue</t>
  </si>
  <si>
    <t>Total Current Liabilities</t>
  </si>
  <si>
    <t>Existing Debt</t>
  </si>
  <si>
    <t>Total Liabilities</t>
  </si>
  <si>
    <t>Shareholders' Equity</t>
  </si>
  <si>
    <t>Total Liabilities + Equity</t>
  </si>
  <si>
    <t>Income Statement</t>
  </si>
  <si>
    <t>Revenue</t>
  </si>
  <si>
    <t>Less: COGS</t>
  </si>
  <si>
    <t>Gross Profit</t>
  </si>
  <si>
    <t>Less: SG&amp;A</t>
  </si>
  <si>
    <t>Less: R&amp;D</t>
  </si>
  <si>
    <t>EBITDA</t>
  </si>
  <si>
    <t>Less: D&amp;A</t>
  </si>
  <si>
    <t>EBIT</t>
  </si>
  <si>
    <t>Less: Interest</t>
  </si>
  <si>
    <t>EBT</t>
  </si>
  <si>
    <t>Less: Taxes</t>
  </si>
  <si>
    <t>Net Income</t>
  </si>
  <si>
    <t>Sponsor Equity</t>
  </si>
  <si>
    <t>Total Equity</t>
  </si>
  <si>
    <t>Total Sources</t>
  </si>
  <si>
    <t>Purchase Enterprise Value</t>
  </si>
  <si>
    <t>Less: Debt</t>
  </si>
  <si>
    <t xml:space="preserve">Plus: Cash </t>
  </si>
  <si>
    <t>Purchase Equity Value</t>
  </si>
  <si>
    <t>Intangible Asset Write-Up</t>
  </si>
  <si>
    <t>Write-Up %</t>
  </si>
  <si>
    <t>Usefull Life</t>
  </si>
  <si>
    <t>PP&amp;E Write-Up</t>
  </si>
  <si>
    <t>Incremental Amortization</t>
  </si>
  <si>
    <t>Deferred Tax Liability Created</t>
  </si>
  <si>
    <t>Annual Unwind of DTL</t>
  </si>
  <si>
    <t>Less: BV Equity</t>
  </si>
  <si>
    <t>Plus: Existing Goodwill</t>
  </si>
  <si>
    <t>Allocable Purchase Premium</t>
  </si>
  <si>
    <t>Less: Intangible Write-Up</t>
  </si>
  <si>
    <t>Less: PP&amp;E Write-Up</t>
  </si>
  <si>
    <t>Plus: DTL</t>
  </si>
  <si>
    <t>Pro Forma Goodwill</t>
  </si>
  <si>
    <t>Tax Rate</t>
  </si>
  <si>
    <t xml:space="preserve">Balance Sheet </t>
  </si>
  <si>
    <t>LTM</t>
  </si>
  <si>
    <t>Debit</t>
  </si>
  <si>
    <t>Credit</t>
  </si>
  <si>
    <t>Adj.</t>
  </si>
  <si>
    <t>Pro Forma</t>
  </si>
  <si>
    <t xml:space="preserve">Deferred Tax Liability </t>
  </si>
  <si>
    <t>Capitalized Financing Fees</t>
  </si>
  <si>
    <t xml:space="preserve">Income Statement </t>
  </si>
  <si>
    <t>Assumptions</t>
  </si>
  <si>
    <t xml:space="preserve">% Revenue Growth </t>
  </si>
  <si>
    <t>% Gross Margin</t>
  </si>
  <si>
    <t>SG&amp;A % Revenue</t>
  </si>
  <si>
    <t>R&amp;D % Revenue</t>
  </si>
  <si>
    <t>D&amp;A % Revenue</t>
  </si>
  <si>
    <t>Less: Inangible Amort</t>
  </si>
  <si>
    <t>Less: PP&amp;E Amort</t>
  </si>
  <si>
    <t>Less: Monitoring Fees</t>
  </si>
  <si>
    <t>Less: Fin Fee Amort</t>
  </si>
  <si>
    <t>Monitoring Fee</t>
  </si>
  <si>
    <t>Step</t>
  </si>
  <si>
    <t>Cash Flow Statement</t>
  </si>
  <si>
    <t xml:space="preserve">Net Income </t>
  </si>
  <si>
    <t>Plus: D&amp;A</t>
  </si>
  <si>
    <t>Plus: Intangible Amort</t>
  </si>
  <si>
    <t>Plus: PP&amp;E Amort</t>
  </si>
  <si>
    <t>Plus: Fin Fee Amort</t>
  </si>
  <si>
    <t>Plus: PIK Interest</t>
  </si>
  <si>
    <t>Less: DTL Unwind</t>
  </si>
  <si>
    <t>Less: Change in NWC</t>
  </si>
  <si>
    <t>Cash Flow from Operating Acivities</t>
  </si>
  <si>
    <t>Less: CAPEX</t>
  </si>
  <si>
    <t>Cash Flow from Investing Activities</t>
  </si>
  <si>
    <t>Capex % Revenue</t>
  </si>
  <si>
    <t>Less: Mandatory Amortization</t>
  </si>
  <si>
    <t>Free Cash Flow (Pre-Revolver)</t>
  </si>
  <si>
    <t>Revolver Drawdown / (Paydown)</t>
  </si>
  <si>
    <t>Free Cash Flow (Post-Revolver)</t>
  </si>
  <si>
    <t xml:space="preserve">Less: Cash Sweep </t>
  </si>
  <si>
    <t>Cash Flow After Financing Activities</t>
  </si>
  <si>
    <t>Beginning Cash Balance</t>
  </si>
  <si>
    <t xml:space="preserve">Net Change in Cash Flow </t>
  </si>
  <si>
    <t xml:space="preserve">Ending Cash Balance </t>
  </si>
  <si>
    <t xml:space="preserve">Debt Schedual </t>
  </si>
  <si>
    <t>LIBOR</t>
  </si>
  <si>
    <t>Beginning Balance</t>
  </si>
  <si>
    <t xml:space="preserve">Revolver Draw / (Paydown) </t>
  </si>
  <si>
    <t>Ending Revolver Balance</t>
  </si>
  <si>
    <t>Total Revolver Capacity</t>
  </si>
  <si>
    <t>Ending Balance</t>
  </si>
  <si>
    <t>Beginning Availible Capacity</t>
  </si>
  <si>
    <t>Ending Available Capacity</t>
  </si>
  <si>
    <t>Unused Commitment Fee %</t>
  </si>
  <si>
    <t xml:space="preserve">Unused Commitment Fee  </t>
  </si>
  <si>
    <t>Revolver Interest Rate</t>
  </si>
  <si>
    <t>Revolver Interest Expense</t>
  </si>
  <si>
    <t>Less: Mandatory Amort.</t>
  </si>
  <si>
    <t>Interest Expense</t>
  </si>
  <si>
    <t xml:space="preserve">Interest Rate </t>
  </si>
  <si>
    <t>Interest Rate</t>
  </si>
  <si>
    <t xml:space="preserve">Beginning Balance </t>
  </si>
  <si>
    <t>Less: Mandatory Amort</t>
  </si>
  <si>
    <t xml:space="preserve">Plus: PIK Interest </t>
  </si>
  <si>
    <t xml:space="preserve">Ending Balance </t>
  </si>
  <si>
    <t>Cash Interest Rate</t>
  </si>
  <si>
    <t>PIK Rate</t>
  </si>
  <si>
    <t>Cash Interest Expense</t>
  </si>
  <si>
    <t>PIK Interest Expense</t>
  </si>
  <si>
    <t>Unused Commiment Fee</t>
  </si>
  <si>
    <t>Total Interest Expense</t>
  </si>
  <si>
    <t>Rate</t>
  </si>
  <si>
    <t>Floor</t>
  </si>
  <si>
    <t>%Amort</t>
  </si>
  <si>
    <t>Circularity Toggle</t>
  </si>
  <si>
    <t>(0 = ON)</t>
  </si>
  <si>
    <t>Less: Cash Sweep</t>
  </si>
  <si>
    <t xml:space="preserve">Less: Mandatory Amortization </t>
  </si>
  <si>
    <t>2020PF</t>
  </si>
  <si>
    <t>Days Sales Outstanding</t>
  </si>
  <si>
    <t xml:space="preserve">Days Inventory Held </t>
  </si>
  <si>
    <t xml:space="preserve">Prepaid Expenses % of Revenue </t>
  </si>
  <si>
    <t>Days Payable Outstanding</t>
  </si>
  <si>
    <t xml:space="preserve">Accrued Liabilities % of Revenue </t>
  </si>
  <si>
    <t xml:space="preserve">Deferred Revenue % of Revenue </t>
  </si>
  <si>
    <t xml:space="preserve">NWC Calculation </t>
  </si>
  <si>
    <t>Current Assets</t>
  </si>
  <si>
    <t>Less: Current Liabilities</t>
  </si>
  <si>
    <t xml:space="preserve">NWC  </t>
  </si>
  <si>
    <t>Change</t>
  </si>
  <si>
    <t xml:space="preserve">Net Debt Calculation </t>
  </si>
  <si>
    <t xml:space="preserve">Less: Cash </t>
  </si>
  <si>
    <t xml:space="preserve">Net Debt   </t>
  </si>
  <si>
    <t xml:space="preserve">Exit Valuation </t>
  </si>
  <si>
    <t>2020A</t>
  </si>
  <si>
    <t>Exit LTM EBITA</t>
  </si>
  <si>
    <t xml:space="preserve">Exit Multiple </t>
  </si>
  <si>
    <t>Exit Enterprise Value</t>
  </si>
  <si>
    <t xml:space="preserve">Less: Net Debt </t>
  </si>
  <si>
    <t xml:space="preserve">Exit Equity Value </t>
  </si>
  <si>
    <t>Sponsor Ownership</t>
  </si>
  <si>
    <t>Exit to Sponsor</t>
  </si>
  <si>
    <t>Monitoring Fees</t>
  </si>
  <si>
    <t>Total Proceeds to Sponsor</t>
  </si>
  <si>
    <t>Cash (Outflows) / Inflows</t>
  </si>
  <si>
    <t>Year 0</t>
  </si>
  <si>
    <t>Year 1</t>
  </si>
  <si>
    <t>Year 2</t>
  </si>
  <si>
    <t>Year 3</t>
  </si>
  <si>
    <t>Year 4</t>
  </si>
  <si>
    <t>Year 5</t>
  </si>
  <si>
    <t>Exit Year 1</t>
  </si>
  <si>
    <t>Exit Year 2</t>
  </si>
  <si>
    <t>Exit Year 3</t>
  </si>
  <si>
    <t>Exit Year 4</t>
  </si>
  <si>
    <t>Exit Year 5</t>
  </si>
  <si>
    <t>IRR</t>
  </si>
  <si>
    <t>MOIC</t>
  </si>
  <si>
    <t>Entry</t>
  </si>
  <si>
    <t>Exit</t>
  </si>
  <si>
    <t>IRR Sens Table</t>
  </si>
  <si>
    <t>MOIC Sens Table</t>
  </si>
  <si>
    <t>LBO PRACTICE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</si>
</sst>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164" formatCode="0.0%"/>
    <numFmt numFmtId="165" formatCode="0&quot;A&quot;"/>
    <numFmt numFmtId="166" formatCode="&quot;$&quot;#,##0_);\(&quot;$&quot;#,##0\);\-_)"/>
    <numFmt numFmtId="167" formatCode="#,##0_);\(#,##0\);\-_)"/>
    <numFmt numFmtId="177" formatCode="####&quot;E&quot;"/>
    <numFmt numFmtId="178" formatCode="_(* #,##0.0_);_(* \(#,##0.0\);_(* &quot;-&quot;_);_(@_)"/>
    <numFmt numFmtId="181" formatCode="m/d/yy;@"/>
    <numFmt numFmtId="183" formatCode="#.#\x"/>
  </numFmts>
  <fonts count="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3F00F2"/>
      <name val="Arial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" fontId="0" fillId="0" borderId="1" xfId="0" applyNumberFormat="1" applyBorder="1"/>
    <xf numFmtId="0" fontId="2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0" xfId="0" applyNumberFormat="1" applyFont="1"/>
    <xf numFmtId="164" fontId="3" fillId="0" borderId="1" xfId="0" applyNumberFormat="1" applyFont="1" applyBorder="1"/>
    <xf numFmtId="0" fontId="0" fillId="0" borderId="0" xfId="0" applyFill="1"/>
    <xf numFmtId="0" fontId="0" fillId="0" borderId="2" xfId="0" applyBorder="1"/>
    <xf numFmtId="0" fontId="2" fillId="2" borderId="2" xfId="0" applyFont="1" applyFill="1" applyBorder="1"/>
    <xf numFmtId="165" fontId="2" fillId="2" borderId="2" xfId="0" applyNumberFormat="1" applyFont="1" applyFill="1" applyBorder="1"/>
    <xf numFmtId="166" fontId="4" fillId="0" borderId="0" xfId="0" applyNumberFormat="1" applyFont="1"/>
    <xf numFmtId="167" fontId="4" fillId="0" borderId="0" xfId="0" applyNumberFormat="1" applyFont="1"/>
    <xf numFmtId="167" fontId="4" fillId="0" borderId="2" xfId="0" applyNumberFormat="1" applyFont="1" applyBorder="1"/>
    <xf numFmtId="166" fontId="5" fillId="0" borderId="0" xfId="0" applyNumberFormat="1" applyFont="1"/>
    <xf numFmtId="0" fontId="2" fillId="0" borderId="3" xfId="0" applyFont="1" applyBorder="1"/>
    <xf numFmtId="166" fontId="5" fillId="0" borderId="3" xfId="0" applyNumberFormat="1" applyFont="1" applyBorder="1"/>
    <xf numFmtId="166" fontId="4" fillId="0" borderId="2" xfId="0" applyNumberFormat="1" applyFont="1" applyBorder="1"/>
    <xf numFmtId="166" fontId="6" fillId="0" borderId="0" xfId="0" applyNumberFormat="1" applyFont="1"/>
    <xf numFmtId="0" fontId="0" fillId="0" borderId="0" xfId="0" applyFont="1"/>
    <xf numFmtId="1" fontId="0" fillId="0" borderId="2" xfId="0" applyNumberFormat="1" applyBorder="1"/>
    <xf numFmtId="0" fontId="2" fillId="0" borderId="0" xfId="0" applyFont="1" applyBorder="1"/>
    <xf numFmtId="166" fontId="5" fillId="0" borderId="0" xfId="0" applyNumberFormat="1" applyFont="1" applyBorder="1"/>
    <xf numFmtId="166" fontId="0" fillId="0" borderId="0" xfId="0" applyNumberFormat="1"/>
    <xf numFmtId="167" fontId="0" fillId="0" borderId="0" xfId="0" applyNumberFormat="1"/>
    <xf numFmtId="0" fontId="0" fillId="0" borderId="0" xfId="0" applyBorder="1"/>
    <xf numFmtId="166" fontId="4" fillId="0" borderId="0" xfId="0" applyNumberFormat="1" applyFont="1" applyBorder="1"/>
    <xf numFmtId="0" fontId="0" fillId="0" borderId="0" xfId="0" applyFill="1" applyBorder="1"/>
    <xf numFmtId="0" fontId="0" fillId="0" borderId="2" xfId="0" applyFill="1" applyBorder="1"/>
    <xf numFmtId="41" fontId="0" fillId="0" borderId="0" xfId="1" applyNumberFormat="1" applyFont="1"/>
    <xf numFmtId="41" fontId="0" fillId="0" borderId="2" xfId="1" applyNumberFormat="1" applyFont="1" applyBorder="1"/>
    <xf numFmtId="41" fontId="2" fillId="0" borderId="0" xfId="1" applyNumberFormat="1" applyFont="1"/>
    <xf numFmtId="41" fontId="2" fillId="0" borderId="0" xfId="0" applyNumberFormat="1" applyFont="1"/>
    <xf numFmtId="41" fontId="0" fillId="0" borderId="0" xfId="0" applyNumberFormat="1"/>
    <xf numFmtId="41" fontId="0" fillId="0" borderId="2" xfId="0" applyNumberFormat="1" applyBorder="1"/>
    <xf numFmtId="166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167" fontId="4" fillId="0" borderId="0" xfId="0" applyNumberFormat="1" applyFont="1" applyBorder="1"/>
    <xf numFmtId="0" fontId="0" fillId="0" borderId="0" xfId="0" applyFont="1" applyBorder="1"/>
    <xf numFmtId="0" fontId="0" fillId="0" borderId="2" xfId="0" applyFont="1" applyBorder="1"/>
    <xf numFmtId="10" fontId="0" fillId="0" borderId="0" xfId="0" applyNumberFormat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0" fontId="0" fillId="0" borderId="6" xfId="0" applyNumberFormat="1" applyBorder="1"/>
    <xf numFmtId="0" fontId="0" fillId="0" borderId="7" xfId="0" applyBorder="1"/>
    <xf numFmtId="164" fontId="0" fillId="0" borderId="0" xfId="0" applyNumberFormat="1" applyBorder="1"/>
    <xf numFmtId="1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9" fontId="0" fillId="3" borderId="8" xfId="0" applyNumberFormat="1" applyFill="1" applyBorder="1"/>
    <xf numFmtId="0" fontId="0" fillId="3" borderId="9" xfId="0" applyFill="1" applyBorder="1"/>
    <xf numFmtId="0" fontId="0" fillId="3" borderId="1" xfId="0" applyFill="1" applyBorder="1"/>
    <xf numFmtId="41" fontId="0" fillId="3" borderId="10" xfId="0" applyNumberFormat="1" applyFill="1" applyBorder="1"/>
    <xf numFmtId="177" fontId="0" fillId="0" borderId="1" xfId="0" applyNumberFormat="1" applyBorder="1" applyAlignment="1">
      <alignment horizontal="center"/>
    </xf>
    <xf numFmtId="0" fontId="7" fillId="0" borderId="0" xfId="0" applyFont="1"/>
    <xf numFmtId="178" fontId="0" fillId="0" borderId="0" xfId="0" applyNumberFormat="1"/>
    <xf numFmtId="41" fontId="2" fillId="0" borderId="0" xfId="0" applyNumberFormat="1" applyFont="1" applyFill="1"/>
    <xf numFmtId="0" fontId="2" fillId="0" borderId="0" xfId="0" applyFont="1" applyFill="1" applyBorder="1"/>
    <xf numFmtId="177" fontId="2" fillId="0" borderId="1" xfId="0" applyNumberFormat="1" applyFont="1" applyBorder="1" applyAlignment="1">
      <alignment horizontal="center"/>
    </xf>
    <xf numFmtId="181" fontId="7" fillId="0" borderId="0" xfId="0" applyNumberFormat="1" applyFont="1"/>
    <xf numFmtId="183" fontId="0" fillId="0" borderId="0" xfId="0" applyNumberFormat="1"/>
    <xf numFmtId="0" fontId="2" fillId="4" borderId="0" xfId="0" applyFont="1" applyFill="1"/>
    <xf numFmtId="0" fontId="0" fillId="4" borderId="0" xfId="0" applyFill="1"/>
    <xf numFmtId="10" fontId="0" fillId="4" borderId="0" xfId="0" applyNumberFormat="1" applyFill="1"/>
    <xf numFmtId="183" fontId="0" fillId="4" borderId="0" xfId="0" applyNumberFormat="1" applyFill="1"/>
    <xf numFmtId="164" fontId="0" fillId="0" borderId="4" xfId="2" applyNumberFormat="1" applyFont="1" applyBorder="1"/>
    <xf numFmtId="164" fontId="0" fillId="0" borderId="5" xfId="2" applyNumberFormat="1" applyFont="1" applyBorder="1"/>
    <xf numFmtId="164" fontId="0" fillId="0" borderId="6" xfId="2" applyNumberFormat="1" applyFont="1" applyBorder="1"/>
    <xf numFmtId="164" fontId="0" fillId="0" borderId="7" xfId="2" applyNumberFormat="1" applyFont="1" applyBorder="1"/>
    <xf numFmtId="164" fontId="0" fillId="0" borderId="0" xfId="2" applyNumberFormat="1" applyFont="1" applyBorder="1"/>
    <xf numFmtId="164" fontId="0" fillId="0" borderId="8" xfId="2" applyNumberFormat="1" applyFont="1" applyBorder="1"/>
    <xf numFmtId="164" fontId="0" fillId="0" borderId="9" xfId="2" applyNumberFormat="1" applyFont="1" applyBorder="1"/>
    <xf numFmtId="164" fontId="0" fillId="0" borderId="1" xfId="2" applyNumberFormat="1" applyFont="1" applyBorder="1"/>
    <xf numFmtId="164" fontId="0" fillId="0" borderId="10" xfId="2" applyNumberFormat="1" applyFont="1" applyBorder="1"/>
    <xf numFmtId="183" fontId="0" fillId="0" borderId="4" xfId="0" applyNumberFormat="1" applyBorder="1"/>
    <xf numFmtId="183" fontId="0" fillId="0" borderId="5" xfId="0" applyNumberFormat="1" applyBorder="1"/>
    <xf numFmtId="183" fontId="0" fillId="0" borderId="6" xfId="0" applyNumberFormat="1" applyBorder="1"/>
    <xf numFmtId="183" fontId="0" fillId="0" borderId="7" xfId="0" applyNumberFormat="1" applyBorder="1"/>
    <xf numFmtId="183" fontId="0" fillId="0" borderId="0" xfId="0" applyNumberFormat="1" applyBorder="1"/>
    <xf numFmtId="183" fontId="0" fillId="0" borderId="8" xfId="0" applyNumberFormat="1" applyBorder="1"/>
    <xf numFmtId="183" fontId="0" fillId="0" borderId="9" xfId="0" applyNumberFormat="1" applyBorder="1"/>
    <xf numFmtId="183" fontId="0" fillId="0" borderId="1" xfId="0" applyNumberFormat="1" applyBorder="1"/>
    <xf numFmtId="183" fontId="0" fillId="0" borderId="10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15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3F00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3BA7A-D4B6-4EED-861F-B20F164D4B1C}">
  <dimension ref="B3:G41"/>
  <sheetViews>
    <sheetView showGridLines="0" workbookViewId="0">
      <selection activeCell="G30" sqref="G30:G41"/>
    </sheetView>
  </sheetViews>
  <sheetFormatPr defaultRowHeight="12.75" x14ac:dyDescent="0.2"/>
  <sheetData>
    <row r="3" spans="2:7" x14ac:dyDescent="0.2">
      <c r="B3" s="21" t="s">
        <v>24</v>
      </c>
      <c r="C3" s="21"/>
      <c r="D3" s="21"/>
      <c r="E3" s="21"/>
      <c r="F3" s="21"/>
      <c r="G3" s="22">
        <v>2020</v>
      </c>
    </row>
    <row r="5" spans="2:7" x14ac:dyDescent="0.2">
      <c r="B5" t="s">
        <v>25</v>
      </c>
      <c r="G5" s="23">
        <v>50</v>
      </c>
    </row>
    <row r="6" spans="2:7" x14ac:dyDescent="0.2">
      <c r="B6" t="s">
        <v>26</v>
      </c>
      <c r="G6" s="24">
        <v>30</v>
      </c>
    </row>
    <row r="7" spans="2:7" x14ac:dyDescent="0.2">
      <c r="B7" t="s">
        <v>27</v>
      </c>
      <c r="G7" s="24">
        <v>75</v>
      </c>
    </row>
    <row r="8" spans="2:7" x14ac:dyDescent="0.2">
      <c r="B8" s="20" t="s">
        <v>28</v>
      </c>
      <c r="C8" s="20"/>
      <c r="D8" s="20"/>
      <c r="E8" s="20"/>
      <c r="F8" s="20"/>
      <c r="G8" s="25">
        <v>15</v>
      </c>
    </row>
    <row r="9" spans="2:7" x14ac:dyDescent="0.2">
      <c r="B9" s="4" t="s">
        <v>29</v>
      </c>
      <c r="C9" s="4"/>
      <c r="D9" s="4"/>
      <c r="E9" s="4"/>
      <c r="F9" s="4"/>
      <c r="G9" s="26">
        <f>+SUM(G5:G8)</f>
        <v>170</v>
      </c>
    </row>
    <row r="11" spans="2:7" x14ac:dyDescent="0.2">
      <c r="B11" t="s">
        <v>30</v>
      </c>
      <c r="G11" s="23">
        <v>83</v>
      </c>
    </row>
    <row r="12" spans="2:7" x14ac:dyDescent="0.2">
      <c r="B12" t="s">
        <v>31</v>
      </c>
      <c r="G12" s="24">
        <v>28</v>
      </c>
    </row>
    <row r="13" spans="2:7" x14ac:dyDescent="0.2">
      <c r="B13" t="s">
        <v>32</v>
      </c>
      <c r="G13" s="24">
        <v>36</v>
      </c>
    </row>
    <row r="14" spans="2:7" x14ac:dyDescent="0.2">
      <c r="B14" s="27" t="s">
        <v>33</v>
      </c>
      <c r="C14" s="27"/>
      <c r="D14" s="27"/>
      <c r="E14" s="27"/>
      <c r="F14" s="27"/>
      <c r="G14" s="28">
        <f>+SUM(G9,G11:G13)</f>
        <v>317</v>
      </c>
    </row>
    <row r="16" spans="2:7" x14ac:dyDescent="0.2">
      <c r="B16" t="s">
        <v>34</v>
      </c>
      <c r="G16" s="23">
        <v>55</v>
      </c>
    </row>
    <row r="17" spans="2:7" x14ac:dyDescent="0.2">
      <c r="B17" t="s">
        <v>35</v>
      </c>
      <c r="G17" s="24">
        <v>37</v>
      </c>
    </row>
    <row r="18" spans="2:7" x14ac:dyDescent="0.2">
      <c r="B18" s="20" t="s">
        <v>36</v>
      </c>
      <c r="C18" s="20"/>
      <c r="D18" s="20"/>
      <c r="E18" s="20"/>
      <c r="F18" s="20"/>
      <c r="G18" s="25">
        <v>10</v>
      </c>
    </row>
    <row r="19" spans="2:7" x14ac:dyDescent="0.2">
      <c r="B19" s="4" t="s">
        <v>37</v>
      </c>
      <c r="C19" s="4"/>
      <c r="D19" s="4"/>
      <c r="E19" s="4"/>
      <c r="F19" s="4"/>
      <c r="G19" s="26">
        <f>+SUM(G16:G18)</f>
        <v>102</v>
      </c>
    </row>
    <row r="21" spans="2:7" x14ac:dyDescent="0.2">
      <c r="B21" s="20" t="s">
        <v>38</v>
      </c>
      <c r="C21" s="20"/>
      <c r="D21" s="20"/>
      <c r="E21" s="20"/>
      <c r="F21" s="20"/>
      <c r="G21" s="29">
        <v>100</v>
      </c>
    </row>
    <row r="22" spans="2:7" x14ac:dyDescent="0.2">
      <c r="B22" s="4" t="s">
        <v>39</v>
      </c>
      <c r="C22" s="4"/>
      <c r="D22" s="4"/>
      <c r="E22" s="4"/>
      <c r="F22" s="4"/>
      <c r="G22" s="26">
        <f>+SUM(G19,G21:G21)</f>
        <v>202</v>
      </c>
    </row>
    <row r="23" spans="2:7" x14ac:dyDescent="0.2">
      <c r="B23" s="20"/>
      <c r="C23" s="20"/>
      <c r="D23" s="20"/>
      <c r="E23" s="20"/>
      <c r="F23" s="20"/>
      <c r="G23" s="20"/>
    </row>
    <row r="24" spans="2:7" x14ac:dyDescent="0.2">
      <c r="B24" s="4" t="s">
        <v>40</v>
      </c>
      <c r="C24" s="4"/>
      <c r="D24" s="4"/>
      <c r="E24" s="4"/>
      <c r="F24" s="4"/>
      <c r="G24" s="30">
        <v>115</v>
      </c>
    </row>
    <row r="26" spans="2:7" x14ac:dyDescent="0.2">
      <c r="B26" s="27" t="s">
        <v>41</v>
      </c>
      <c r="C26" s="27"/>
      <c r="D26" s="27"/>
      <c r="E26" s="27"/>
      <c r="F26" s="27"/>
      <c r="G26" s="28">
        <f>+SUM(G22,G24)</f>
        <v>317</v>
      </c>
    </row>
    <row r="28" spans="2:7" x14ac:dyDescent="0.2">
      <c r="B28" s="21" t="s">
        <v>42</v>
      </c>
      <c r="C28" s="21"/>
      <c r="D28" s="21"/>
      <c r="E28" s="21"/>
      <c r="F28" s="21"/>
      <c r="G28" s="22">
        <v>2020</v>
      </c>
    </row>
    <row r="30" spans="2:7" x14ac:dyDescent="0.2">
      <c r="B30" s="4" t="s">
        <v>43</v>
      </c>
      <c r="C30" s="4"/>
      <c r="D30" s="4"/>
      <c r="E30" s="4"/>
      <c r="G30" s="30">
        <v>715</v>
      </c>
    </row>
    <row r="31" spans="2:7" x14ac:dyDescent="0.2">
      <c r="B31" s="20" t="s">
        <v>44</v>
      </c>
      <c r="C31" s="20"/>
      <c r="D31" s="20"/>
      <c r="E31" s="20"/>
      <c r="F31" s="20"/>
      <c r="G31" s="25">
        <v>-490</v>
      </c>
    </row>
    <row r="32" spans="2:7" x14ac:dyDescent="0.2">
      <c r="B32" s="4" t="s">
        <v>45</v>
      </c>
      <c r="C32" s="4"/>
      <c r="D32" s="4"/>
      <c r="E32" s="4"/>
      <c r="G32" s="26">
        <f>SUM(G30:G31)</f>
        <v>225</v>
      </c>
    </row>
    <row r="33" spans="2:7" x14ac:dyDescent="0.2">
      <c r="B33" t="s">
        <v>46</v>
      </c>
      <c r="G33" s="24">
        <v>-150</v>
      </c>
    </row>
    <row r="34" spans="2:7" x14ac:dyDescent="0.2">
      <c r="B34" s="20" t="s">
        <v>47</v>
      </c>
      <c r="C34" s="20"/>
      <c r="D34" s="20"/>
      <c r="E34" s="20"/>
      <c r="F34" s="20"/>
      <c r="G34" s="25">
        <v>-25</v>
      </c>
    </row>
    <row r="35" spans="2:7" x14ac:dyDescent="0.2">
      <c r="B35" s="4" t="s">
        <v>48</v>
      </c>
      <c r="C35" s="4"/>
      <c r="D35" s="4"/>
      <c r="E35" s="4"/>
      <c r="G35" s="26">
        <f>SUM(G32:G34)</f>
        <v>50</v>
      </c>
    </row>
    <row r="36" spans="2:7" x14ac:dyDescent="0.2">
      <c r="B36" s="20" t="s">
        <v>49</v>
      </c>
      <c r="C36" s="20"/>
      <c r="D36" s="20"/>
      <c r="E36" s="20"/>
      <c r="F36" s="20"/>
      <c r="G36" s="25">
        <v>-10</v>
      </c>
    </row>
    <row r="37" spans="2:7" x14ac:dyDescent="0.2">
      <c r="B37" s="4" t="s">
        <v>50</v>
      </c>
      <c r="C37" s="4"/>
      <c r="D37" s="4"/>
      <c r="E37" s="4"/>
      <c r="G37" s="26">
        <f>SUM(G35:G36)</f>
        <v>40</v>
      </c>
    </row>
    <row r="38" spans="2:7" x14ac:dyDescent="0.2">
      <c r="B38" s="20" t="s">
        <v>51</v>
      </c>
      <c r="C38" s="20"/>
      <c r="D38" s="20"/>
      <c r="E38" s="20"/>
      <c r="F38" s="20"/>
      <c r="G38" s="25">
        <v>-5</v>
      </c>
    </row>
    <row r="39" spans="2:7" x14ac:dyDescent="0.2">
      <c r="B39" s="4" t="s">
        <v>52</v>
      </c>
      <c r="C39" s="4"/>
      <c r="D39" s="4"/>
      <c r="E39" s="4"/>
      <c r="G39" s="26">
        <f>+SUM(G37:G38)</f>
        <v>35</v>
      </c>
    </row>
    <row r="40" spans="2:7" x14ac:dyDescent="0.2">
      <c r="B40" s="20" t="s">
        <v>53</v>
      </c>
      <c r="C40" s="20"/>
      <c r="D40" s="20"/>
      <c r="E40" s="20"/>
      <c r="F40" s="20"/>
      <c r="G40" s="25">
        <v>-10</v>
      </c>
    </row>
    <row r="41" spans="2:7" x14ac:dyDescent="0.2">
      <c r="B41" s="4" t="s">
        <v>54</v>
      </c>
      <c r="C41" s="4"/>
      <c r="D41" s="4"/>
      <c r="E41" s="4"/>
      <c r="G41" s="26">
        <f>+SUM(G39:G40)</f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69B3C-27F7-49D8-8565-339B6E8F7BBE}">
  <dimension ref="A1:T290"/>
  <sheetViews>
    <sheetView showGridLines="0" tabSelected="1" zoomScaleNormal="100" workbookViewId="0"/>
  </sheetViews>
  <sheetFormatPr defaultRowHeight="12.75" x14ac:dyDescent="0.2"/>
  <cols>
    <col min="1" max="1" width="2.7109375" customWidth="1"/>
    <col min="7" max="7" width="10" customWidth="1"/>
  </cols>
  <sheetData>
    <row r="1" spans="1:20" x14ac:dyDescent="0.2">
      <c r="A1" s="4" t="s">
        <v>198</v>
      </c>
    </row>
    <row r="2" spans="1:20" ht="13.5" thickBot="1" x14ac:dyDescent="0.25"/>
    <row r="3" spans="1:20" ht="13.5" thickBot="1" x14ac:dyDescent="0.25">
      <c r="B3" s="66" t="s">
        <v>0</v>
      </c>
      <c r="C3" s="67"/>
      <c r="D3" s="68"/>
      <c r="G3" s="6" t="s">
        <v>12</v>
      </c>
      <c r="H3" s="6"/>
      <c r="I3" s="7" t="s">
        <v>9</v>
      </c>
      <c r="J3" s="7" t="s">
        <v>10</v>
      </c>
      <c r="K3" s="7" t="s">
        <v>147</v>
      </c>
      <c r="L3" s="7" t="s">
        <v>148</v>
      </c>
      <c r="M3" s="14" t="s">
        <v>149</v>
      </c>
      <c r="N3" s="14" t="s">
        <v>13</v>
      </c>
      <c r="O3" s="14" t="s">
        <v>14</v>
      </c>
      <c r="R3" s="8" t="s">
        <v>150</v>
      </c>
      <c r="T3">
        <v>1</v>
      </c>
    </row>
    <row r="4" spans="1:20" x14ac:dyDescent="0.2">
      <c r="B4" s="69" t="s">
        <v>1</v>
      </c>
      <c r="C4" s="70"/>
      <c r="D4" s="71">
        <v>715</v>
      </c>
      <c r="G4" t="s">
        <v>5</v>
      </c>
      <c r="I4" s="2"/>
      <c r="J4" s="2"/>
      <c r="K4" s="15" t="s">
        <v>11</v>
      </c>
      <c r="L4">
        <v>0</v>
      </c>
      <c r="R4" t="s">
        <v>151</v>
      </c>
    </row>
    <row r="5" spans="1:20" x14ac:dyDescent="0.2">
      <c r="B5" s="69" t="s">
        <v>2</v>
      </c>
      <c r="C5" s="70"/>
      <c r="D5" s="71">
        <v>50</v>
      </c>
      <c r="G5" t="s">
        <v>6</v>
      </c>
      <c r="I5" s="15">
        <v>3.5</v>
      </c>
      <c r="J5" s="2">
        <f>+I5*D5</f>
        <v>175</v>
      </c>
      <c r="K5" s="15" t="s">
        <v>11</v>
      </c>
      <c r="L5" s="17">
        <v>0.02</v>
      </c>
      <c r="M5" s="17">
        <v>0.05</v>
      </c>
      <c r="N5" s="17">
        <v>2.5000000000000001E-2</v>
      </c>
      <c r="O5" s="9">
        <f>+N5*J5</f>
        <v>4.375</v>
      </c>
    </row>
    <row r="6" spans="1:20" x14ac:dyDescent="0.2">
      <c r="B6" s="69" t="s">
        <v>3</v>
      </c>
      <c r="C6" s="70"/>
      <c r="D6" s="71">
        <v>12.5</v>
      </c>
      <c r="G6" t="s">
        <v>7</v>
      </c>
      <c r="I6" s="15">
        <v>1.5</v>
      </c>
      <c r="J6" s="2">
        <f>+I6*D5</f>
        <v>75</v>
      </c>
      <c r="K6" s="17">
        <v>7.0000000000000007E-2</v>
      </c>
      <c r="L6" s="17"/>
      <c r="N6" s="17">
        <v>2.5000000000000001E-2</v>
      </c>
      <c r="O6" s="9">
        <f>+N6*J6</f>
        <v>1.875</v>
      </c>
    </row>
    <row r="7" spans="1:20" ht="13.5" thickBot="1" x14ac:dyDescent="0.25">
      <c r="B7" s="69" t="s">
        <v>4</v>
      </c>
      <c r="C7" s="70"/>
      <c r="D7" s="72">
        <v>0.2</v>
      </c>
      <c r="G7" s="10" t="s">
        <v>8</v>
      </c>
      <c r="H7" s="10"/>
      <c r="I7" s="16">
        <v>1</v>
      </c>
      <c r="J7" s="11">
        <f>+I7*D5</f>
        <v>50</v>
      </c>
      <c r="K7" s="18">
        <v>0.125</v>
      </c>
      <c r="L7" s="18"/>
      <c r="M7" s="10"/>
      <c r="N7" s="18">
        <v>2.5000000000000001E-2</v>
      </c>
      <c r="O7" s="13">
        <f>+N7*J7</f>
        <v>1.25</v>
      </c>
    </row>
    <row r="8" spans="1:20" x14ac:dyDescent="0.2">
      <c r="B8" s="69" t="s">
        <v>76</v>
      </c>
      <c r="C8" s="70"/>
      <c r="D8" s="72">
        <v>0.35</v>
      </c>
      <c r="J8" s="2">
        <f>SUM(J5:J7)</f>
        <v>300</v>
      </c>
      <c r="O8" s="9">
        <f>SUM(O5:O7)</f>
        <v>7.5</v>
      </c>
    </row>
    <row r="9" spans="1:20" ht="13.5" thickBot="1" x14ac:dyDescent="0.25">
      <c r="B9" s="73" t="s">
        <v>96</v>
      </c>
      <c r="C9" s="74"/>
      <c r="D9" s="75">
        <v>2</v>
      </c>
      <c r="J9" s="2"/>
      <c r="N9" s="9"/>
    </row>
    <row r="11" spans="1:20" ht="13.5" thickBot="1" x14ac:dyDescent="0.25">
      <c r="B11" s="6" t="s">
        <v>15</v>
      </c>
      <c r="C11" s="10"/>
      <c r="D11" s="10"/>
      <c r="E11" s="10"/>
      <c r="G11" s="6" t="s">
        <v>16</v>
      </c>
      <c r="H11" s="10"/>
      <c r="I11" s="10"/>
      <c r="J11" s="10"/>
      <c r="P11" s="19"/>
    </row>
    <row r="12" spans="1:20" x14ac:dyDescent="0.2">
      <c r="B12" s="53" t="s">
        <v>5</v>
      </c>
      <c r="C12" s="37"/>
      <c r="D12" s="37"/>
      <c r="E12" s="37">
        <f>+I4</f>
        <v>0</v>
      </c>
      <c r="G12" t="s">
        <v>17</v>
      </c>
      <c r="J12">
        <f>+D5*D6</f>
        <v>625</v>
      </c>
      <c r="P12" s="19"/>
    </row>
    <row r="13" spans="1:20" x14ac:dyDescent="0.2">
      <c r="B13" t="s">
        <v>6</v>
      </c>
      <c r="E13">
        <f>+J5</f>
        <v>175</v>
      </c>
      <c r="G13" t="s">
        <v>18</v>
      </c>
      <c r="J13">
        <v>10</v>
      </c>
    </row>
    <row r="14" spans="1:20" x14ac:dyDescent="0.2">
      <c r="B14" t="s">
        <v>7</v>
      </c>
      <c r="E14">
        <f>+J6</f>
        <v>75</v>
      </c>
      <c r="G14" t="s">
        <v>19</v>
      </c>
      <c r="J14" s="9">
        <f>+O8</f>
        <v>7.5</v>
      </c>
    </row>
    <row r="15" spans="1:20" ht="13.5" thickBot="1" x14ac:dyDescent="0.25">
      <c r="B15" s="20" t="s">
        <v>8</v>
      </c>
      <c r="C15" s="20"/>
      <c r="D15" s="20"/>
      <c r="E15" s="20">
        <f>+J7</f>
        <v>50</v>
      </c>
      <c r="G15" s="10" t="s">
        <v>20</v>
      </c>
      <c r="H15" s="10"/>
      <c r="I15" s="10"/>
      <c r="J15" s="10">
        <v>5</v>
      </c>
    </row>
    <row r="16" spans="1:20" x14ac:dyDescent="0.2">
      <c r="B16" s="4" t="s">
        <v>22</v>
      </c>
      <c r="E16">
        <f>SUM(E13:E15)</f>
        <v>300</v>
      </c>
      <c r="G16" s="4" t="s">
        <v>21</v>
      </c>
      <c r="J16" s="9">
        <f>SUM(J12:J15)</f>
        <v>647.5</v>
      </c>
    </row>
    <row r="17" spans="2:15" x14ac:dyDescent="0.2">
      <c r="B17" t="s">
        <v>23</v>
      </c>
      <c r="E17" s="9">
        <f>+E19*0.2</f>
        <v>69.5</v>
      </c>
    </row>
    <row r="18" spans="2:15" x14ac:dyDescent="0.2">
      <c r="B18" s="20" t="s">
        <v>55</v>
      </c>
      <c r="C18" s="20"/>
      <c r="D18" s="20"/>
      <c r="E18" s="20">
        <f>+E19*0.8</f>
        <v>278</v>
      </c>
    </row>
    <row r="19" spans="2:15" x14ac:dyDescent="0.2">
      <c r="B19" s="4" t="s">
        <v>56</v>
      </c>
      <c r="E19" s="9">
        <f>+E21-E16</f>
        <v>347.5</v>
      </c>
    </row>
    <row r="21" spans="2:15" x14ac:dyDescent="0.2">
      <c r="B21" s="4" t="s">
        <v>57</v>
      </c>
      <c r="E21" s="9">
        <f>+J16</f>
        <v>647.5</v>
      </c>
    </row>
    <row r="23" spans="2:15" ht="13.5" thickBot="1" x14ac:dyDescent="0.25">
      <c r="B23" s="6" t="s">
        <v>31</v>
      </c>
      <c r="C23" s="10"/>
      <c r="D23" s="10"/>
      <c r="E23" s="10"/>
      <c r="G23" s="6" t="s">
        <v>62</v>
      </c>
      <c r="H23" s="6"/>
      <c r="I23" s="6"/>
      <c r="J23" s="6"/>
      <c r="L23" s="6" t="s">
        <v>65</v>
      </c>
      <c r="M23" s="10"/>
      <c r="N23" s="10"/>
      <c r="O23" s="10"/>
    </row>
    <row r="24" spans="2:15" x14ac:dyDescent="0.2">
      <c r="B24" t="s">
        <v>58</v>
      </c>
      <c r="E24">
        <f>+J12</f>
        <v>625</v>
      </c>
      <c r="G24" t="s">
        <v>63</v>
      </c>
      <c r="J24">
        <v>0.1</v>
      </c>
      <c r="L24" t="s">
        <v>63</v>
      </c>
      <c r="O24">
        <v>0.2</v>
      </c>
    </row>
    <row r="25" spans="2:15" x14ac:dyDescent="0.2">
      <c r="B25" s="31" t="s">
        <v>59</v>
      </c>
      <c r="E25">
        <f>+-'LTM Financials'!G21</f>
        <v>-100</v>
      </c>
      <c r="G25" t="s">
        <v>64</v>
      </c>
      <c r="J25">
        <v>15</v>
      </c>
      <c r="L25" t="s">
        <v>64</v>
      </c>
      <c r="O25">
        <v>10</v>
      </c>
    </row>
    <row r="26" spans="2:15" x14ac:dyDescent="0.2">
      <c r="B26" s="20" t="s">
        <v>60</v>
      </c>
      <c r="C26" s="20"/>
      <c r="D26" s="20"/>
      <c r="E26" s="20">
        <f>+'LTM Financials'!G5</f>
        <v>50</v>
      </c>
      <c r="G26" t="s">
        <v>66</v>
      </c>
      <c r="J26" s="9">
        <f>+-E31/J25</f>
        <v>3.2533333333333334</v>
      </c>
      <c r="L26" t="s">
        <v>66</v>
      </c>
      <c r="O26" s="9">
        <f>+-E32/O25</f>
        <v>1.6600000000000001</v>
      </c>
    </row>
    <row r="27" spans="2:15" x14ac:dyDescent="0.2">
      <c r="B27" s="4" t="s">
        <v>61</v>
      </c>
      <c r="E27">
        <f>SUM(E24:E26)</f>
        <v>575</v>
      </c>
      <c r="G27" t="s">
        <v>67</v>
      </c>
      <c r="J27" s="9">
        <f>+-E31*D8</f>
        <v>17.080000000000002</v>
      </c>
      <c r="L27" t="s">
        <v>67</v>
      </c>
      <c r="O27" s="9">
        <f>+-E32*D8</f>
        <v>5.8100000000000005</v>
      </c>
    </row>
    <row r="28" spans="2:15" x14ac:dyDescent="0.2">
      <c r="B28" t="s">
        <v>69</v>
      </c>
      <c r="E28">
        <f>+-'LTM Financials'!G24</f>
        <v>-115</v>
      </c>
      <c r="G28" t="s">
        <v>68</v>
      </c>
      <c r="J28" s="9">
        <f>+J27/J25</f>
        <v>1.1386666666666667</v>
      </c>
      <c r="L28" t="s">
        <v>68</v>
      </c>
      <c r="O28" s="9">
        <f>+O27/O25</f>
        <v>0.58100000000000007</v>
      </c>
    </row>
    <row r="29" spans="2:15" x14ac:dyDescent="0.2">
      <c r="B29" s="20" t="s">
        <v>70</v>
      </c>
      <c r="C29" s="20"/>
      <c r="D29" s="20"/>
      <c r="E29" s="20">
        <f>+'LTM Financials'!G12</f>
        <v>28</v>
      </c>
    </row>
    <row r="30" spans="2:15" x14ac:dyDescent="0.2">
      <c r="B30" s="4" t="s">
        <v>71</v>
      </c>
      <c r="E30">
        <f>SUM(E27:E29)</f>
        <v>488</v>
      </c>
    </row>
    <row r="31" spans="2:15" x14ac:dyDescent="0.2">
      <c r="B31" t="s">
        <v>72</v>
      </c>
      <c r="E31" s="9">
        <f>+-J24*E30</f>
        <v>-48.800000000000004</v>
      </c>
    </row>
    <row r="32" spans="2:15" x14ac:dyDescent="0.2">
      <c r="B32" t="s">
        <v>73</v>
      </c>
      <c r="E32" s="9">
        <f>+-O24*'LTM Financials'!G11</f>
        <v>-16.600000000000001</v>
      </c>
    </row>
    <row r="33" spans="2:11" x14ac:dyDescent="0.2">
      <c r="B33" s="20" t="s">
        <v>74</v>
      </c>
      <c r="C33" s="20"/>
      <c r="D33" s="20"/>
      <c r="E33" s="32">
        <f>+J27+O27</f>
        <v>22.89</v>
      </c>
    </row>
    <row r="34" spans="2:11" x14ac:dyDescent="0.2">
      <c r="B34" s="4" t="s">
        <v>75</v>
      </c>
      <c r="E34" s="9">
        <f>SUM(E30:E33)</f>
        <v>445.48999999999995</v>
      </c>
    </row>
    <row r="38" spans="2:11" x14ac:dyDescent="0.2">
      <c r="B38" s="4" t="s">
        <v>77</v>
      </c>
    </row>
    <row r="39" spans="2:11" x14ac:dyDescent="0.2">
      <c r="E39" s="5" t="s">
        <v>78</v>
      </c>
      <c r="H39" s="5" t="s">
        <v>81</v>
      </c>
      <c r="K39" s="4" t="s">
        <v>82</v>
      </c>
    </row>
    <row r="40" spans="2:11" x14ac:dyDescent="0.2">
      <c r="G40" s="2" t="s">
        <v>79</v>
      </c>
      <c r="H40" s="2"/>
      <c r="I40" s="2" t="s">
        <v>80</v>
      </c>
    </row>
    <row r="41" spans="2:11" x14ac:dyDescent="0.2">
      <c r="B41" t="s">
        <v>25</v>
      </c>
      <c r="E41" s="23">
        <v>50</v>
      </c>
      <c r="G41" s="2">
        <v>5</v>
      </c>
      <c r="I41" s="47">
        <f>+-E41</f>
        <v>-50</v>
      </c>
      <c r="K41" s="41">
        <f>+I41+G41+E41</f>
        <v>5</v>
      </c>
    </row>
    <row r="42" spans="2:11" x14ac:dyDescent="0.2">
      <c r="B42" t="s">
        <v>26</v>
      </c>
      <c r="E42" s="24">
        <v>30</v>
      </c>
      <c r="G42" s="2"/>
      <c r="I42" s="2"/>
      <c r="K42" s="41">
        <f>+E42</f>
        <v>30</v>
      </c>
    </row>
    <row r="43" spans="2:11" x14ac:dyDescent="0.2">
      <c r="B43" t="s">
        <v>27</v>
      </c>
      <c r="E43" s="24">
        <v>75</v>
      </c>
      <c r="G43" s="2"/>
      <c r="I43" s="2"/>
      <c r="K43" s="41">
        <f t="shared" ref="K43:K44" si="0">+E43</f>
        <v>75</v>
      </c>
    </row>
    <row r="44" spans="2:11" x14ac:dyDescent="0.2">
      <c r="B44" s="20" t="s">
        <v>28</v>
      </c>
      <c r="C44" s="20"/>
      <c r="D44" s="20"/>
      <c r="E44" s="25">
        <v>15</v>
      </c>
      <c r="F44" s="20"/>
      <c r="G44" s="48"/>
      <c r="H44" s="20"/>
      <c r="I44" s="48"/>
      <c r="J44" s="20"/>
      <c r="K44" s="42">
        <f t="shared" si="0"/>
        <v>15</v>
      </c>
    </row>
    <row r="45" spans="2:11" x14ac:dyDescent="0.2">
      <c r="B45" s="4" t="s">
        <v>29</v>
      </c>
      <c r="E45" s="26">
        <f>+SUM(E41:E44)</f>
        <v>170</v>
      </c>
      <c r="G45" s="2"/>
      <c r="I45" s="2"/>
      <c r="K45" s="43">
        <f>SUM(K41:K44)</f>
        <v>125</v>
      </c>
    </row>
    <row r="46" spans="2:11" x14ac:dyDescent="0.2">
      <c r="G46" s="2"/>
      <c r="I46" s="2"/>
      <c r="K46" s="41"/>
    </row>
    <row r="47" spans="2:11" x14ac:dyDescent="0.2">
      <c r="B47" t="s">
        <v>30</v>
      </c>
      <c r="E47" s="23">
        <v>83</v>
      </c>
      <c r="G47" s="50">
        <f>+-E32</f>
        <v>16.600000000000001</v>
      </c>
      <c r="I47" s="2"/>
      <c r="K47" s="41">
        <f>+G47+E47</f>
        <v>99.6</v>
      </c>
    </row>
    <row r="48" spans="2:11" x14ac:dyDescent="0.2">
      <c r="B48" t="s">
        <v>31</v>
      </c>
      <c r="E48" s="24">
        <v>28</v>
      </c>
      <c r="G48" s="50">
        <f>+E34</f>
        <v>445.48999999999995</v>
      </c>
      <c r="I48" s="49">
        <f>+-E48</f>
        <v>-28</v>
      </c>
      <c r="K48" s="41">
        <f>+I48+G48+E48</f>
        <v>445.48999999999995</v>
      </c>
    </row>
    <row r="49" spans="2:11" x14ac:dyDescent="0.2">
      <c r="B49" s="20" t="s">
        <v>32</v>
      </c>
      <c r="C49" s="20"/>
      <c r="D49" s="20"/>
      <c r="E49" s="25">
        <v>36</v>
      </c>
      <c r="F49" s="20"/>
      <c r="G49" s="51">
        <f>+-E31</f>
        <v>48.800000000000004</v>
      </c>
      <c r="H49" s="20"/>
      <c r="I49" s="48"/>
      <c r="J49" s="20"/>
      <c r="K49" s="42">
        <f>+G49+E49</f>
        <v>84.800000000000011</v>
      </c>
    </row>
    <row r="50" spans="2:11" x14ac:dyDescent="0.2">
      <c r="B50" s="33" t="s">
        <v>33</v>
      </c>
      <c r="E50" s="34">
        <f>+SUM(E45,E47:E49)</f>
        <v>317</v>
      </c>
      <c r="G50" s="2"/>
      <c r="I50" s="2"/>
      <c r="K50" s="44">
        <f>SUM(K47:K49)+K45</f>
        <v>754.88999999999987</v>
      </c>
    </row>
    <row r="51" spans="2:11" x14ac:dyDescent="0.2">
      <c r="G51" s="2"/>
      <c r="I51" s="2"/>
      <c r="K51" s="45"/>
    </row>
    <row r="52" spans="2:11" x14ac:dyDescent="0.2">
      <c r="B52" t="s">
        <v>34</v>
      </c>
      <c r="E52" s="23">
        <v>55</v>
      </c>
      <c r="G52" s="2"/>
      <c r="I52" s="2"/>
      <c r="K52" s="45">
        <f>+E52</f>
        <v>55</v>
      </c>
    </row>
    <row r="53" spans="2:11" x14ac:dyDescent="0.2">
      <c r="B53" t="s">
        <v>35</v>
      </c>
      <c r="E53" s="24">
        <v>37</v>
      </c>
      <c r="G53" s="2"/>
      <c r="I53" s="2"/>
      <c r="K53" s="45">
        <f t="shared" ref="K53:K55" si="1">+E53</f>
        <v>37</v>
      </c>
    </row>
    <row r="54" spans="2:11" x14ac:dyDescent="0.2">
      <c r="B54" s="20" t="s">
        <v>36</v>
      </c>
      <c r="C54" s="20"/>
      <c r="D54" s="20"/>
      <c r="E54" s="25">
        <v>10</v>
      </c>
      <c r="F54" s="20"/>
      <c r="G54" s="48"/>
      <c r="H54" s="20"/>
      <c r="I54" s="48"/>
      <c r="J54" s="20"/>
      <c r="K54" s="46">
        <f t="shared" si="1"/>
        <v>10</v>
      </c>
    </row>
    <row r="55" spans="2:11" x14ac:dyDescent="0.2">
      <c r="B55" s="4" t="s">
        <v>37</v>
      </c>
      <c r="E55" s="26">
        <f>+SUM(E52:E54)</f>
        <v>102</v>
      </c>
      <c r="G55" s="2"/>
      <c r="I55" s="2"/>
      <c r="K55" s="45">
        <f t="shared" si="1"/>
        <v>102</v>
      </c>
    </row>
    <row r="56" spans="2:11" x14ac:dyDescent="0.2">
      <c r="G56" s="2"/>
      <c r="I56" s="2"/>
      <c r="K56" s="45"/>
    </row>
    <row r="57" spans="2:11" x14ac:dyDescent="0.2">
      <c r="B57" s="37" t="s">
        <v>38</v>
      </c>
      <c r="C57" s="37"/>
      <c r="D57" s="37"/>
      <c r="E57" s="38">
        <v>100</v>
      </c>
      <c r="G57" s="47">
        <f>+-E57</f>
        <v>-100</v>
      </c>
      <c r="I57" s="2"/>
      <c r="K57" s="45">
        <f>+G57+E57</f>
        <v>0</v>
      </c>
    </row>
    <row r="58" spans="2:11" x14ac:dyDescent="0.2">
      <c r="B58" s="39" t="s">
        <v>6</v>
      </c>
      <c r="C58" s="37"/>
      <c r="D58" s="37"/>
      <c r="E58" s="38"/>
      <c r="G58" s="2"/>
      <c r="I58" s="2">
        <f>+J5</f>
        <v>175</v>
      </c>
      <c r="K58" s="45">
        <f>+I58</f>
        <v>175</v>
      </c>
    </row>
    <row r="59" spans="2:11" x14ac:dyDescent="0.2">
      <c r="B59" s="39" t="s">
        <v>7</v>
      </c>
      <c r="C59" s="37"/>
      <c r="D59" s="37"/>
      <c r="E59" s="38"/>
      <c r="G59" s="2"/>
      <c r="I59" s="2">
        <f>+J6</f>
        <v>75</v>
      </c>
      <c r="K59" s="45">
        <f t="shared" ref="K59:K60" si="2">+I59</f>
        <v>75</v>
      </c>
    </row>
    <row r="60" spans="2:11" x14ac:dyDescent="0.2">
      <c r="B60" s="39" t="s">
        <v>8</v>
      </c>
      <c r="C60" s="37"/>
      <c r="D60" s="37"/>
      <c r="E60" s="38"/>
      <c r="G60" s="2"/>
      <c r="I60" s="2">
        <f>+J7</f>
        <v>50</v>
      </c>
      <c r="K60" s="45">
        <f t="shared" si="2"/>
        <v>50</v>
      </c>
    </row>
    <row r="61" spans="2:11" x14ac:dyDescent="0.2">
      <c r="B61" s="39" t="s">
        <v>83</v>
      </c>
      <c r="C61" s="37"/>
      <c r="D61" s="37"/>
      <c r="E61" s="38"/>
      <c r="G61" s="2"/>
      <c r="I61" s="50">
        <f>+E33</f>
        <v>22.89</v>
      </c>
      <c r="K61" s="45">
        <f>+I61</f>
        <v>22.89</v>
      </c>
    </row>
    <row r="62" spans="2:11" x14ac:dyDescent="0.2">
      <c r="B62" s="40" t="s">
        <v>84</v>
      </c>
      <c r="C62" s="20"/>
      <c r="D62" s="20"/>
      <c r="E62" s="29"/>
      <c r="F62" s="20"/>
      <c r="G62" s="51">
        <f>+-J14</f>
        <v>-7.5</v>
      </c>
      <c r="H62" s="20"/>
      <c r="I62" s="48"/>
      <c r="J62" s="20"/>
      <c r="K62" s="46">
        <f>+G62</f>
        <v>-7.5</v>
      </c>
    </row>
    <row r="63" spans="2:11" x14ac:dyDescent="0.2">
      <c r="B63" s="4" t="s">
        <v>39</v>
      </c>
      <c r="E63" s="26">
        <f>+SUM(E55,E57:E57)</f>
        <v>202</v>
      </c>
      <c r="G63" s="2"/>
      <c r="I63" s="2"/>
      <c r="K63" s="45">
        <f>SUM(K57:K62)+K55</f>
        <v>417.39</v>
      </c>
    </row>
    <row r="64" spans="2:11" x14ac:dyDescent="0.2">
      <c r="B64" s="20"/>
      <c r="C64" s="20"/>
      <c r="D64" s="20"/>
      <c r="E64" s="20"/>
      <c r="F64" s="20"/>
      <c r="G64" s="48"/>
      <c r="H64" s="20"/>
      <c r="I64" s="48"/>
      <c r="J64" s="20"/>
      <c r="K64" s="46"/>
    </row>
    <row r="65" spans="2:11" x14ac:dyDescent="0.2">
      <c r="B65" s="4" t="s">
        <v>40</v>
      </c>
      <c r="E65" s="30">
        <v>115</v>
      </c>
      <c r="G65" s="47">
        <f>+-E65-J13</f>
        <v>-125</v>
      </c>
      <c r="I65" s="50">
        <f>+E19</f>
        <v>347.5</v>
      </c>
      <c r="K65" s="45">
        <f>+I65+G65+E65</f>
        <v>337.5</v>
      </c>
    </row>
    <row r="66" spans="2:11" x14ac:dyDescent="0.2">
      <c r="B66" s="20"/>
      <c r="C66" s="20"/>
      <c r="D66" s="20"/>
      <c r="E66" s="20"/>
      <c r="F66" s="20"/>
      <c r="G66" s="20"/>
      <c r="H66" s="20"/>
      <c r="I66" s="20"/>
      <c r="J66" s="20"/>
      <c r="K66" s="46"/>
    </row>
    <row r="67" spans="2:11" x14ac:dyDescent="0.2">
      <c r="B67" s="33" t="s">
        <v>41</v>
      </c>
      <c r="E67" s="34">
        <f>+SUM(E63,E65)</f>
        <v>317</v>
      </c>
      <c r="K67" s="44">
        <f>+K50</f>
        <v>754.88999999999987</v>
      </c>
    </row>
    <row r="68" spans="2:11" x14ac:dyDescent="0.2">
      <c r="B68" s="33"/>
      <c r="E68" s="34"/>
      <c r="K68" s="44"/>
    </row>
    <row r="70" spans="2:11" x14ac:dyDescent="0.2">
      <c r="B70" s="4" t="s">
        <v>85</v>
      </c>
    </row>
    <row r="71" spans="2:11" ht="13.5" thickBot="1" x14ac:dyDescent="0.25">
      <c r="E71" s="11" t="s">
        <v>78</v>
      </c>
      <c r="F71" s="11">
        <v>2021</v>
      </c>
      <c r="G71" s="11">
        <f>+F71+1</f>
        <v>2022</v>
      </c>
      <c r="H71" s="11">
        <f t="shared" ref="H71:J71" si="3">+G71+1</f>
        <v>2023</v>
      </c>
      <c r="I71" s="11">
        <f t="shared" si="3"/>
        <v>2024</v>
      </c>
      <c r="J71" s="11">
        <f t="shared" si="3"/>
        <v>2025</v>
      </c>
    </row>
    <row r="72" spans="2:11" x14ac:dyDescent="0.2">
      <c r="E72" s="2"/>
      <c r="F72" s="2"/>
      <c r="G72" s="2"/>
      <c r="H72" s="2"/>
      <c r="I72" s="2"/>
      <c r="J72" s="2"/>
    </row>
    <row r="73" spans="2:11" x14ac:dyDescent="0.2">
      <c r="B73" s="4" t="s">
        <v>43</v>
      </c>
      <c r="E73" s="30">
        <v>715</v>
      </c>
      <c r="F73" s="45">
        <f>+E73*(1+F91)</f>
        <v>772.2</v>
      </c>
      <c r="G73" s="45">
        <f>+F73*(1+G91)</f>
        <v>837.83699999999999</v>
      </c>
      <c r="H73" s="45">
        <f>+G73*(1+H91)</f>
        <v>913.24233000000004</v>
      </c>
      <c r="I73" s="45">
        <f>+H73*(1+I91)</f>
        <v>1000.0003513500001</v>
      </c>
      <c r="J73" s="45">
        <f>+I73*(1+J91)</f>
        <v>1100.0003864850003</v>
      </c>
    </row>
    <row r="74" spans="2:11" x14ac:dyDescent="0.2">
      <c r="B74" s="20" t="s">
        <v>44</v>
      </c>
      <c r="C74" s="20"/>
      <c r="D74" s="20"/>
      <c r="E74" s="25">
        <v>-490</v>
      </c>
      <c r="F74" s="46">
        <f>+F73-F75</f>
        <v>527.4126</v>
      </c>
      <c r="G74" s="46">
        <f t="shared" ref="G74:J74" si="4">+G73-G75</f>
        <v>570.56699700000001</v>
      </c>
      <c r="H74" s="46">
        <f t="shared" si="4"/>
        <v>620.09154207000006</v>
      </c>
      <c r="I74" s="46">
        <f t="shared" si="4"/>
        <v>677.00023786395002</v>
      </c>
      <c r="J74" s="46">
        <f t="shared" si="4"/>
        <v>742.50026087737524</v>
      </c>
    </row>
    <row r="75" spans="2:11" x14ac:dyDescent="0.2">
      <c r="B75" s="4" t="s">
        <v>45</v>
      </c>
      <c r="E75" s="26">
        <f>SUM(E73:E74)</f>
        <v>225</v>
      </c>
      <c r="F75" s="45">
        <f>+F73*F92</f>
        <v>244.78740000000002</v>
      </c>
      <c r="G75" s="45">
        <f>+G73*G92</f>
        <v>267.27000299999997</v>
      </c>
      <c r="H75" s="45">
        <f>+H73*H92</f>
        <v>293.15078793000004</v>
      </c>
      <c r="I75" s="45">
        <f>+I73*I92</f>
        <v>323.00011348605005</v>
      </c>
      <c r="J75" s="45">
        <f>+J73*J92</f>
        <v>357.50012560762508</v>
      </c>
    </row>
    <row r="76" spans="2:11" x14ac:dyDescent="0.2">
      <c r="B76" t="s">
        <v>46</v>
      </c>
      <c r="E76" s="24">
        <v>-150</v>
      </c>
      <c r="F76" s="45">
        <f>+F73*F93</f>
        <v>162.16200000000001</v>
      </c>
      <c r="G76" s="45">
        <f>+G73*G93</f>
        <v>175.94576999999998</v>
      </c>
      <c r="H76" s="45">
        <f>+H73*H93</f>
        <v>191.78088930000001</v>
      </c>
      <c r="I76" s="45">
        <f>+I73*I93</f>
        <v>210.0000737835</v>
      </c>
      <c r="J76" s="45">
        <f>+J73*J93</f>
        <v>231.00008116185003</v>
      </c>
    </row>
    <row r="77" spans="2:11" x14ac:dyDescent="0.2">
      <c r="B77" s="20" t="s">
        <v>47</v>
      </c>
      <c r="C77" s="20"/>
      <c r="D77" s="20"/>
      <c r="E77" s="25">
        <v>-25</v>
      </c>
      <c r="F77" s="46">
        <f>+F73*F94</f>
        <v>27.027000000000005</v>
      </c>
      <c r="G77" s="46">
        <f>+G73*G94</f>
        <v>29.324295000000003</v>
      </c>
      <c r="H77" s="46">
        <f>+H73*H94</f>
        <v>31.963481550000004</v>
      </c>
      <c r="I77" s="46">
        <f>+I73*I94</f>
        <v>35.000012297250009</v>
      </c>
      <c r="J77" s="46">
        <f>+J73*J94</f>
        <v>38.50001352697501</v>
      </c>
    </row>
    <row r="78" spans="2:11" x14ac:dyDescent="0.2">
      <c r="B78" s="4" t="s">
        <v>48</v>
      </c>
      <c r="E78" s="26">
        <f>SUM(E75:E77)</f>
        <v>50</v>
      </c>
      <c r="F78" s="45">
        <f>+F75-SUM(F76:F77)</f>
        <v>55.598399999999998</v>
      </c>
      <c r="G78" s="45">
        <f t="shared" ref="G78:J78" si="5">+G75-SUM(G76:G77)</f>
        <v>61.999937999999986</v>
      </c>
      <c r="H78" s="45">
        <f t="shared" si="5"/>
        <v>69.406417080000011</v>
      </c>
      <c r="I78" s="45">
        <f t="shared" si="5"/>
        <v>78.000027405300045</v>
      </c>
      <c r="J78" s="45">
        <f t="shared" si="5"/>
        <v>88.000030918800064</v>
      </c>
    </row>
    <row r="79" spans="2:11" x14ac:dyDescent="0.2">
      <c r="B79" s="37" t="s">
        <v>49</v>
      </c>
      <c r="C79" s="37"/>
      <c r="D79" s="37"/>
      <c r="E79" s="52">
        <v>-10</v>
      </c>
      <c r="F79" s="45">
        <f>+-F73*F95</f>
        <v>-10.8108</v>
      </c>
      <c r="G79" s="45">
        <f t="shared" ref="G79:J79" si="6">+-G73*G95</f>
        <v>-11.729718</v>
      </c>
      <c r="H79" s="45">
        <f t="shared" si="6"/>
        <v>-12.785392620000001</v>
      </c>
      <c r="I79" s="45">
        <f t="shared" si="6"/>
        <v>-14.000004918900002</v>
      </c>
      <c r="J79" s="45">
        <f t="shared" si="6"/>
        <v>-15.400005410790005</v>
      </c>
    </row>
    <row r="80" spans="2:11" x14ac:dyDescent="0.2">
      <c r="B80" s="39" t="s">
        <v>92</v>
      </c>
      <c r="E80" s="52"/>
      <c r="F80" s="45">
        <f>+-$J$26</f>
        <v>-3.2533333333333334</v>
      </c>
      <c r="G80" s="45">
        <f t="shared" ref="G80:J80" si="7">+-$J$26</f>
        <v>-3.2533333333333334</v>
      </c>
      <c r="H80" s="45">
        <f t="shared" si="7"/>
        <v>-3.2533333333333334</v>
      </c>
      <c r="I80" s="45">
        <f t="shared" si="7"/>
        <v>-3.2533333333333334</v>
      </c>
      <c r="J80" s="45">
        <f t="shared" si="7"/>
        <v>-3.2533333333333334</v>
      </c>
    </row>
    <row r="81" spans="2:11" x14ac:dyDescent="0.2">
      <c r="B81" s="39" t="s">
        <v>93</v>
      </c>
      <c r="E81" s="52"/>
      <c r="F81" s="45">
        <f>+-$O$26</f>
        <v>-1.6600000000000001</v>
      </c>
      <c r="G81" s="45">
        <f t="shared" ref="G81:J81" si="8">+-$O$26</f>
        <v>-1.6600000000000001</v>
      </c>
      <c r="H81" s="45">
        <f t="shared" si="8"/>
        <v>-1.6600000000000001</v>
      </c>
      <c r="I81" s="45">
        <f t="shared" si="8"/>
        <v>-1.6600000000000001</v>
      </c>
      <c r="J81" s="45">
        <f t="shared" si="8"/>
        <v>-1.6600000000000001</v>
      </c>
    </row>
    <row r="82" spans="2:11" x14ac:dyDescent="0.2">
      <c r="B82" s="40" t="s">
        <v>94</v>
      </c>
      <c r="C82" s="20"/>
      <c r="D82" s="20"/>
      <c r="E82" s="25"/>
      <c r="F82" s="46">
        <f>+-$D$9</f>
        <v>-2</v>
      </c>
      <c r="G82" s="46">
        <f t="shared" ref="G82:J82" si="9">+-$D$9</f>
        <v>-2</v>
      </c>
      <c r="H82" s="46">
        <f t="shared" si="9"/>
        <v>-2</v>
      </c>
      <c r="I82" s="46">
        <f t="shared" si="9"/>
        <v>-2</v>
      </c>
      <c r="J82" s="46">
        <f t="shared" si="9"/>
        <v>-2</v>
      </c>
    </row>
    <row r="83" spans="2:11" x14ac:dyDescent="0.2">
      <c r="B83" s="4" t="s">
        <v>50</v>
      </c>
      <c r="E83" s="26">
        <f>SUM(E78:E79)</f>
        <v>40</v>
      </c>
      <c r="F83" s="45">
        <f>+F78+SUM(F79:F82)</f>
        <v>37.874266666666664</v>
      </c>
      <c r="G83" s="45">
        <f t="shared" ref="G83:J83" si="10">+G78+SUM(G79:G82)</f>
        <v>43.356886666666654</v>
      </c>
      <c r="H83" s="45">
        <f t="shared" si="10"/>
        <v>49.707691126666674</v>
      </c>
      <c r="I83" s="45">
        <f t="shared" si="10"/>
        <v>57.086689153066715</v>
      </c>
      <c r="J83" s="45">
        <f t="shared" si="10"/>
        <v>65.686692174676722</v>
      </c>
    </row>
    <row r="84" spans="2:11" x14ac:dyDescent="0.2">
      <c r="B84" s="37" t="s">
        <v>51</v>
      </c>
      <c r="E84" s="52">
        <v>-5</v>
      </c>
      <c r="F84" s="45">
        <f ca="1">+-G184</f>
        <v>-21.988168431350104</v>
      </c>
      <c r="G84" s="45">
        <f t="shared" ref="G84:J84" ca="1" si="11">+-H184</f>
        <v>-21.548151301862024</v>
      </c>
      <c r="H84" s="45">
        <f t="shared" ca="1" si="11"/>
        <v>-20.900095832268804</v>
      </c>
      <c r="I84" s="45">
        <f t="shared" ca="1" si="11"/>
        <v>-20.319817474290986</v>
      </c>
      <c r="J84" s="45">
        <f t="shared" ca="1" si="11"/>
        <v>-19.332457554408471</v>
      </c>
    </row>
    <row r="85" spans="2:11" x14ac:dyDescent="0.2">
      <c r="B85" s="54" t="s">
        <v>95</v>
      </c>
      <c r="C85" s="20"/>
      <c r="D85" s="20"/>
      <c r="E85" s="25"/>
      <c r="F85" s="46">
        <f>+-$O$8/7</f>
        <v>-1.0714285714285714</v>
      </c>
      <c r="G85" s="46">
        <f>+-$O$8/7</f>
        <v>-1.0714285714285714</v>
      </c>
      <c r="H85" s="46">
        <f>+-$O$8/7</f>
        <v>-1.0714285714285714</v>
      </c>
      <c r="I85" s="46">
        <f>+-$O$8/7</f>
        <v>-1.0714285714285714</v>
      </c>
      <c r="J85" s="46">
        <f>+-$O$8/7</f>
        <v>-1.0714285714285714</v>
      </c>
    </row>
    <row r="86" spans="2:11" x14ac:dyDescent="0.2">
      <c r="B86" s="4" t="s">
        <v>52</v>
      </c>
      <c r="E86" s="26">
        <f>+SUM(E83:E84)</f>
        <v>35</v>
      </c>
      <c r="F86" s="45">
        <f ca="1">+F83+F84+F85</f>
        <v>14.814669663887988</v>
      </c>
      <c r="G86" s="45">
        <f t="shared" ref="G86:J86" ca="1" si="12">+G83+G84+G85</f>
        <v>20.737306793376057</v>
      </c>
      <c r="H86" s="45">
        <f t="shared" ca="1" si="12"/>
        <v>27.736166722969298</v>
      </c>
      <c r="I86" s="45">
        <f t="shared" ca="1" si="12"/>
        <v>35.69544310734716</v>
      </c>
      <c r="J86" s="45">
        <f t="shared" ca="1" si="12"/>
        <v>45.282806048839682</v>
      </c>
    </row>
    <row r="87" spans="2:11" x14ac:dyDescent="0.2">
      <c r="B87" s="20" t="s">
        <v>53</v>
      </c>
      <c r="C87" s="20"/>
      <c r="D87" s="20"/>
      <c r="E87" s="25">
        <v>-10</v>
      </c>
      <c r="F87" s="46">
        <f ca="1">+-F86*F96</f>
        <v>-5.185134382360796</v>
      </c>
      <c r="G87" s="46">
        <f ca="1">+-G86*G96</f>
        <v>-7.2580573776816193</v>
      </c>
      <c r="H87" s="46">
        <f ca="1">+-H86*H96</f>
        <v>-9.7076583530392533</v>
      </c>
      <c r="I87" s="46">
        <f ca="1">+-I86*I96</f>
        <v>-12.493405087571505</v>
      </c>
      <c r="J87" s="46">
        <f ca="1">+-J86*J96</f>
        <v>-15.848982117093888</v>
      </c>
    </row>
    <row r="88" spans="2:11" x14ac:dyDescent="0.2">
      <c r="B88" s="4" t="s">
        <v>54</v>
      </c>
      <c r="E88" s="26">
        <f>+SUM(E86:E87)</f>
        <v>25</v>
      </c>
      <c r="F88" s="45">
        <f ca="1">+F86+F87</f>
        <v>9.6295352815271933</v>
      </c>
      <c r="G88" s="45">
        <f t="shared" ref="G88:J88" ca="1" si="13">+G86+G87</f>
        <v>13.479249415694436</v>
      </c>
      <c r="H88" s="45">
        <f t="shared" ca="1" si="13"/>
        <v>18.028508369930044</v>
      </c>
      <c r="I88" s="45">
        <f t="shared" ca="1" si="13"/>
        <v>23.202038019775657</v>
      </c>
      <c r="J88" s="45">
        <f t="shared" ca="1" si="13"/>
        <v>29.433823931745792</v>
      </c>
    </row>
    <row r="90" spans="2:11" ht="13.5" thickBot="1" x14ac:dyDescent="0.25">
      <c r="B90" s="6" t="s">
        <v>86</v>
      </c>
      <c r="C90" s="10"/>
      <c r="D90" s="10"/>
      <c r="E90" s="10"/>
      <c r="F90" s="10"/>
      <c r="G90" s="10"/>
      <c r="H90" s="10"/>
      <c r="I90" s="10"/>
      <c r="J90" s="10"/>
      <c r="K90" s="7" t="s">
        <v>97</v>
      </c>
    </row>
    <row r="91" spans="2:11" x14ac:dyDescent="0.2">
      <c r="B91" s="56" t="s">
        <v>87</v>
      </c>
      <c r="C91" s="57"/>
      <c r="D91" s="57"/>
      <c r="E91" s="58"/>
      <c r="F91" s="58">
        <v>0.08</v>
      </c>
      <c r="G91" s="58">
        <f>+F91+0.005</f>
        <v>8.5000000000000006E-2</v>
      </c>
      <c r="H91" s="58">
        <f t="shared" ref="H91:J91" si="14">+G91+0.005</f>
        <v>9.0000000000000011E-2</v>
      </c>
      <c r="I91" s="58">
        <f t="shared" si="14"/>
        <v>9.5000000000000015E-2</v>
      </c>
      <c r="J91" s="58">
        <f t="shared" si="14"/>
        <v>0.10000000000000002</v>
      </c>
      <c r="K91" s="59">
        <v>5.0000000000000001E-3</v>
      </c>
    </row>
    <row r="92" spans="2:11" x14ac:dyDescent="0.2">
      <c r="B92" s="60" t="s">
        <v>88</v>
      </c>
      <c r="C92" s="37"/>
      <c r="D92" s="37"/>
      <c r="E92" s="61">
        <v>0.315</v>
      </c>
      <c r="F92" s="61">
        <f>+E92+$K$92</f>
        <v>0.317</v>
      </c>
      <c r="G92" s="61">
        <f>+F92+$K$92</f>
        <v>0.31900000000000001</v>
      </c>
      <c r="H92" s="61">
        <f>+G92+$K$92</f>
        <v>0.32100000000000001</v>
      </c>
      <c r="I92" s="61">
        <f>+H92+$K$92</f>
        <v>0.32300000000000001</v>
      </c>
      <c r="J92" s="61">
        <f>+I92+$K$92</f>
        <v>0.32500000000000001</v>
      </c>
      <c r="K92" s="62">
        <v>2E-3</v>
      </c>
    </row>
    <row r="93" spans="2:11" x14ac:dyDescent="0.2">
      <c r="B93" s="60" t="s">
        <v>89</v>
      </c>
      <c r="C93" s="37"/>
      <c r="D93" s="37"/>
      <c r="E93" s="61"/>
      <c r="F93" s="61">
        <v>0.21</v>
      </c>
      <c r="G93" s="61">
        <v>0.21</v>
      </c>
      <c r="H93" s="61">
        <v>0.21</v>
      </c>
      <c r="I93" s="61">
        <v>0.21</v>
      </c>
      <c r="J93" s="61">
        <v>0.21</v>
      </c>
      <c r="K93" s="63"/>
    </row>
    <row r="94" spans="2:11" x14ac:dyDescent="0.2">
      <c r="B94" s="60" t="s">
        <v>90</v>
      </c>
      <c r="C94" s="37"/>
      <c r="D94" s="37"/>
      <c r="E94" s="61"/>
      <c r="F94" s="61">
        <v>3.5000000000000003E-2</v>
      </c>
      <c r="G94" s="61">
        <v>3.5000000000000003E-2</v>
      </c>
      <c r="H94" s="61">
        <v>3.5000000000000003E-2</v>
      </c>
      <c r="I94" s="61">
        <v>3.5000000000000003E-2</v>
      </c>
      <c r="J94" s="61">
        <v>3.5000000000000003E-2</v>
      </c>
      <c r="K94" s="63"/>
    </row>
    <row r="95" spans="2:11" x14ac:dyDescent="0.2">
      <c r="B95" s="60" t="s">
        <v>91</v>
      </c>
      <c r="C95" s="37"/>
      <c r="D95" s="37"/>
      <c r="E95" s="61"/>
      <c r="F95" s="61">
        <v>1.4E-2</v>
      </c>
      <c r="G95" s="61">
        <v>1.4E-2</v>
      </c>
      <c r="H95" s="61">
        <v>1.4E-2</v>
      </c>
      <c r="I95" s="61">
        <v>1.4E-2</v>
      </c>
      <c r="J95" s="61">
        <v>1.4E-2</v>
      </c>
      <c r="K95" s="63"/>
    </row>
    <row r="96" spans="2:11" ht="13.5" thickBot="1" x14ac:dyDescent="0.25">
      <c r="B96" s="64" t="s">
        <v>76</v>
      </c>
      <c r="C96" s="10"/>
      <c r="D96" s="10"/>
      <c r="E96" s="10"/>
      <c r="F96" s="12">
        <v>0.35</v>
      </c>
      <c r="G96" s="12">
        <v>0.35</v>
      </c>
      <c r="H96" s="12">
        <v>0.35</v>
      </c>
      <c r="I96" s="12">
        <v>0.35</v>
      </c>
      <c r="J96" s="12">
        <v>0.35</v>
      </c>
      <c r="K96" s="65"/>
    </row>
    <row r="99" spans="2:11" x14ac:dyDescent="0.2">
      <c r="B99" s="4" t="s">
        <v>98</v>
      </c>
    </row>
    <row r="100" spans="2:11" ht="13.5" thickBot="1" x14ac:dyDescent="0.25">
      <c r="G100" s="76">
        <v>2021</v>
      </c>
      <c r="H100" s="76">
        <f>2021+1</f>
        <v>2022</v>
      </c>
      <c r="I100" s="76">
        <v>2023</v>
      </c>
      <c r="J100" s="76">
        <v>2024</v>
      </c>
      <c r="K100" s="76">
        <v>2025</v>
      </c>
    </row>
    <row r="101" spans="2:11" x14ac:dyDescent="0.2">
      <c r="B101" t="s">
        <v>99</v>
      </c>
      <c r="G101" s="35">
        <f ca="1">+F88</f>
        <v>9.6295352815271933</v>
      </c>
      <c r="H101" s="35">
        <f t="shared" ref="H101:K101" ca="1" si="15">+G88</f>
        <v>13.479249415694436</v>
      </c>
      <c r="I101" s="35">
        <f t="shared" ca="1" si="15"/>
        <v>18.028508369930044</v>
      </c>
      <c r="J101" s="35">
        <f t="shared" ca="1" si="15"/>
        <v>23.202038019775657</v>
      </c>
      <c r="K101" s="35">
        <f t="shared" ca="1" si="15"/>
        <v>29.433823931745792</v>
      </c>
    </row>
    <row r="102" spans="2:11" x14ac:dyDescent="0.2">
      <c r="B102" t="s">
        <v>100</v>
      </c>
      <c r="G102" s="36">
        <f>+-F79</f>
        <v>10.8108</v>
      </c>
      <c r="H102" s="36">
        <f t="shared" ref="H102:K102" si="16">+-G79</f>
        <v>11.729718</v>
      </c>
      <c r="I102" s="36">
        <f t="shared" si="16"/>
        <v>12.785392620000001</v>
      </c>
      <c r="J102" s="36">
        <f t="shared" si="16"/>
        <v>14.000004918900002</v>
      </c>
      <c r="K102" s="36">
        <f t="shared" si="16"/>
        <v>15.400005410790005</v>
      </c>
    </row>
    <row r="103" spans="2:11" x14ac:dyDescent="0.2">
      <c r="B103" t="s">
        <v>101</v>
      </c>
      <c r="G103" s="45">
        <f>+-F80</f>
        <v>3.2533333333333334</v>
      </c>
      <c r="H103" s="45">
        <f t="shared" ref="H103:K103" si="17">+-G80</f>
        <v>3.2533333333333334</v>
      </c>
      <c r="I103" s="45">
        <f t="shared" si="17"/>
        <v>3.2533333333333334</v>
      </c>
      <c r="J103" s="45">
        <f t="shared" si="17"/>
        <v>3.2533333333333334</v>
      </c>
      <c r="K103" s="45">
        <f t="shared" si="17"/>
        <v>3.2533333333333334</v>
      </c>
    </row>
    <row r="104" spans="2:11" x14ac:dyDescent="0.2">
      <c r="B104" t="s">
        <v>102</v>
      </c>
      <c r="G104" s="45">
        <f>+-F81</f>
        <v>1.6600000000000001</v>
      </c>
      <c r="H104" s="45">
        <f t="shared" ref="H104:K104" si="18">+-G81</f>
        <v>1.6600000000000001</v>
      </c>
      <c r="I104" s="45">
        <f t="shared" si="18"/>
        <v>1.6600000000000001</v>
      </c>
      <c r="J104" s="45">
        <f t="shared" si="18"/>
        <v>1.6600000000000001</v>
      </c>
      <c r="K104" s="45">
        <f t="shared" si="18"/>
        <v>1.6600000000000001</v>
      </c>
    </row>
    <row r="105" spans="2:11" x14ac:dyDescent="0.2">
      <c r="B105" t="s">
        <v>103</v>
      </c>
      <c r="G105" s="45">
        <f>+-F85</f>
        <v>1.0714285714285714</v>
      </c>
      <c r="H105" s="45">
        <f t="shared" ref="H105:K105" si="19">+-G85</f>
        <v>1.0714285714285714</v>
      </c>
      <c r="I105" s="45">
        <f t="shared" si="19"/>
        <v>1.0714285714285714</v>
      </c>
      <c r="J105" s="45">
        <f t="shared" si="19"/>
        <v>1.0714285714285714</v>
      </c>
      <c r="K105" s="45">
        <f t="shared" si="19"/>
        <v>1.0714285714285714</v>
      </c>
    </row>
    <row r="106" spans="2:11" x14ac:dyDescent="0.2">
      <c r="B106" t="s">
        <v>104</v>
      </c>
      <c r="G106" s="45">
        <f>+G176</f>
        <v>2</v>
      </c>
      <c r="H106" s="45">
        <f t="shared" ref="H106:K106" si="20">+H176</f>
        <v>2.08</v>
      </c>
      <c r="I106" s="45">
        <f t="shared" si="20"/>
        <v>2.1631999999999998</v>
      </c>
      <c r="J106" s="45">
        <f t="shared" si="20"/>
        <v>2.2497280000000002</v>
      </c>
      <c r="K106" s="45">
        <f t="shared" si="20"/>
        <v>2.33971712</v>
      </c>
    </row>
    <row r="107" spans="2:11" x14ac:dyDescent="0.2">
      <c r="B107" t="s">
        <v>105</v>
      </c>
      <c r="G107" s="9">
        <f>+-$J$28-$O$28</f>
        <v>-1.7196666666666669</v>
      </c>
      <c r="H107" s="9">
        <f t="shared" ref="H107:K107" si="21">+-$J$28-$O$28</f>
        <v>-1.7196666666666669</v>
      </c>
      <c r="I107" s="9">
        <f t="shared" si="21"/>
        <v>-1.7196666666666669</v>
      </c>
      <c r="J107" s="9">
        <f t="shared" si="21"/>
        <v>-1.7196666666666669</v>
      </c>
      <c r="K107" s="9">
        <f t="shared" si="21"/>
        <v>-1.7196666666666669</v>
      </c>
    </row>
    <row r="108" spans="2:11" x14ac:dyDescent="0.2">
      <c r="B108" s="20" t="s">
        <v>106</v>
      </c>
      <c r="C108" s="20"/>
      <c r="D108" s="20"/>
      <c r="E108" s="20"/>
      <c r="F108" s="20"/>
      <c r="G108" s="46">
        <f ca="1">+G225</f>
        <v>-1.3670448979591896</v>
      </c>
      <c r="H108" s="46">
        <f t="shared" ref="H108:K108" ca="1" si="22">+H225</f>
        <v>-1.5778039591836688</v>
      </c>
      <c r="I108" s="46">
        <f t="shared" ca="1" si="22"/>
        <v>-1.810486002857175</v>
      </c>
      <c r="J108" s="46">
        <f t="shared" ca="1" si="22"/>
        <v>-2.0801241299571132</v>
      </c>
      <c r="K108" s="46">
        <f t="shared" ca="1" si="22"/>
        <v>-2.3937499490785683</v>
      </c>
    </row>
    <row r="109" spans="2:11" x14ac:dyDescent="0.2">
      <c r="B109" s="4" t="s">
        <v>107</v>
      </c>
      <c r="G109" s="35">
        <f ca="1">SUM(G101:G108)</f>
        <v>25.338385621663242</v>
      </c>
      <c r="H109" s="35">
        <f t="shared" ref="H109:K109" ca="1" si="23">SUM(H101:H108)</f>
        <v>29.97625869460601</v>
      </c>
      <c r="I109" s="35">
        <f t="shared" ca="1" si="23"/>
        <v>35.431710225168104</v>
      </c>
      <c r="J109" s="35">
        <f t="shared" ca="1" si="23"/>
        <v>41.636742046813772</v>
      </c>
      <c r="K109" s="35">
        <f t="shared" ca="1" si="23"/>
        <v>49.044891751552456</v>
      </c>
    </row>
    <row r="111" spans="2:11" x14ac:dyDescent="0.2">
      <c r="B111" s="20" t="s">
        <v>108</v>
      </c>
      <c r="C111" s="20"/>
      <c r="D111" s="20"/>
      <c r="E111" s="20"/>
      <c r="F111" s="20"/>
      <c r="G111" s="46">
        <f>+-G126*F73</f>
        <v>-15.444000000000001</v>
      </c>
      <c r="H111" s="46">
        <f>+-H126*G73</f>
        <v>-16.756740000000001</v>
      </c>
      <c r="I111" s="46">
        <f>+-I126*H73</f>
        <v>-18.264846600000002</v>
      </c>
      <c r="J111" s="46">
        <f>+-J126*I73</f>
        <v>-20.000007027000002</v>
      </c>
      <c r="K111" s="46">
        <f>+-K126*J73</f>
        <v>-22.000007729700005</v>
      </c>
    </row>
    <row r="112" spans="2:11" x14ac:dyDescent="0.2">
      <c r="B112" s="4" t="s">
        <v>109</v>
      </c>
      <c r="G112" s="45">
        <f ca="1">+G109+G111</f>
        <v>9.8943856216632415</v>
      </c>
      <c r="H112" s="45">
        <f t="shared" ref="H112:K112" ca="1" si="24">+H109+H111</f>
        <v>13.219518694606009</v>
      </c>
      <c r="I112" s="45">
        <f t="shared" ca="1" si="24"/>
        <v>17.166863625168101</v>
      </c>
      <c r="J112" s="45">
        <f t="shared" ca="1" si="24"/>
        <v>21.63673501981377</v>
      </c>
      <c r="K112" s="45">
        <f t="shared" ca="1" si="24"/>
        <v>27.04488402185245</v>
      </c>
    </row>
    <row r="114" spans="2:11" x14ac:dyDescent="0.2">
      <c r="B114" s="20" t="s">
        <v>111</v>
      </c>
      <c r="C114" s="20"/>
      <c r="D114" s="20"/>
      <c r="E114" s="20"/>
      <c r="F114" s="20"/>
      <c r="G114" s="46">
        <f>+G151</f>
        <v>-8.75</v>
      </c>
      <c r="H114" s="46">
        <f t="shared" ref="H114:K114" ca="1" si="25">+H151</f>
        <v>-8.255280718916838</v>
      </c>
      <c r="I114" s="46">
        <f t="shared" ca="1" si="25"/>
        <v>-7.5943047841865372</v>
      </c>
      <c r="J114" s="46">
        <f t="shared" ca="1" si="25"/>
        <v>-6.735961602928132</v>
      </c>
      <c r="K114" s="46">
        <f t="shared" ca="1" si="25"/>
        <v>-5.6541248519374427</v>
      </c>
    </row>
    <row r="115" spans="2:11" x14ac:dyDescent="0.2">
      <c r="B115" s="4" t="s">
        <v>112</v>
      </c>
      <c r="G115" s="45">
        <f ca="1">+G112+G114</f>
        <v>1.1443856216632415</v>
      </c>
      <c r="H115" s="45">
        <f t="shared" ref="H115:K115" ca="1" si="26">+H112+H114</f>
        <v>4.964237975689171</v>
      </c>
      <c r="I115" s="45">
        <f t="shared" ca="1" si="26"/>
        <v>9.5725588409815643</v>
      </c>
      <c r="J115" s="45">
        <f t="shared" ca="1" si="26"/>
        <v>14.900773416885638</v>
      </c>
      <c r="K115" s="45">
        <f t="shared" ca="1" si="26"/>
        <v>21.390759169915007</v>
      </c>
    </row>
    <row r="116" spans="2:11" x14ac:dyDescent="0.2">
      <c r="B116" s="20" t="s">
        <v>113</v>
      </c>
      <c r="C116" s="20"/>
      <c r="D116" s="20"/>
      <c r="E116" s="20"/>
      <c r="F116" s="20"/>
      <c r="G116" s="46">
        <f ca="1">+G135</f>
        <v>0</v>
      </c>
      <c r="H116" s="46">
        <f t="shared" ref="H116:K116" ca="1" si="27">+H135</f>
        <v>0</v>
      </c>
      <c r="I116" s="46">
        <f t="shared" ca="1" si="27"/>
        <v>0</v>
      </c>
      <c r="J116" s="46">
        <f t="shared" ca="1" si="27"/>
        <v>0</v>
      </c>
      <c r="K116" s="46">
        <f t="shared" ca="1" si="27"/>
        <v>0</v>
      </c>
    </row>
    <row r="117" spans="2:11" x14ac:dyDescent="0.2">
      <c r="B117" s="4" t="s">
        <v>114</v>
      </c>
      <c r="G117" s="45">
        <f ca="1">+G115+G116</f>
        <v>1.1443856216632415</v>
      </c>
      <c r="H117" s="45">
        <f t="shared" ref="H117" ca="1" si="28">+H115+H116</f>
        <v>4.964237975689171</v>
      </c>
      <c r="I117" s="45">
        <f t="shared" ref="I117" ca="1" si="29">+I115+I116</f>
        <v>9.5725588409815643</v>
      </c>
      <c r="J117" s="45">
        <f t="shared" ref="J117" ca="1" si="30">+J115+J116</f>
        <v>14.900773416885638</v>
      </c>
      <c r="K117" s="45">
        <f t="shared" ref="K117" ca="1" si="31">+K115+K116</f>
        <v>21.390759169915007</v>
      </c>
    </row>
    <row r="118" spans="2:11" x14ac:dyDescent="0.2">
      <c r="B118" s="20" t="s">
        <v>115</v>
      </c>
      <c r="C118" s="20"/>
      <c r="D118" s="20"/>
      <c r="E118" s="20"/>
      <c r="F118" s="20"/>
      <c r="G118" s="46">
        <f ca="1">+G152</f>
        <v>-1.1443856216632415</v>
      </c>
      <c r="H118" s="46">
        <f t="shared" ref="H118:K118" ca="1" si="32">+H152</f>
        <v>-4.964237975689171</v>
      </c>
      <c r="I118" s="46">
        <f t="shared" ca="1" si="32"/>
        <v>-9.5725588409815643</v>
      </c>
      <c r="J118" s="46">
        <f t="shared" ca="1" si="32"/>
        <v>-14.900773416885638</v>
      </c>
      <c r="K118" s="46">
        <f t="shared" ca="1" si="32"/>
        <v>-21.390759169915007</v>
      </c>
    </row>
    <row r="119" spans="2:11" x14ac:dyDescent="0.2">
      <c r="B119" s="4" t="s">
        <v>116</v>
      </c>
      <c r="G119" s="45">
        <f ca="1">SUM(G117:G118)</f>
        <v>0</v>
      </c>
      <c r="H119" s="45">
        <f t="shared" ref="H119" ca="1" si="33">SUM(H117:H118)</f>
        <v>0</v>
      </c>
      <c r="I119" s="45">
        <f t="shared" ref="I119" ca="1" si="34">SUM(I117:I118)</f>
        <v>0</v>
      </c>
      <c r="J119" s="45">
        <f t="shared" ref="J119" ca="1" si="35">SUM(J117:J118)</f>
        <v>0</v>
      </c>
      <c r="K119" s="45">
        <f t="shared" ref="K119" ca="1" si="36">SUM(K117:K118)</f>
        <v>0</v>
      </c>
    </row>
    <row r="121" spans="2:11" x14ac:dyDescent="0.2">
      <c r="B121" t="s">
        <v>117</v>
      </c>
      <c r="G121" s="45">
        <f>+K41</f>
        <v>5</v>
      </c>
      <c r="H121" s="45">
        <f ca="1">+G123</f>
        <v>5</v>
      </c>
      <c r="I121" s="45">
        <f t="shared" ref="I121:K121" ca="1" si="37">+H123</f>
        <v>5</v>
      </c>
      <c r="J121" s="45">
        <f t="shared" ca="1" si="37"/>
        <v>5</v>
      </c>
      <c r="K121" s="45">
        <f t="shared" ca="1" si="37"/>
        <v>5</v>
      </c>
    </row>
    <row r="122" spans="2:11" x14ac:dyDescent="0.2">
      <c r="B122" s="20" t="s">
        <v>118</v>
      </c>
      <c r="C122" s="20"/>
      <c r="D122" s="20"/>
      <c r="E122" s="20"/>
      <c r="F122" s="20"/>
      <c r="G122" s="46">
        <f ca="1">+G119</f>
        <v>0</v>
      </c>
      <c r="H122" s="46">
        <f t="shared" ref="H122:K122" ca="1" si="38">+H119</f>
        <v>0</v>
      </c>
      <c r="I122" s="46">
        <f t="shared" ca="1" si="38"/>
        <v>0</v>
      </c>
      <c r="J122" s="46">
        <f t="shared" ca="1" si="38"/>
        <v>0</v>
      </c>
      <c r="K122" s="46">
        <f t="shared" ca="1" si="38"/>
        <v>0</v>
      </c>
    </row>
    <row r="123" spans="2:11" x14ac:dyDescent="0.2">
      <c r="B123" s="4" t="s">
        <v>119</v>
      </c>
      <c r="G123" s="45">
        <f ca="1">SUM(G121:G122)</f>
        <v>5</v>
      </c>
      <c r="H123" s="45">
        <f t="shared" ref="H123:K123" ca="1" si="39">SUM(H121:H122)</f>
        <v>5</v>
      </c>
      <c r="I123" s="45">
        <f t="shared" ca="1" si="39"/>
        <v>5</v>
      </c>
      <c r="J123" s="45">
        <f t="shared" ca="1" si="39"/>
        <v>5</v>
      </c>
      <c r="K123" s="45">
        <f t="shared" ca="1" si="39"/>
        <v>5</v>
      </c>
    </row>
    <row r="125" spans="2:11" x14ac:dyDescent="0.2">
      <c r="B125" s="4" t="s">
        <v>86</v>
      </c>
    </row>
    <row r="126" spans="2:11" x14ac:dyDescent="0.2">
      <c r="B126" t="s">
        <v>110</v>
      </c>
      <c r="G126" s="1">
        <v>0.02</v>
      </c>
      <c r="H126" s="1">
        <v>0.02</v>
      </c>
      <c r="I126" s="1">
        <v>0.02</v>
      </c>
      <c r="J126" s="1">
        <v>0.02</v>
      </c>
      <c r="K126" s="1">
        <v>0.02</v>
      </c>
    </row>
    <row r="128" spans="2:11" x14ac:dyDescent="0.2">
      <c r="B128" s="4" t="s">
        <v>120</v>
      </c>
    </row>
    <row r="129" spans="2:11" ht="13.5" thickBot="1" x14ac:dyDescent="0.25">
      <c r="G129" s="76">
        <v>2021</v>
      </c>
      <c r="H129" s="76">
        <f>2021+1</f>
        <v>2022</v>
      </c>
      <c r="I129" s="76">
        <v>2023</v>
      </c>
      <c r="J129" s="76">
        <v>2024</v>
      </c>
      <c r="K129" s="76">
        <v>2025</v>
      </c>
    </row>
    <row r="131" spans="2:11" x14ac:dyDescent="0.2">
      <c r="B131" s="77" t="s">
        <v>121</v>
      </c>
      <c r="G131">
        <v>150</v>
      </c>
      <c r="H131">
        <f>+G131+25</f>
        <v>175</v>
      </c>
      <c r="I131">
        <f t="shared" ref="I131:K131" si="40">+H131+25</f>
        <v>200</v>
      </c>
      <c r="J131">
        <f t="shared" si="40"/>
        <v>225</v>
      </c>
      <c r="K131">
        <f t="shared" si="40"/>
        <v>250</v>
      </c>
    </row>
    <row r="133" spans="2:11" x14ac:dyDescent="0.2">
      <c r="B133" s="4" t="s">
        <v>5</v>
      </c>
    </row>
    <row r="134" spans="2:11" x14ac:dyDescent="0.2">
      <c r="B134" t="s">
        <v>122</v>
      </c>
      <c r="G134" s="45">
        <f>+E12</f>
        <v>0</v>
      </c>
      <c r="H134" s="45">
        <f ca="1">+G136</f>
        <v>0</v>
      </c>
      <c r="I134" s="45">
        <f t="shared" ref="I134:K134" ca="1" si="41">+H136</f>
        <v>0</v>
      </c>
      <c r="J134" s="45">
        <f t="shared" ca="1" si="41"/>
        <v>0</v>
      </c>
      <c r="K134" s="45">
        <f t="shared" ca="1" si="41"/>
        <v>0</v>
      </c>
    </row>
    <row r="135" spans="2:11" x14ac:dyDescent="0.2">
      <c r="B135" t="s">
        <v>123</v>
      </c>
      <c r="G135" s="45">
        <f ca="1">+MIN(G140,-MIN(G134,G115))</f>
        <v>0</v>
      </c>
      <c r="H135" s="45">
        <f t="shared" ref="H135:K135" ca="1" si="42">+MIN(H140,-MIN(H134,H115))</f>
        <v>0</v>
      </c>
      <c r="I135" s="45">
        <f t="shared" ca="1" si="42"/>
        <v>0</v>
      </c>
      <c r="J135" s="45">
        <f t="shared" ca="1" si="42"/>
        <v>0</v>
      </c>
      <c r="K135" s="45">
        <f t="shared" ca="1" si="42"/>
        <v>0</v>
      </c>
    </row>
    <row r="136" spans="2:11" x14ac:dyDescent="0.2">
      <c r="B136" t="s">
        <v>124</v>
      </c>
      <c r="G136" s="45">
        <f ca="1">SUM(G134:G135)</f>
        <v>0</v>
      </c>
      <c r="H136" s="45">
        <f t="shared" ref="H136:K136" ca="1" si="43">SUM(H134:H135)</f>
        <v>0</v>
      </c>
      <c r="I136" s="45">
        <f t="shared" ca="1" si="43"/>
        <v>0</v>
      </c>
      <c r="J136" s="45">
        <f t="shared" ca="1" si="43"/>
        <v>0</v>
      </c>
      <c r="K136" s="45">
        <f t="shared" ca="1" si="43"/>
        <v>0</v>
      </c>
    </row>
    <row r="138" spans="2:11" x14ac:dyDescent="0.2">
      <c r="B138" t="s">
        <v>125</v>
      </c>
      <c r="G138" s="45">
        <f>ROUND((K42+K43)*0.75,-1)</f>
        <v>80</v>
      </c>
      <c r="H138" s="45">
        <f>+G138</f>
        <v>80</v>
      </c>
      <c r="I138" s="45">
        <f t="shared" ref="I138:K138" si="44">+H138</f>
        <v>80</v>
      </c>
      <c r="J138" s="45">
        <f t="shared" si="44"/>
        <v>80</v>
      </c>
      <c r="K138" s="45">
        <f t="shared" si="44"/>
        <v>80</v>
      </c>
    </row>
    <row r="139" spans="2:11" x14ac:dyDescent="0.2">
      <c r="G139" s="45"/>
      <c r="H139" s="45"/>
      <c r="I139" s="45"/>
      <c r="J139" s="45"/>
      <c r="K139" s="45"/>
    </row>
    <row r="140" spans="2:11" x14ac:dyDescent="0.2">
      <c r="B140" t="s">
        <v>127</v>
      </c>
      <c r="G140" s="45">
        <f>+G138-G134</f>
        <v>80</v>
      </c>
      <c r="H140" s="45">
        <f t="shared" ref="H140:K140" ca="1" si="45">+H138-H134</f>
        <v>80</v>
      </c>
      <c r="I140" s="45">
        <f t="shared" ca="1" si="45"/>
        <v>80</v>
      </c>
      <c r="J140" s="45">
        <f t="shared" ca="1" si="45"/>
        <v>80</v>
      </c>
      <c r="K140" s="45">
        <f t="shared" ca="1" si="45"/>
        <v>80</v>
      </c>
    </row>
    <row r="141" spans="2:11" x14ac:dyDescent="0.2">
      <c r="B141" t="s">
        <v>128</v>
      </c>
      <c r="G141" s="45">
        <f ca="1">+G140-G135</f>
        <v>80</v>
      </c>
      <c r="H141" s="45">
        <f t="shared" ref="H141:K141" ca="1" si="46">+H140-H135</f>
        <v>80</v>
      </c>
      <c r="I141" s="45">
        <f t="shared" ca="1" si="46"/>
        <v>80</v>
      </c>
      <c r="J141" s="45">
        <f t="shared" ca="1" si="46"/>
        <v>80</v>
      </c>
      <c r="K141" s="45">
        <f t="shared" ca="1" si="46"/>
        <v>80</v>
      </c>
    </row>
    <row r="143" spans="2:11" x14ac:dyDescent="0.2">
      <c r="B143" t="s">
        <v>131</v>
      </c>
      <c r="G143" s="3">
        <f>MAX($L$4,G$131/10000)+(400/10000)</f>
        <v>5.5E-2</v>
      </c>
      <c r="H143" s="3">
        <f t="shared" ref="H143:K143" si="47">MAX($L$4,H$131/10000)+(400/10000)</f>
        <v>5.7500000000000002E-2</v>
      </c>
      <c r="I143" s="3">
        <f t="shared" si="47"/>
        <v>0.06</v>
      </c>
      <c r="J143" s="3">
        <f t="shared" si="47"/>
        <v>6.25E-2</v>
      </c>
      <c r="K143" s="3">
        <f t="shared" si="47"/>
        <v>6.5000000000000002E-2</v>
      </c>
    </row>
    <row r="144" spans="2:11" x14ac:dyDescent="0.2">
      <c r="B144" t="s">
        <v>132</v>
      </c>
      <c r="G144" s="45">
        <f ca="1">IF($T$3=1,AVERAGE(G134,G136)*G143,0)</f>
        <v>0</v>
      </c>
      <c r="H144" s="45">
        <f t="shared" ref="H144:K144" ca="1" si="48">IF($T$3=1,AVERAGE(H134,H136)*H143,0)</f>
        <v>0</v>
      </c>
      <c r="I144" s="45">
        <f t="shared" ca="1" si="48"/>
        <v>0</v>
      </c>
      <c r="J144" s="45">
        <f t="shared" ca="1" si="48"/>
        <v>0</v>
      </c>
      <c r="K144" s="45">
        <f t="shared" ca="1" si="48"/>
        <v>0</v>
      </c>
    </row>
    <row r="146" spans="2:11" x14ac:dyDescent="0.2">
      <c r="B146" t="s">
        <v>129</v>
      </c>
      <c r="G146" s="55">
        <v>2.5000000000000001E-3</v>
      </c>
      <c r="H146" s="55">
        <v>2.5000000000000001E-3</v>
      </c>
      <c r="I146" s="55">
        <v>2.5000000000000001E-3</v>
      </c>
      <c r="J146" s="55">
        <v>2.5000000000000001E-3</v>
      </c>
      <c r="K146" s="55">
        <v>2.5000000000000001E-3</v>
      </c>
    </row>
    <row r="147" spans="2:11" x14ac:dyDescent="0.2">
      <c r="B147" t="s">
        <v>130</v>
      </c>
      <c r="G147" s="78">
        <f ca="1">+IF($T$3=1,AVERAGE(G141,G140)*G146,0)</f>
        <v>0.2</v>
      </c>
      <c r="H147" s="78">
        <f t="shared" ref="H147:K147" ca="1" si="49">+IF($T$3=1,AVERAGE(H141,H140)*H146,0)</f>
        <v>0.2</v>
      </c>
      <c r="I147" s="78">
        <f t="shared" ca="1" si="49"/>
        <v>0.2</v>
      </c>
      <c r="J147" s="78">
        <f t="shared" ca="1" si="49"/>
        <v>0.2</v>
      </c>
      <c r="K147" s="78">
        <f t="shared" ca="1" si="49"/>
        <v>0.2</v>
      </c>
    </row>
    <row r="149" spans="2:11" x14ac:dyDescent="0.2">
      <c r="B149" s="4" t="s">
        <v>6</v>
      </c>
    </row>
    <row r="150" spans="2:11" x14ac:dyDescent="0.2">
      <c r="B150" t="s">
        <v>122</v>
      </c>
      <c r="G150">
        <f>+E13</f>
        <v>175</v>
      </c>
      <c r="H150" s="45">
        <f ca="1">+G153</f>
        <v>165.10561437833675</v>
      </c>
      <c r="I150" s="45">
        <f t="shared" ref="I150:K150" ca="1" si="50">+H153</f>
        <v>151.88609568373073</v>
      </c>
      <c r="J150" s="45">
        <f t="shared" ca="1" si="50"/>
        <v>134.71923205856262</v>
      </c>
      <c r="K150" s="45">
        <f t="shared" ca="1" si="50"/>
        <v>113.08249703874885</v>
      </c>
    </row>
    <row r="151" spans="2:11" x14ac:dyDescent="0.2">
      <c r="B151" t="s">
        <v>133</v>
      </c>
      <c r="G151" s="45">
        <f>+-G150*$M$5</f>
        <v>-8.75</v>
      </c>
      <c r="H151" s="45">
        <f t="shared" ref="H151:K151" ca="1" si="51">+-H150*$M$5</f>
        <v>-8.255280718916838</v>
      </c>
      <c r="I151" s="45">
        <f t="shared" ca="1" si="51"/>
        <v>-7.5943047841865372</v>
      </c>
      <c r="J151" s="45">
        <f t="shared" ca="1" si="51"/>
        <v>-6.735961602928132</v>
      </c>
      <c r="K151" s="45">
        <f t="shared" ca="1" si="51"/>
        <v>-5.6541248519374427</v>
      </c>
    </row>
    <row r="152" spans="2:11" x14ac:dyDescent="0.2">
      <c r="B152" t="s">
        <v>152</v>
      </c>
      <c r="G152" s="45">
        <f ca="1">+-MIN(SUM(G150:G151),G117)</f>
        <v>-1.1443856216632415</v>
      </c>
      <c r="H152" s="45">
        <f t="shared" ref="H152" ca="1" si="52">+-MIN(SUM(H150:H151),H117)</f>
        <v>-4.964237975689171</v>
      </c>
      <c r="I152" s="45">
        <f t="shared" ref="I152" ca="1" si="53">+-MIN(SUM(I150:I151),I117)</f>
        <v>-9.5725588409815643</v>
      </c>
      <c r="J152" s="45">
        <f t="shared" ref="J152" ca="1" si="54">+-MIN(SUM(J150:J151),J117)</f>
        <v>-14.900773416885638</v>
      </c>
      <c r="K152" s="45">
        <f t="shared" ref="K152" ca="1" si="55">+-MIN(SUM(K150:K151),K117)</f>
        <v>-21.390759169915007</v>
      </c>
    </row>
    <row r="153" spans="2:11" x14ac:dyDescent="0.2">
      <c r="B153" t="s">
        <v>126</v>
      </c>
      <c r="G153" s="45">
        <f ca="1">SUM(G150:G152)</f>
        <v>165.10561437833675</v>
      </c>
      <c r="H153" s="45">
        <f t="shared" ref="H153" ca="1" si="56">SUM(H150:H152)</f>
        <v>151.88609568373073</v>
      </c>
      <c r="I153" s="45">
        <f t="shared" ref="I153" ca="1" si="57">SUM(I150:I152)</f>
        <v>134.71923205856262</v>
      </c>
      <c r="J153" s="45">
        <f t="shared" ref="J153" ca="1" si="58">SUM(J150:J152)</f>
        <v>113.08249703874885</v>
      </c>
      <c r="K153" s="45">
        <f t="shared" ref="K153" ca="1" si="59">SUM(K150:K152)</f>
        <v>86.037613016896415</v>
      </c>
    </row>
    <row r="155" spans="2:11" x14ac:dyDescent="0.2">
      <c r="B155" t="s">
        <v>135</v>
      </c>
      <c r="G155" s="3">
        <f>+MAX($L$5,G$131/10000)+(400/10000)</f>
        <v>0.06</v>
      </c>
      <c r="H155" s="3">
        <f t="shared" ref="H155:K155" si="60">+MAX($L$5,H$131/10000)+(400/10000)</f>
        <v>0.06</v>
      </c>
      <c r="I155" s="3">
        <f t="shared" si="60"/>
        <v>0.06</v>
      </c>
      <c r="J155" s="3">
        <f t="shared" si="60"/>
        <v>6.25E-2</v>
      </c>
      <c r="K155" s="3">
        <f t="shared" si="60"/>
        <v>6.5000000000000002E-2</v>
      </c>
    </row>
    <row r="156" spans="2:11" x14ac:dyDescent="0.2">
      <c r="B156" t="s">
        <v>134</v>
      </c>
      <c r="G156" s="45">
        <f ca="1">IF($T$3=1,AVERAGE(G153,G150)*G155,0)</f>
        <v>10.203168431350104</v>
      </c>
      <c r="H156" s="45">
        <f t="shared" ref="H156:K156" ca="1" si="61">IF($T$3=1,AVERAGE(H153,H150)*H155,0)</f>
        <v>9.509751301862023</v>
      </c>
      <c r="I156" s="45">
        <f t="shared" ca="1" si="61"/>
        <v>8.5981598322688004</v>
      </c>
      <c r="J156" s="45">
        <f t="shared" ca="1" si="61"/>
        <v>7.7438040342909833</v>
      </c>
      <c r="K156" s="45">
        <f t="shared" ca="1" si="61"/>
        <v>6.4714035768084717</v>
      </c>
    </row>
    <row r="158" spans="2:11" x14ac:dyDescent="0.2">
      <c r="B158" s="4" t="s">
        <v>7</v>
      </c>
    </row>
    <row r="159" spans="2:11" x14ac:dyDescent="0.2">
      <c r="B159" t="s">
        <v>122</v>
      </c>
      <c r="G159">
        <f>E14</f>
        <v>75</v>
      </c>
      <c r="H159">
        <f>+G161</f>
        <v>75</v>
      </c>
      <c r="I159">
        <f t="shared" ref="I159:K159" si="62">+H161</f>
        <v>75</v>
      </c>
      <c r="J159">
        <f t="shared" si="62"/>
        <v>75</v>
      </c>
      <c r="K159">
        <f t="shared" si="62"/>
        <v>75</v>
      </c>
    </row>
    <row r="160" spans="2:11" x14ac:dyDescent="0.2">
      <c r="B160" t="s">
        <v>153</v>
      </c>
      <c r="G160">
        <f>+-MIN($E$14*$M$6,G159)</f>
        <v>0</v>
      </c>
      <c r="H160">
        <f t="shared" ref="H160:K160" si="63">+-MIN($E$14*$M$6,H159)</f>
        <v>0</v>
      </c>
      <c r="I160">
        <f t="shared" si="63"/>
        <v>0</v>
      </c>
      <c r="J160">
        <f t="shared" si="63"/>
        <v>0</v>
      </c>
      <c r="K160">
        <f t="shared" si="63"/>
        <v>0</v>
      </c>
    </row>
    <row r="161" spans="2:11" x14ac:dyDescent="0.2">
      <c r="B161" t="s">
        <v>126</v>
      </c>
      <c r="G161">
        <f>SUM(G159:G160)</f>
        <v>75</v>
      </c>
      <c r="H161">
        <f t="shared" ref="H161:K161" si="64">SUM(H159:H160)</f>
        <v>75</v>
      </c>
      <c r="I161">
        <f t="shared" si="64"/>
        <v>75</v>
      </c>
      <c r="J161">
        <f t="shared" si="64"/>
        <v>75</v>
      </c>
      <c r="K161">
        <f t="shared" si="64"/>
        <v>75</v>
      </c>
    </row>
    <row r="163" spans="2:11" x14ac:dyDescent="0.2">
      <c r="B163" t="s">
        <v>136</v>
      </c>
      <c r="G163" s="3">
        <f>+$K$6</f>
        <v>7.0000000000000007E-2</v>
      </c>
      <c r="H163" s="3">
        <f t="shared" ref="H163:K163" si="65">+$K$6</f>
        <v>7.0000000000000007E-2</v>
      </c>
      <c r="I163" s="3">
        <f t="shared" si="65"/>
        <v>7.0000000000000007E-2</v>
      </c>
      <c r="J163" s="3">
        <f t="shared" si="65"/>
        <v>7.0000000000000007E-2</v>
      </c>
      <c r="K163" s="3">
        <f t="shared" si="65"/>
        <v>7.0000000000000007E-2</v>
      </c>
    </row>
    <row r="164" spans="2:11" x14ac:dyDescent="0.2">
      <c r="B164" t="s">
        <v>134</v>
      </c>
      <c r="G164" s="45">
        <f>+IF($T$3=1,AVERAGE(G161,G159)*G163,0)</f>
        <v>5.2500000000000009</v>
      </c>
      <c r="H164">
        <f t="shared" ref="H164:K164" si="66">+IF($T$3=1,AVERAGE(H161,H159)*H163,0)</f>
        <v>5.2500000000000009</v>
      </c>
      <c r="I164">
        <f t="shared" si="66"/>
        <v>5.2500000000000009</v>
      </c>
      <c r="J164">
        <f t="shared" si="66"/>
        <v>5.2500000000000009</v>
      </c>
      <c r="K164">
        <f t="shared" si="66"/>
        <v>5.2500000000000009</v>
      </c>
    </row>
    <row r="166" spans="2:11" x14ac:dyDescent="0.2">
      <c r="B166" s="4" t="s">
        <v>8</v>
      </c>
    </row>
    <row r="167" spans="2:11" x14ac:dyDescent="0.2">
      <c r="B167" t="s">
        <v>137</v>
      </c>
      <c r="G167">
        <f>+E15</f>
        <v>50</v>
      </c>
      <c r="H167">
        <f>+G170</f>
        <v>52</v>
      </c>
      <c r="I167" s="45">
        <f t="shared" ref="I167:K167" si="67">+H170</f>
        <v>54.08</v>
      </c>
      <c r="J167" s="45">
        <f t="shared" si="67"/>
        <v>56.243200000000002</v>
      </c>
      <c r="K167" s="45">
        <f t="shared" si="67"/>
        <v>58.492927999999999</v>
      </c>
    </row>
    <row r="168" spans="2:11" x14ac:dyDescent="0.2">
      <c r="B168" t="s">
        <v>138</v>
      </c>
      <c r="G168">
        <f>+-MIN($E$15*$M$7,G167)</f>
        <v>0</v>
      </c>
      <c r="H168">
        <f t="shared" ref="H168:K168" si="68">+-MIN($E$15*$M$7,H167)</f>
        <v>0</v>
      </c>
      <c r="I168">
        <f t="shared" si="68"/>
        <v>0</v>
      </c>
      <c r="J168">
        <f t="shared" si="68"/>
        <v>0</v>
      </c>
      <c r="K168">
        <f t="shared" si="68"/>
        <v>0</v>
      </c>
    </row>
    <row r="169" spans="2:11" x14ac:dyDescent="0.2">
      <c r="B169" t="s">
        <v>139</v>
      </c>
      <c r="G169">
        <f>+G176</f>
        <v>2</v>
      </c>
      <c r="H169" s="45">
        <f t="shared" ref="H169:K169" si="69">+H176</f>
        <v>2.08</v>
      </c>
      <c r="I169" s="45">
        <f t="shared" si="69"/>
        <v>2.1631999999999998</v>
      </c>
      <c r="J169" s="45">
        <f t="shared" si="69"/>
        <v>2.2497280000000002</v>
      </c>
      <c r="K169" s="45">
        <f t="shared" si="69"/>
        <v>2.33971712</v>
      </c>
    </row>
    <row r="170" spans="2:11" x14ac:dyDescent="0.2">
      <c r="B170" t="s">
        <v>140</v>
      </c>
      <c r="G170">
        <f>SUM(G167:G169)</f>
        <v>52</v>
      </c>
      <c r="H170" s="45">
        <f t="shared" ref="H170:K170" si="70">SUM(H167:H169)</f>
        <v>54.08</v>
      </c>
      <c r="I170" s="45">
        <f t="shared" si="70"/>
        <v>56.243200000000002</v>
      </c>
      <c r="J170" s="45">
        <f t="shared" si="70"/>
        <v>58.492927999999999</v>
      </c>
      <c r="K170" s="45">
        <f t="shared" si="70"/>
        <v>60.832645120000002</v>
      </c>
    </row>
    <row r="172" spans="2:11" x14ac:dyDescent="0.2">
      <c r="B172" t="s">
        <v>141</v>
      </c>
      <c r="G172" s="3">
        <v>8.5000000000000006E-2</v>
      </c>
      <c r="H172" s="3">
        <v>8.5000000000000006E-2</v>
      </c>
      <c r="I172" s="3">
        <v>8.5000000000000006E-2</v>
      </c>
      <c r="J172" s="3">
        <v>8.5000000000000006E-2</v>
      </c>
      <c r="K172" s="3">
        <v>8.5000000000000006E-2</v>
      </c>
    </row>
    <row r="173" spans="2:11" x14ac:dyDescent="0.2">
      <c r="B173" t="s">
        <v>142</v>
      </c>
      <c r="G173" s="3">
        <v>0.04</v>
      </c>
      <c r="H173" s="3">
        <v>0.04</v>
      </c>
      <c r="I173" s="3">
        <v>0.04</v>
      </c>
      <c r="J173" s="3">
        <v>0.04</v>
      </c>
      <c r="K173" s="3">
        <v>0.04</v>
      </c>
    </row>
    <row r="175" spans="2:11" x14ac:dyDescent="0.2">
      <c r="B175" t="s">
        <v>143</v>
      </c>
      <c r="G175" s="45">
        <f>+IF($T$3=1,AVERAGE(G170,G167)*G172,0)</f>
        <v>4.335</v>
      </c>
      <c r="H175" s="45">
        <f t="shared" ref="H175:K175" si="71">+IF($T$3=1,AVERAGE(H170,H167)*H172,0)</f>
        <v>4.5084</v>
      </c>
      <c r="I175" s="45">
        <f t="shared" si="71"/>
        <v>4.6887360000000005</v>
      </c>
      <c r="J175" s="45">
        <f t="shared" si="71"/>
        <v>4.8762854400000011</v>
      </c>
      <c r="K175" s="45">
        <f t="shared" si="71"/>
        <v>5.0713368576000004</v>
      </c>
    </row>
    <row r="176" spans="2:11" x14ac:dyDescent="0.2">
      <c r="B176" t="s">
        <v>144</v>
      </c>
      <c r="G176" s="45">
        <f>+G173*(G167-G168)</f>
        <v>2</v>
      </c>
      <c r="H176" s="45">
        <f t="shared" ref="H176:K176" si="72">+H173*(H167-H168)</f>
        <v>2.08</v>
      </c>
      <c r="I176" s="45">
        <f t="shared" si="72"/>
        <v>2.1631999999999998</v>
      </c>
      <c r="J176" s="45">
        <f t="shared" si="72"/>
        <v>2.2497280000000002</v>
      </c>
      <c r="K176" s="45">
        <f t="shared" si="72"/>
        <v>2.33971712</v>
      </c>
    </row>
    <row r="178" spans="2:11" x14ac:dyDescent="0.2">
      <c r="B178" s="4" t="s">
        <v>134</v>
      </c>
    </row>
    <row r="179" spans="2:11" x14ac:dyDescent="0.2">
      <c r="B179" t="s">
        <v>5</v>
      </c>
      <c r="G179">
        <f ca="1">+G144</f>
        <v>0</v>
      </c>
      <c r="H179">
        <f t="shared" ref="H179:K179" ca="1" si="73">+H144</f>
        <v>0</v>
      </c>
      <c r="I179">
        <f t="shared" ca="1" si="73"/>
        <v>0</v>
      </c>
      <c r="J179">
        <f t="shared" ca="1" si="73"/>
        <v>0</v>
      </c>
      <c r="K179">
        <f t="shared" ca="1" si="73"/>
        <v>0</v>
      </c>
    </row>
    <row r="180" spans="2:11" x14ac:dyDescent="0.2">
      <c r="B180" t="s">
        <v>145</v>
      </c>
      <c r="G180" s="78">
        <f ca="1">G147</f>
        <v>0.2</v>
      </c>
      <c r="H180" s="78">
        <f t="shared" ref="H180:K180" ca="1" si="74">H147</f>
        <v>0.2</v>
      </c>
      <c r="I180" s="78">
        <f t="shared" ca="1" si="74"/>
        <v>0.2</v>
      </c>
      <c r="J180" s="78">
        <f t="shared" ca="1" si="74"/>
        <v>0.2</v>
      </c>
      <c r="K180" s="78">
        <f t="shared" ca="1" si="74"/>
        <v>0.2</v>
      </c>
    </row>
    <row r="181" spans="2:11" x14ac:dyDescent="0.2">
      <c r="B181" t="s">
        <v>6</v>
      </c>
      <c r="G181" s="45">
        <f ca="1">+G156</f>
        <v>10.203168431350104</v>
      </c>
      <c r="H181" s="45">
        <f t="shared" ref="H181:K181" ca="1" si="75">+H156</f>
        <v>9.509751301862023</v>
      </c>
      <c r="I181" s="45">
        <f t="shared" ca="1" si="75"/>
        <v>8.5981598322688004</v>
      </c>
      <c r="J181" s="45">
        <f t="shared" ca="1" si="75"/>
        <v>7.7438040342909833</v>
      </c>
      <c r="K181" s="45">
        <f t="shared" ca="1" si="75"/>
        <v>6.4714035768084717</v>
      </c>
    </row>
    <row r="182" spans="2:11" x14ac:dyDescent="0.2">
      <c r="B182" t="s">
        <v>7</v>
      </c>
      <c r="G182" s="45">
        <f>+G164</f>
        <v>5.2500000000000009</v>
      </c>
      <c r="H182" s="45">
        <f t="shared" ref="H182:K182" si="76">+H164</f>
        <v>5.2500000000000009</v>
      </c>
      <c r="I182" s="45">
        <f t="shared" si="76"/>
        <v>5.2500000000000009</v>
      </c>
      <c r="J182" s="45">
        <f t="shared" si="76"/>
        <v>5.2500000000000009</v>
      </c>
      <c r="K182" s="45">
        <f t="shared" si="76"/>
        <v>5.2500000000000009</v>
      </c>
    </row>
    <row r="183" spans="2:11" x14ac:dyDescent="0.2">
      <c r="B183" t="s">
        <v>8</v>
      </c>
      <c r="G183" s="45">
        <f>+G175+G176</f>
        <v>6.335</v>
      </c>
      <c r="H183" s="45">
        <f t="shared" ref="H183:K183" si="77">+H175+H176</f>
        <v>6.5884</v>
      </c>
      <c r="I183" s="45">
        <f t="shared" si="77"/>
        <v>6.8519360000000002</v>
      </c>
      <c r="J183" s="45">
        <f t="shared" si="77"/>
        <v>7.1260134400000013</v>
      </c>
      <c r="K183" s="45">
        <f t="shared" si="77"/>
        <v>7.4110539776</v>
      </c>
    </row>
    <row r="184" spans="2:11" x14ac:dyDescent="0.2">
      <c r="B184" s="4" t="s">
        <v>146</v>
      </c>
      <c r="G184" s="45">
        <f ca="1">SUM(G179:G183)</f>
        <v>21.988168431350104</v>
      </c>
      <c r="H184" s="45">
        <f t="shared" ref="H184:K184" ca="1" si="78">SUM(H179:H183)</f>
        <v>21.548151301862024</v>
      </c>
      <c r="I184" s="45">
        <f t="shared" ca="1" si="78"/>
        <v>20.900095832268804</v>
      </c>
      <c r="J184" s="45">
        <f t="shared" ca="1" si="78"/>
        <v>20.319817474290986</v>
      </c>
      <c r="K184" s="45">
        <f t="shared" ca="1" si="78"/>
        <v>19.332457554408471</v>
      </c>
    </row>
    <row r="187" spans="2:11" ht="13.5" thickBot="1" x14ac:dyDescent="0.25">
      <c r="B187" s="4" t="s">
        <v>24</v>
      </c>
      <c r="F187" s="10" t="s">
        <v>154</v>
      </c>
      <c r="G187" s="76">
        <v>2021</v>
      </c>
      <c r="H187" s="76">
        <f>2021+1</f>
        <v>2022</v>
      </c>
      <c r="I187" s="76">
        <v>2023</v>
      </c>
      <c r="J187" s="76">
        <v>2024</v>
      </c>
      <c r="K187" s="76">
        <v>2025</v>
      </c>
    </row>
    <row r="190" spans="2:11" x14ac:dyDescent="0.2">
      <c r="B190" t="s">
        <v>25</v>
      </c>
      <c r="F190" s="45">
        <f>+K41</f>
        <v>5</v>
      </c>
      <c r="G190" s="45">
        <f>+G121</f>
        <v>5</v>
      </c>
      <c r="H190" s="45">
        <f t="shared" ref="H190:K190" ca="1" si="79">+H121</f>
        <v>5</v>
      </c>
      <c r="I190" s="45">
        <f t="shared" ca="1" si="79"/>
        <v>5</v>
      </c>
      <c r="J190" s="45">
        <f t="shared" ca="1" si="79"/>
        <v>5</v>
      </c>
      <c r="K190" s="45">
        <f t="shared" ca="1" si="79"/>
        <v>5</v>
      </c>
    </row>
    <row r="191" spans="2:11" x14ac:dyDescent="0.2">
      <c r="B191" t="s">
        <v>26</v>
      </c>
      <c r="F191" s="45">
        <f t="shared" ref="F191:F199" si="80">+K42</f>
        <v>30</v>
      </c>
      <c r="G191" s="45">
        <f>+(F73/365)*G228</f>
        <v>32.4</v>
      </c>
      <c r="H191" s="45">
        <f>+(G73/365)*H228</f>
        <v>35.154000000000003</v>
      </c>
      <c r="I191" s="45">
        <f>+(H73/365)*I228</f>
        <v>38.317860000000003</v>
      </c>
      <c r="J191" s="45">
        <f>+(I73/365)*J228</f>
        <v>41.958056700000007</v>
      </c>
      <c r="K191" s="45">
        <f>+(J73/365)*K228</f>
        <v>46.153862370000006</v>
      </c>
    </row>
    <row r="192" spans="2:11" x14ac:dyDescent="0.2">
      <c r="B192" t="s">
        <v>27</v>
      </c>
      <c r="F192" s="45">
        <f t="shared" si="80"/>
        <v>75</v>
      </c>
      <c r="G192" s="45">
        <f>+(F74/365)*G229</f>
        <v>80.726418367346938</v>
      </c>
      <c r="H192" s="45">
        <f>+(G74/365)*H229</f>
        <v>87.331683214285718</v>
      </c>
      <c r="I192" s="45">
        <f>+(H74/365)*I229</f>
        <v>94.911970725000018</v>
      </c>
      <c r="J192" s="45">
        <f>+(I74/365)*J229</f>
        <v>103.6224853873393</v>
      </c>
      <c r="K192" s="45">
        <f>+(J74/365)*K229</f>
        <v>113.64799911388397</v>
      </c>
    </row>
    <row r="193" spans="2:11" x14ac:dyDescent="0.2">
      <c r="B193" s="20" t="s">
        <v>28</v>
      </c>
      <c r="C193" s="20"/>
      <c r="D193" s="20"/>
      <c r="E193" s="20"/>
      <c r="F193" s="46">
        <f t="shared" si="80"/>
        <v>15</v>
      </c>
      <c r="G193" s="46">
        <f>+G230*F73</f>
        <v>16.200000000000003</v>
      </c>
      <c r="H193" s="46">
        <f>+H230*G73</f>
        <v>17.577000000000002</v>
      </c>
      <c r="I193" s="46">
        <f>+I230*H73</f>
        <v>19.158930000000002</v>
      </c>
      <c r="J193" s="46">
        <f>+J230*I73</f>
        <v>20.979028350000004</v>
      </c>
      <c r="K193" s="46">
        <f>+K230*J73</f>
        <v>23.076931185000007</v>
      </c>
    </row>
    <row r="194" spans="2:11" x14ac:dyDescent="0.2">
      <c r="B194" s="4" t="s">
        <v>29</v>
      </c>
      <c r="F194" s="44">
        <f t="shared" si="80"/>
        <v>125</v>
      </c>
      <c r="G194" s="44">
        <f>SUM(G190:G193)</f>
        <v>134.32641836734695</v>
      </c>
      <c r="H194" s="44">
        <f t="shared" ref="H194:K194" ca="1" si="81">SUM(H190:H193)</f>
        <v>145.06268321428573</v>
      </c>
      <c r="I194" s="44">
        <f t="shared" ca="1" si="81"/>
        <v>157.38876072500003</v>
      </c>
      <c r="J194" s="44">
        <f t="shared" ca="1" si="81"/>
        <v>171.55957043733929</v>
      </c>
      <c r="K194" s="44">
        <f t="shared" ca="1" si="81"/>
        <v>187.87879266888399</v>
      </c>
    </row>
    <row r="195" spans="2:11" x14ac:dyDescent="0.2">
      <c r="F195" s="45"/>
    </row>
    <row r="196" spans="2:11" x14ac:dyDescent="0.2">
      <c r="B196" t="s">
        <v>30</v>
      </c>
      <c r="F196" s="45">
        <f t="shared" si="80"/>
        <v>99.6</v>
      </c>
      <c r="G196" s="45">
        <f>+F196-G111+F79+F81</f>
        <v>102.5732</v>
      </c>
      <c r="H196" s="45">
        <f t="shared" ref="H196:K196" si="82">+G196-H111+G79+G81</f>
        <v>105.94022199999999</v>
      </c>
      <c r="I196" s="45">
        <f t="shared" si="82"/>
        <v>109.75967598</v>
      </c>
      <c r="J196" s="45">
        <f t="shared" si="82"/>
        <v>114.09967808810001</v>
      </c>
      <c r="K196" s="45">
        <f t="shared" si="82"/>
        <v>119.03968040701001</v>
      </c>
    </row>
    <row r="197" spans="2:11" x14ac:dyDescent="0.2">
      <c r="B197" t="s">
        <v>31</v>
      </c>
      <c r="F197" s="45">
        <f t="shared" si="80"/>
        <v>445.48999999999995</v>
      </c>
      <c r="G197" s="45">
        <f>+F197</f>
        <v>445.48999999999995</v>
      </c>
      <c r="H197" s="45">
        <f t="shared" ref="H197:K197" si="83">+G197</f>
        <v>445.48999999999995</v>
      </c>
      <c r="I197" s="45">
        <f t="shared" si="83"/>
        <v>445.48999999999995</v>
      </c>
      <c r="J197" s="45">
        <f t="shared" si="83"/>
        <v>445.48999999999995</v>
      </c>
      <c r="K197" s="45">
        <f t="shared" si="83"/>
        <v>445.48999999999995</v>
      </c>
    </row>
    <row r="198" spans="2:11" x14ac:dyDescent="0.2">
      <c r="B198" s="20" t="s">
        <v>32</v>
      </c>
      <c r="C198" s="20"/>
      <c r="D198" s="20"/>
      <c r="E198" s="20"/>
      <c r="F198" s="46">
        <f t="shared" si="80"/>
        <v>84.800000000000011</v>
      </c>
      <c r="G198" s="46">
        <f>+F198+F80</f>
        <v>81.546666666666681</v>
      </c>
      <c r="H198" s="46">
        <f t="shared" ref="H198:K198" si="84">+G198+G80</f>
        <v>78.293333333333351</v>
      </c>
      <c r="I198" s="46">
        <f t="shared" si="84"/>
        <v>75.04000000000002</v>
      </c>
      <c r="J198" s="46">
        <f t="shared" si="84"/>
        <v>71.78666666666669</v>
      </c>
      <c r="K198" s="46">
        <f t="shared" si="84"/>
        <v>68.53333333333336</v>
      </c>
    </row>
    <row r="199" spans="2:11" x14ac:dyDescent="0.2">
      <c r="B199" s="33" t="s">
        <v>33</v>
      </c>
      <c r="F199" s="44">
        <f t="shared" si="80"/>
        <v>754.88999999999987</v>
      </c>
      <c r="G199" s="44">
        <f>SUM(G196:G198)+G194</f>
        <v>763.93628503401362</v>
      </c>
      <c r="H199" s="44">
        <f t="shared" ref="H199:K199" ca="1" si="85">SUM(H196:H198)+H194</f>
        <v>774.78623854761895</v>
      </c>
      <c r="I199" s="44">
        <f t="shared" ca="1" si="85"/>
        <v>787.67843670499985</v>
      </c>
      <c r="J199" s="44">
        <f t="shared" ca="1" si="85"/>
        <v>802.93591519210599</v>
      </c>
      <c r="K199" s="44">
        <f t="shared" ca="1" si="85"/>
        <v>820.94180640922741</v>
      </c>
    </row>
    <row r="200" spans="2:11" x14ac:dyDescent="0.2">
      <c r="B200" s="33"/>
      <c r="F200" s="44"/>
      <c r="G200" s="44"/>
      <c r="H200" s="44"/>
      <c r="I200" s="44"/>
      <c r="J200" s="44"/>
      <c r="K200" s="44"/>
    </row>
    <row r="201" spans="2:11" x14ac:dyDescent="0.2">
      <c r="B201" s="39" t="s">
        <v>5</v>
      </c>
      <c r="F201" s="45">
        <f ca="1">+G136</f>
        <v>0</v>
      </c>
      <c r="G201" s="45">
        <f t="shared" ref="G201:K201" ca="1" si="86">+H136</f>
        <v>0</v>
      </c>
      <c r="H201" s="45">
        <f t="shared" ca="1" si="86"/>
        <v>0</v>
      </c>
      <c r="I201" s="45">
        <f t="shared" ca="1" si="86"/>
        <v>0</v>
      </c>
      <c r="J201" s="45">
        <f t="shared" ca="1" si="86"/>
        <v>0</v>
      </c>
      <c r="K201" s="45">
        <f t="shared" si="86"/>
        <v>0</v>
      </c>
    </row>
    <row r="202" spans="2:11" x14ac:dyDescent="0.2">
      <c r="B202" t="s">
        <v>34</v>
      </c>
      <c r="F202" s="45">
        <f>+K52</f>
        <v>55</v>
      </c>
      <c r="G202" s="45">
        <f>+(F74/365)*G231</f>
        <v>59.199373469387751</v>
      </c>
      <c r="H202" s="45">
        <f>+(G74/365)*H231</f>
        <v>64.043234357142865</v>
      </c>
      <c r="I202" s="45">
        <f>+(H74/365)*I231</f>
        <v>69.602111865000012</v>
      </c>
      <c r="J202" s="45">
        <f>+(I74/365)*J231</f>
        <v>75.989822617382146</v>
      </c>
      <c r="K202" s="45">
        <f>+(J74/365)*K231</f>
        <v>83.341866016848243</v>
      </c>
    </row>
    <row r="203" spans="2:11" x14ac:dyDescent="0.2">
      <c r="B203" t="s">
        <v>35</v>
      </c>
      <c r="F203" s="45">
        <f>+K53</f>
        <v>37</v>
      </c>
      <c r="G203" s="45">
        <f>+G232*F73</f>
        <v>39.96</v>
      </c>
      <c r="H203" s="45">
        <f>+H232*G73</f>
        <v>43.3566</v>
      </c>
      <c r="I203" s="45">
        <f>+I232*H73</f>
        <v>47.258693999999998</v>
      </c>
      <c r="J203" s="45">
        <f>+J232*I73</f>
        <v>51.748269930000006</v>
      </c>
      <c r="K203" s="45">
        <f>+K232*J73</f>
        <v>56.92309692300001</v>
      </c>
    </row>
    <row r="204" spans="2:11" x14ac:dyDescent="0.2">
      <c r="B204" s="20" t="s">
        <v>36</v>
      </c>
      <c r="C204" s="20"/>
      <c r="D204" s="20"/>
      <c r="E204" s="20"/>
      <c r="F204" s="46">
        <f>+K54</f>
        <v>10</v>
      </c>
      <c r="G204" s="46">
        <f>+G233*F73</f>
        <v>10.8</v>
      </c>
      <c r="H204" s="46">
        <f>+H233*G73</f>
        <v>11.718</v>
      </c>
      <c r="I204" s="46">
        <f>+I233*H73</f>
        <v>12.77262</v>
      </c>
      <c r="J204" s="46">
        <f>+J233*I73</f>
        <v>13.986018900000001</v>
      </c>
      <c r="K204" s="46">
        <f>+K233*J73</f>
        <v>15.384620790000003</v>
      </c>
    </row>
    <row r="205" spans="2:11" x14ac:dyDescent="0.2">
      <c r="B205" s="4" t="s">
        <v>37</v>
      </c>
      <c r="F205" s="44">
        <f>+K55</f>
        <v>102</v>
      </c>
      <c r="G205" s="44">
        <f ca="1">SUM(G201:G204)</f>
        <v>109.95937346938776</v>
      </c>
      <c r="H205" s="44">
        <f t="shared" ref="H205:K205" ca="1" si="87">SUM(H201:H204)</f>
        <v>119.11783435714287</v>
      </c>
      <c r="I205" s="44">
        <f t="shared" ca="1" si="87"/>
        <v>129.63342586499999</v>
      </c>
      <c r="J205" s="44">
        <f t="shared" ca="1" si="87"/>
        <v>141.72411144738214</v>
      </c>
      <c r="K205" s="44">
        <f t="shared" si="87"/>
        <v>155.64958372984827</v>
      </c>
    </row>
    <row r="206" spans="2:11" x14ac:dyDescent="0.2">
      <c r="F206" s="45">
        <f>+K56</f>
        <v>0</v>
      </c>
    </row>
    <row r="207" spans="2:11" x14ac:dyDescent="0.2">
      <c r="B207" s="37"/>
      <c r="F207" s="45"/>
    </row>
    <row r="208" spans="2:11" x14ac:dyDescent="0.2">
      <c r="B208" s="39" t="s">
        <v>6</v>
      </c>
      <c r="F208" s="45">
        <f>+K58</f>
        <v>175</v>
      </c>
      <c r="G208" s="45">
        <f ca="1">+G153</f>
        <v>165.10561437833675</v>
      </c>
      <c r="H208" s="45">
        <f t="shared" ref="H208:K208" ca="1" si="88">+H153</f>
        <v>151.88609568373073</v>
      </c>
      <c r="I208" s="45">
        <f t="shared" ca="1" si="88"/>
        <v>134.71923205856262</v>
      </c>
      <c r="J208" s="45">
        <f t="shared" ca="1" si="88"/>
        <v>113.08249703874885</v>
      </c>
      <c r="K208" s="45">
        <f t="shared" ca="1" si="88"/>
        <v>86.037613016896415</v>
      </c>
    </row>
    <row r="209" spans="2:11" x14ac:dyDescent="0.2">
      <c r="B209" s="39" t="s">
        <v>7</v>
      </c>
      <c r="F209" s="45">
        <f>+K59</f>
        <v>75</v>
      </c>
      <c r="G209">
        <f>+G161</f>
        <v>75</v>
      </c>
      <c r="H209">
        <f t="shared" ref="H209:K209" si="89">+H161</f>
        <v>75</v>
      </c>
      <c r="I209">
        <f t="shared" si="89"/>
        <v>75</v>
      </c>
      <c r="J209">
        <f t="shared" si="89"/>
        <v>75</v>
      </c>
      <c r="K209">
        <f t="shared" si="89"/>
        <v>75</v>
      </c>
    </row>
    <row r="210" spans="2:11" x14ac:dyDescent="0.2">
      <c r="B210" s="39" t="s">
        <v>8</v>
      </c>
      <c r="F210" s="45">
        <f>+K60</f>
        <v>50</v>
      </c>
      <c r="G210">
        <f>+G170</f>
        <v>52</v>
      </c>
      <c r="H210" s="45">
        <f t="shared" ref="H210:K210" si="90">+H170</f>
        <v>54.08</v>
      </c>
      <c r="I210" s="45">
        <f t="shared" si="90"/>
        <v>56.243200000000002</v>
      </c>
      <c r="J210" s="45">
        <f t="shared" si="90"/>
        <v>58.492927999999999</v>
      </c>
      <c r="K210" s="45">
        <f t="shared" si="90"/>
        <v>60.832645120000002</v>
      </c>
    </row>
    <row r="211" spans="2:11" x14ac:dyDescent="0.2">
      <c r="B211" s="39" t="s">
        <v>83</v>
      </c>
      <c r="F211" s="45">
        <f>+K61</f>
        <v>22.89</v>
      </c>
      <c r="G211" s="45">
        <f>+F211+G107</f>
        <v>21.170333333333332</v>
      </c>
      <c r="H211" s="45">
        <f t="shared" ref="H211:K211" si="91">+G211+H107</f>
        <v>19.450666666666663</v>
      </c>
      <c r="I211" s="45">
        <f t="shared" si="91"/>
        <v>17.730999999999995</v>
      </c>
      <c r="J211" s="45">
        <f t="shared" si="91"/>
        <v>16.011333333333326</v>
      </c>
      <c r="K211" s="45">
        <f t="shared" si="91"/>
        <v>14.291666666666659</v>
      </c>
    </row>
    <row r="212" spans="2:11" x14ac:dyDescent="0.2">
      <c r="B212" s="40" t="s">
        <v>84</v>
      </c>
      <c r="C212" s="20"/>
      <c r="D212" s="20"/>
      <c r="E212" s="20"/>
      <c r="F212" s="46">
        <f>+K62</f>
        <v>-7.5</v>
      </c>
      <c r="G212" s="46">
        <f>+F212+G105</f>
        <v>-6.4285714285714288</v>
      </c>
      <c r="H212" s="46">
        <f t="shared" ref="H212:K212" si="92">+G212+H105</f>
        <v>-5.3571428571428577</v>
      </c>
      <c r="I212" s="46">
        <f t="shared" si="92"/>
        <v>-4.2857142857142865</v>
      </c>
      <c r="J212" s="46">
        <f t="shared" si="92"/>
        <v>-3.2142857142857153</v>
      </c>
      <c r="K212" s="46">
        <f t="shared" si="92"/>
        <v>-2.1428571428571441</v>
      </c>
    </row>
    <row r="213" spans="2:11" x14ac:dyDescent="0.2">
      <c r="B213" s="4" t="s">
        <v>39</v>
      </c>
      <c r="F213" s="44">
        <f>+K63</f>
        <v>417.39</v>
      </c>
      <c r="G213" s="44">
        <f ca="1">SUM(G208:G212)+G205</f>
        <v>416.80674975248644</v>
      </c>
      <c r="H213" s="44">
        <f t="shared" ref="H213:K213" ca="1" si="93">SUM(H208:H212)+H205</f>
        <v>414.17745385039746</v>
      </c>
      <c r="I213" s="44">
        <f t="shared" ca="1" si="93"/>
        <v>409.04114363784834</v>
      </c>
      <c r="J213" s="44">
        <f t="shared" ca="1" si="93"/>
        <v>401.09658410517858</v>
      </c>
      <c r="K213" s="44">
        <f t="shared" ca="1" si="93"/>
        <v>389.6686513905542</v>
      </c>
    </row>
    <row r="214" spans="2:11" x14ac:dyDescent="0.2">
      <c r="B214" s="20"/>
      <c r="C214" s="20"/>
      <c r="D214" s="20"/>
      <c r="E214" s="20"/>
      <c r="F214" s="46">
        <f>+K64</f>
        <v>0</v>
      </c>
      <c r="G214" s="20"/>
      <c r="H214" s="20"/>
      <c r="I214" s="20"/>
      <c r="J214" s="20"/>
      <c r="K214" s="20"/>
    </row>
    <row r="215" spans="2:11" x14ac:dyDescent="0.2">
      <c r="B215" s="4" t="s">
        <v>40</v>
      </c>
      <c r="F215" s="44">
        <f>+K65</f>
        <v>337.5</v>
      </c>
      <c r="G215" s="79">
        <f ca="1">+G217-G213</f>
        <v>347.12953528152718</v>
      </c>
      <c r="H215" s="79">
        <f t="shared" ref="H215:K215" ca="1" si="94">+H217-H213</f>
        <v>360.60878469722149</v>
      </c>
      <c r="I215" s="79">
        <f t="shared" ca="1" si="94"/>
        <v>378.63729306715152</v>
      </c>
      <c r="J215" s="79">
        <f t="shared" ca="1" si="94"/>
        <v>401.83933108692742</v>
      </c>
      <c r="K215" s="79">
        <f t="shared" ca="1" si="94"/>
        <v>431.27315501867321</v>
      </c>
    </row>
    <row r="216" spans="2:11" x14ac:dyDescent="0.2">
      <c r="B216" s="20"/>
      <c r="C216" s="20"/>
      <c r="D216" s="20"/>
      <c r="E216" s="20"/>
      <c r="F216" s="46">
        <f>+K66</f>
        <v>0</v>
      </c>
      <c r="G216" s="20"/>
      <c r="H216" s="20"/>
      <c r="I216" s="20"/>
      <c r="J216" s="20"/>
      <c r="K216" s="20"/>
    </row>
    <row r="217" spans="2:11" x14ac:dyDescent="0.2">
      <c r="B217" s="33" t="s">
        <v>41</v>
      </c>
      <c r="F217" s="44">
        <f>+K67</f>
        <v>754.88999999999987</v>
      </c>
      <c r="G217" s="44">
        <f>+G199</f>
        <v>763.93628503401362</v>
      </c>
      <c r="H217" s="44">
        <f t="shared" ref="H217:K217" ca="1" si="95">+H199</f>
        <v>774.78623854761895</v>
      </c>
      <c r="I217" s="44">
        <f t="shared" ca="1" si="95"/>
        <v>787.67843670499985</v>
      </c>
      <c r="J217" s="44">
        <f t="shared" ca="1" si="95"/>
        <v>802.93591519210599</v>
      </c>
      <c r="K217" s="44">
        <f t="shared" ca="1" si="95"/>
        <v>820.94180640922741</v>
      </c>
    </row>
    <row r="221" spans="2:11" x14ac:dyDescent="0.2">
      <c r="B221" t="s">
        <v>161</v>
      </c>
    </row>
    <row r="222" spans="2:11" x14ac:dyDescent="0.2">
      <c r="B222" t="s">
        <v>162</v>
      </c>
      <c r="F222" s="45">
        <f>+F194</f>
        <v>125</v>
      </c>
      <c r="G222" s="45">
        <f t="shared" ref="G222:K222" si="96">+G194</f>
        <v>134.32641836734695</v>
      </c>
      <c r="H222" s="45">
        <f t="shared" ca="1" si="96"/>
        <v>145.06268321428573</v>
      </c>
      <c r="I222" s="45">
        <f t="shared" ca="1" si="96"/>
        <v>157.38876072500003</v>
      </c>
      <c r="J222" s="45">
        <f t="shared" ca="1" si="96"/>
        <v>171.55957043733929</v>
      </c>
      <c r="K222" s="45">
        <f t="shared" ca="1" si="96"/>
        <v>187.87879266888399</v>
      </c>
    </row>
    <row r="223" spans="2:11" x14ac:dyDescent="0.2">
      <c r="B223" t="s">
        <v>163</v>
      </c>
      <c r="F223" s="45">
        <f>+-F205</f>
        <v>-102</v>
      </c>
      <c r="G223" s="45">
        <f t="shared" ref="G223:K223" ca="1" si="97">+-G205</f>
        <v>-109.95937346938776</v>
      </c>
      <c r="H223" s="45">
        <f t="shared" ca="1" si="97"/>
        <v>-119.11783435714287</v>
      </c>
      <c r="I223" s="45">
        <f t="shared" ca="1" si="97"/>
        <v>-129.63342586499999</v>
      </c>
      <c r="J223" s="45">
        <f t="shared" ca="1" si="97"/>
        <v>-141.72411144738214</v>
      </c>
      <c r="K223" s="45">
        <f t="shared" si="97"/>
        <v>-155.64958372984827</v>
      </c>
    </row>
    <row r="224" spans="2:11" x14ac:dyDescent="0.2">
      <c r="B224" s="19" t="s">
        <v>164</v>
      </c>
      <c r="F224" s="45">
        <f>SUM(F222:F223)</f>
        <v>23</v>
      </c>
      <c r="G224" s="45">
        <f t="shared" ref="G224:K224" ca="1" si="98">SUM(G222:G223)</f>
        <v>24.36704489795919</v>
      </c>
      <c r="H224" s="45">
        <f t="shared" ca="1" si="98"/>
        <v>25.944848857142858</v>
      </c>
      <c r="I224" s="45">
        <f t="shared" ca="1" si="98"/>
        <v>27.755334860000033</v>
      </c>
      <c r="J224" s="45">
        <f t="shared" ca="1" si="98"/>
        <v>29.835458989957147</v>
      </c>
      <c r="K224" s="45">
        <f t="shared" ca="1" si="98"/>
        <v>32.229208939035715</v>
      </c>
    </row>
    <row r="225" spans="2:11" x14ac:dyDescent="0.2">
      <c r="B225" s="19" t="s">
        <v>165</v>
      </c>
      <c r="G225" s="45">
        <f ca="1">+F224-G224</f>
        <v>-1.3670448979591896</v>
      </c>
      <c r="H225" s="45">
        <f t="shared" ref="H225:K225" ca="1" si="99">+G224-H224</f>
        <v>-1.5778039591836688</v>
      </c>
      <c r="I225" s="45">
        <f t="shared" ca="1" si="99"/>
        <v>-1.810486002857175</v>
      </c>
      <c r="J225" s="45">
        <f t="shared" ca="1" si="99"/>
        <v>-2.0801241299571132</v>
      </c>
      <c r="K225" s="45">
        <f t="shared" ca="1" si="99"/>
        <v>-2.3937499490785683</v>
      </c>
    </row>
    <row r="227" spans="2:11" x14ac:dyDescent="0.2">
      <c r="B227" t="s">
        <v>86</v>
      </c>
    </row>
    <row r="228" spans="2:11" x14ac:dyDescent="0.2">
      <c r="B228" t="s">
        <v>155</v>
      </c>
      <c r="F228" s="9">
        <f>+(F191/E73)*365</f>
        <v>15.314685314685315</v>
      </c>
      <c r="G228" s="9">
        <f>+F228</f>
        <v>15.314685314685315</v>
      </c>
      <c r="H228" s="9">
        <f t="shared" ref="H228:K228" si="100">+G228</f>
        <v>15.314685314685315</v>
      </c>
      <c r="I228" s="9">
        <f t="shared" si="100"/>
        <v>15.314685314685315</v>
      </c>
      <c r="J228" s="9">
        <f t="shared" si="100"/>
        <v>15.314685314685315</v>
      </c>
      <c r="K228" s="9">
        <f t="shared" si="100"/>
        <v>15.314685314685315</v>
      </c>
    </row>
    <row r="229" spans="2:11" x14ac:dyDescent="0.2">
      <c r="B229" t="s">
        <v>156</v>
      </c>
      <c r="F229" s="9">
        <f>+(F192/-E74)*365</f>
        <v>55.867346938775512</v>
      </c>
      <c r="G229" s="9">
        <f>+F229</f>
        <v>55.867346938775512</v>
      </c>
      <c r="H229" s="9">
        <f t="shared" ref="H229:K229" si="101">+G229</f>
        <v>55.867346938775512</v>
      </c>
      <c r="I229" s="9">
        <f t="shared" si="101"/>
        <v>55.867346938775512</v>
      </c>
      <c r="J229" s="9">
        <f t="shared" si="101"/>
        <v>55.867346938775512</v>
      </c>
      <c r="K229" s="9">
        <f t="shared" si="101"/>
        <v>55.867346938775512</v>
      </c>
    </row>
    <row r="230" spans="2:11" x14ac:dyDescent="0.2">
      <c r="B230" t="s">
        <v>157</v>
      </c>
      <c r="F230" s="3">
        <f>+F193/E73</f>
        <v>2.097902097902098E-2</v>
      </c>
      <c r="G230" s="3">
        <f>+F230</f>
        <v>2.097902097902098E-2</v>
      </c>
      <c r="H230" s="3">
        <f t="shared" ref="H230:K230" si="102">+G230</f>
        <v>2.097902097902098E-2</v>
      </c>
      <c r="I230" s="3">
        <f t="shared" si="102"/>
        <v>2.097902097902098E-2</v>
      </c>
      <c r="J230" s="3">
        <f t="shared" si="102"/>
        <v>2.097902097902098E-2</v>
      </c>
      <c r="K230" s="3">
        <f t="shared" si="102"/>
        <v>2.097902097902098E-2</v>
      </c>
    </row>
    <row r="231" spans="2:11" x14ac:dyDescent="0.2">
      <c r="B231" t="s">
        <v>158</v>
      </c>
      <c r="F231" s="9">
        <f>+(F202/-E74)*365</f>
        <v>40.969387755102041</v>
      </c>
      <c r="G231" s="9">
        <f>+F231</f>
        <v>40.969387755102041</v>
      </c>
      <c r="H231" s="9">
        <f t="shared" ref="H231:K231" si="103">+G231</f>
        <v>40.969387755102041</v>
      </c>
      <c r="I231" s="9">
        <f t="shared" si="103"/>
        <v>40.969387755102041</v>
      </c>
      <c r="J231" s="9">
        <f t="shared" si="103"/>
        <v>40.969387755102041</v>
      </c>
      <c r="K231" s="9">
        <f t="shared" si="103"/>
        <v>40.969387755102041</v>
      </c>
    </row>
    <row r="232" spans="2:11" x14ac:dyDescent="0.2">
      <c r="B232" t="s">
        <v>159</v>
      </c>
      <c r="F232" s="3">
        <f>+F203/E73</f>
        <v>5.1748251748251747E-2</v>
      </c>
      <c r="G232" s="3">
        <f>+F232</f>
        <v>5.1748251748251747E-2</v>
      </c>
      <c r="H232" s="3">
        <f t="shared" ref="H232:K232" si="104">+G232</f>
        <v>5.1748251748251747E-2</v>
      </c>
      <c r="I232" s="3">
        <f t="shared" si="104"/>
        <v>5.1748251748251747E-2</v>
      </c>
      <c r="J232" s="3">
        <f t="shared" si="104"/>
        <v>5.1748251748251747E-2</v>
      </c>
      <c r="K232" s="3">
        <f t="shared" si="104"/>
        <v>5.1748251748251747E-2</v>
      </c>
    </row>
    <row r="233" spans="2:11" x14ac:dyDescent="0.2">
      <c r="B233" t="s">
        <v>160</v>
      </c>
      <c r="F233" s="3">
        <f>+F204/E73</f>
        <v>1.3986013986013986E-2</v>
      </c>
      <c r="G233" s="3">
        <f>+F233</f>
        <v>1.3986013986013986E-2</v>
      </c>
      <c r="H233" s="3">
        <f t="shared" ref="H233:K233" si="105">+G233</f>
        <v>1.3986013986013986E-2</v>
      </c>
      <c r="I233" s="3">
        <f t="shared" si="105"/>
        <v>1.3986013986013986E-2</v>
      </c>
      <c r="J233" s="3">
        <f t="shared" si="105"/>
        <v>1.3986013986013986E-2</v>
      </c>
      <c r="K233" s="3">
        <f t="shared" si="105"/>
        <v>1.3986013986013986E-2</v>
      </c>
    </row>
    <row r="235" spans="2:11" x14ac:dyDescent="0.2">
      <c r="B235" s="4" t="s">
        <v>166</v>
      </c>
    </row>
    <row r="236" spans="2:11" x14ac:dyDescent="0.2">
      <c r="B236" s="19" t="s">
        <v>5</v>
      </c>
      <c r="G236" s="45">
        <f ca="1">+G201</f>
        <v>0</v>
      </c>
      <c r="H236" s="45">
        <f t="shared" ref="H236:K236" ca="1" si="106">+H201</f>
        <v>0</v>
      </c>
      <c r="I236" s="45">
        <f t="shared" ca="1" si="106"/>
        <v>0</v>
      </c>
      <c r="J236" s="45">
        <f t="shared" ca="1" si="106"/>
        <v>0</v>
      </c>
      <c r="K236" s="45">
        <f t="shared" si="106"/>
        <v>0</v>
      </c>
    </row>
    <row r="237" spans="2:11" x14ac:dyDescent="0.2">
      <c r="B237" s="39" t="s">
        <v>6</v>
      </c>
      <c r="G237" s="45">
        <f ca="1">+G208</f>
        <v>165.10561437833675</v>
      </c>
      <c r="H237" s="45">
        <f t="shared" ref="H237:K237" ca="1" si="107">+H208</f>
        <v>151.88609568373073</v>
      </c>
      <c r="I237" s="45">
        <f t="shared" ca="1" si="107"/>
        <v>134.71923205856262</v>
      </c>
      <c r="J237" s="45">
        <f t="shared" ca="1" si="107"/>
        <v>113.08249703874885</v>
      </c>
      <c r="K237" s="45">
        <f t="shared" ca="1" si="107"/>
        <v>86.037613016896415</v>
      </c>
    </row>
    <row r="238" spans="2:11" x14ac:dyDescent="0.2">
      <c r="B238" s="39" t="s">
        <v>7</v>
      </c>
      <c r="G238" s="45">
        <f t="shared" ref="G238:K239" si="108">+G209</f>
        <v>75</v>
      </c>
      <c r="H238" s="45">
        <f t="shared" si="108"/>
        <v>75</v>
      </c>
      <c r="I238" s="45">
        <f t="shared" si="108"/>
        <v>75</v>
      </c>
      <c r="J238" s="45">
        <f t="shared" si="108"/>
        <v>75</v>
      </c>
      <c r="K238" s="45">
        <f t="shared" si="108"/>
        <v>75</v>
      </c>
    </row>
    <row r="239" spans="2:11" x14ac:dyDescent="0.2">
      <c r="B239" s="39" t="s">
        <v>8</v>
      </c>
      <c r="G239" s="45">
        <f t="shared" si="108"/>
        <v>52</v>
      </c>
      <c r="H239" s="45">
        <f t="shared" si="108"/>
        <v>54.08</v>
      </c>
      <c r="I239" s="45">
        <f t="shared" si="108"/>
        <v>56.243200000000002</v>
      </c>
      <c r="J239" s="45">
        <f t="shared" si="108"/>
        <v>58.492927999999999</v>
      </c>
      <c r="K239" s="45">
        <f t="shared" si="108"/>
        <v>60.832645120000002</v>
      </c>
    </row>
    <row r="240" spans="2:11" x14ac:dyDescent="0.2">
      <c r="B240" s="80" t="s">
        <v>22</v>
      </c>
      <c r="G240" s="44">
        <f ca="1">SUM(G236:G239)</f>
        <v>292.10561437833678</v>
      </c>
      <c r="H240" s="44">
        <f t="shared" ref="H240:K240" ca="1" si="109">SUM(H236:H239)</f>
        <v>280.96609568373071</v>
      </c>
      <c r="I240" s="44">
        <f t="shared" ca="1" si="109"/>
        <v>265.96243205856263</v>
      </c>
      <c r="J240" s="44">
        <f t="shared" ca="1" si="109"/>
        <v>246.57542503874885</v>
      </c>
      <c r="K240" s="44">
        <f t="shared" ca="1" si="109"/>
        <v>221.87025813689641</v>
      </c>
    </row>
    <row r="241" spans="2:11" x14ac:dyDescent="0.2">
      <c r="B241" s="39" t="s">
        <v>167</v>
      </c>
      <c r="G241" s="45">
        <f>+-G190</f>
        <v>-5</v>
      </c>
      <c r="H241" s="45">
        <f t="shared" ref="H241:K241" ca="1" si="110">+-H190</f>
        <v>-5</v>
      </c>
      <c r="I241" s="45">
        <f t="shared" ca="1" si="110"/>
        <v>-5</v>
      </c>
      <c r="J241" s="45">
        <f t="shared" ca="1" si="110"/>
        <v>-5</v>
      </c>
      <c r="K241" s="45">
        <f t="shared" ca="1" si="110"/>
        <v>-5</v>
      </c>
    </row>
    <row r="242" spans="2:11" x14ac:dyDescent="0.2">
      <c r="B242" s="80" t="s">
        <v>168</v>
      </c>
      <c r="G242" s="44">
        <f ca="1">SUM(G240:G241)</f>
        <v>287.10561437833678</v>
      </c>
      <c r="H242" s="44">
        <f t="shared" ref="H242:K242" ca="1" si="111">SUM(H240:H241)</f>
        <v>275.96609568373071</v>
      </c>
      <c r="I242" s="44">
        <f t="shared" ca="1" si="111"/>
        <v>260.96243205856263</v>
      </c>
      <c r="J242" s="44">
        <f t="shared" ca="1" si="111"/>
        <v>241.57542503874885</v>
      </c>
      <c r="K242" s="44">
        <f t="shared" ca="1" si="111"/>
        <v>216.87025813689641</v>
      </c>
    </row>
    <row r="245" spans="2:11" ht="13.5" thickBot="1" x14ac:dyDescent="0.25">
      <c r="B245" t="s">
        <v>169</v>
      </c>
      <c r="F245" s="7" t="s">
        <v>170</v>
      </c>
      <c r="G245" s="81">
        <v>2021</v>
      </c>
      <c r="H245" s="81">
        <f>2021+1</f>
        <v>2022</v>
      </c>
      <c r="I245" s="81">
        <v>2023</v>
      </c>
      <c r="J245" s="81">
        <v>2024</v>
      </c>
      <c r="K245" s="81">
        <v>2025</v>
      </c>
    </row>
    <row r="247" spans="2:11" x14ac:dyDescent="0.2">
      <c r="B247" t="s">
        <v>171</v>
      </c>
      <c r="G247" s="45">
        <f>+F78</f>
        <v>55.598399999999998</v>
      </c>
      <c r="H247" s="45">
        <f t="shared" ref="H247:K247" si="112">+G78</f>
        <v>61.999937999999986</v>
      </c>
      <c r="I247" s="45">
        <f t="shared" si="112"/>
        <v>69.406417080000011</v>
      </c>
      <c r="J247" s="45">
        <f t="shared" si="112"/>
        <v>78.000027405300045</v>
      </c>
      <c r="K247" s="45">
        <f t="shared" si="112"/>
        <v>88.000030918800064</v>
      </c>
    </row>
    <row r="248" spans="2:11" x14ac:dyDescent="0.2">
      <c r="B248" t="s">
        <v>172</v>
      </c>
      <c r="G248">
        <v>12.5</v>
      </c>
      <c r="H248">
        <v>12.5</v>
      </c>
      <c r="I248">
        <v>12.5</v>
      </c>
      <c r="J248">
        <v>12.5</v>
      </c>
      <c r="K248">
        <v>12.5</v>
      </c>
    </row>
    <row r="249" spans="2:11" x14ac:dyDescent="0.2">
      <c r="B249" s="4" t="s">
        <v>173</v>
      </c>
      <c r="G249" s="45">
        <f>+G248*G247</f>
        <v>694.98</v>
      </c>
      <c r="H249" s="45">
        <f t="shared" ref="H249:K249" si="113">+H248*H247</f>
        <v>774.9992249999998</v>
      </c>
      <c r="I249" s="45">
        <f t="shared" si="113"/>
        <v>867.58021350000013</v>
      </c>
      <c r="J249" s="45">
        <f t="shared" si="113"/>
        <v>975.00034256625054</v>
      </c>
      <c r="K249" s="45">
        <f t="shared" si="113"/>
        <v>1100.0003864850007</v>
      </c>
    </row>
    <row r="250" spans="2:11" x14ac:dyDescent="0.2">
      <c r="B250" t="s">
        <v>174</v>
      </c>
      <c r="G250" s="45">
        <f ca="1">+-G242</f>
        <v>-287.10561437833678</v>
      </c>
      <c r="H250" s="45">
        <f t="shared" ref="H250:K250" ca="1" si="114">+-H242</f>
        <v>-275.96609568373071</v>
      </c>
      <c r="I250" s="45">
        <f t="shared" ca="1" si="114"/>
        <v>-260.96243205856263</v>
      </c>
      <c r="J250" s="45">
        <f t="shared" ca="1" si="114"/>
        <v>-241.57542503874885</v>
      </c>
      <c r="K250" s="45">
        <f t="shared" ca="1" si="114"/>
        <v>-216.87025813689641</v>
      </c>
    </row>
    <row r="251" spans="2:11" x14ac:dyDescent="0.2">
      <c r="B251" s="4" t="s">
        <v>175</v>
      </c>
      <c r="G251" s="45">
        <f ca="1">SUM(G249:G250)</f>
        <v>407.87438562166324</v>
      </c>
      <c r="H251" s="45">
        <f t="shared" ref="H251:K251" ca="1" si="115">SUM(H249:H250)</f>
        <v>499.03312931626908</v>
      </c>
      <c r="I251" s="45">
        <f t="shared" ca="1" si="115"/>
        <v>606.6177814414375</v>
      </c>
      <c r="J251" s="45">
        <f t="shared" ca="1" si="115"/>
        <v>733.42491752750175</v>
      </c>
      <c r="K251" s="45">
        <f t="shared" ca="1" si="115"/>
        <v>883.13012834810434</v>
      </c>
    </row>
    <row r="252" spans="2:11" x14ac:dyDescent="0.2">
      <c r="B252" t="s">
        <v>176</v>
      </c>
      <c r="G252" s="1">
        <v>0.8</v>
      </c>
      <c r="H252" s="1">
        <v>0.8</v>
      </c>
      <c r="I252" s="1">
        <v>0.8</v>
      </c>
      <c r="J252" s="1">
        <v>0.8</v>
      </c>
      <c r="K252" s="1">
        <v>0.8</v>
      </c>
    </row>
    <row r="253" spans="2:11" x14ac:dyDescent="0.2">
      <c r="B253" s="4" t="s">
        <v>177</v>
      </c>
      <c r="G253" s="45">
        <f ca="1">+G252*G251</f>
        <v>326.29950849733063</v>
      </c>
      <c r="H253" s="45">
        <f t="shared" ref="H253:K253" ca="1" si="116">+H252*H251</f>
        <v>399.22650345301531</v>
      </c>
      <c r="I253" s="45">
        <f t="shared" ca="1" si="116"/>
        <v>485.29422515315002</v>
      </c>
      <c r="J253" s="45">
        <f t="shared" ca="1" si="116"/>
        <v>586.73993402200142</v>
      </c>
      <c r="K253" s="45">
        <f t="shared" ca="1" si="116"/>
        <v>706.50410267848349</v>
      </c>
    </row>
    <row r="254" spans="2:11" x14ac:dyDescent="0.2">
      <c r="B254" t="s">
        <v>178</v>
      </c>
      <c r="G254">
        <v>2</v>
      </c>
      <c r="H254">
        <v>2</v>
      </c>
      <c r="I254">
        <v>2</v>
      </c>
      <c r="J254">
        <v>2</v>
      </c>
      <c r="K254">
        <v>2</v>
      </c>
    </row>
    <row r="255" spans="2:11" x14ac:dyDescent="0.2">
      <c r="B255" s="4" t="s">
        <v>179</v>
      </c>
      <c r="G255" s="45">
        <f ca="1">+G253+G254</f>
        <v>328.29950849733063</v>
      </c>
      <c r="H255" s="45">
        <f t="shared" ref="H255:K255" ca="1" si="117">+H253+H254</f>
        <v>401.22650345301531</v>
      </c>
      <c r="I255" s="45">
        <f t="shared" ca="1" si="117"/>
        <v>487.29422515315002</v>
      </c>
      <c r="J255" s="45">
        <f t="shared" ca="1" si="117"/>
        <v>588.73993402200142</v>
      </c>
      <c r="K255" s="45">
        <f t="shared" ca="1" si="117"/>
        <v>708.50410267848349</v>
      </c>
    </row>
    <row r="258" spans="2:11" x14ac:dyDescent="0.2">
      <c r="B258" t="s">
        <v>180</v>
      </c>
      <c r="F258" s="2" t="s">
        <v>181</v>
      </c>
      <c r="G258" s="2" t="s">
        <v>182</v>
      </c>
      <c r="H258" s="2" t="s">
        <v>183</v>
      </c>
      <c r="I258" s="2" t="s">
        <v>184</v>
      </c>
      <c r="J258" s="2" t="s">
        <v>185</v>
      </c>
      <c r="K258" s="2" t="s">
        <v>186</v>
      </c>
    </row>
    <row r="259" spans="2:11" x14ac:dyDescent="0.2">
      <c r="F259" s="82">
        <v>44196</v>
      </c>
      <c r="G259" s="82">
        <f>+EOMONTH(F259,12)</f>
        <v>44561</v>
      </c>
      <c r="H259" s="82">
        <f>+EOMONTH(G259,12)</f>
        <v>44926</v>
      </c>
      <c r="I259" s="82">
        <f>+EOMONTH(H259,12)</f>
        <v>45291</v>
      </c>
      <c r="J259" s="82">
        <f>+EOMONTH(I259,12)</f>
        <v>45657</v>
      </c>
      <c r="K259" s="82">
        <f>+EOMONTH(J259,12)</f>
        <v>46022</v>
      </c>
    </row>
    <row r="260" spans="2:11" x14ac:dyDescent="0.2">
      <c r="B260" t="s">
        <v>187</v>
      </c>
      <c r="F260" s="19">
        <f>+-$E$18</f>
        <v>-278</v>
      </c>
      <c r="G260" s="45">
        <f ca="1">+G255</f>
        <v>328.29950849733063</v>
      </c>
    </row>
    <row r="261" spans="2:11" x14ac:dyDescent="0.2">
      <c r="B261" t="s">
        <v>188</v>
      </c>
      <c r="F261">
        <f t="shared" ref="F261:F264" si="118">+-$E$18</f>
        <v>-278</v>
      </c>
      <c r="G261">
        <f>+G254</f>
        <v>2</v>
      </c>
      <c r="H261" s="45">
        <f ca="1">+H255</f>
        <v>401.22650345301531</v>
      </c>
    </row>
    <row r="262" spans="2:11" x14ac:dyDescent="0.2">
      <c r="B262" t="s">
        <v>189</v>
      </c>
      <c r="F262">
        <f t="shared" si="118"/>
        <v>-278</v>
      </c>
      <c r="G262">
        <f>+G254</f>
        <v>2</v>
      </c>
      <c r="H262">
        <f t="shared" ref="H262" si="119">+H254</f>
        <v>2</v>
      </c>
      <c r="I262" s="45">
        <f ca="1">+I255</f>
        <v>487.29422515315002</v>
      </c>
    </row>
    <row r="263" spans="2:11" x14ac:dyDescent="0.2">
      <c r="B263" t="s">
        <v>190</v>
      </c>
      <c r="F263">
        <f t="shared" si="118"/>
        <v>-278</v>
      </c>
      <c r="G263">
        <f>+G254</f>
        <v>2</v>
      </c>
      <c r="H263">
        <f t="shared" ref="H263:I263" si="120">+H254</f>
        <v>2</v>
      </c>
      <c r="I263">
        <f t="shared" si="120"/>
        <v>2</v>
      </c>
      <c r="J263" s="45">
        <f ca="1">+J255</f>
        <v>588.73993402200142</v>
      </c>
    </row>
    <row r="264" spans="2:11" x14ac:dyDescent="0.2">
      <c r="B264" t="s">
        <v>191</v>
      </c>
      <c r="F264">
        <f t="shared" si="118"/>
        <v>-278</v>
      </c>
      <c r="G264">
        <f>+G254</f>
        <v>2</v>
      </c>
      <c r="H264">
        <f t="shared" ref="H264:J264" si="121">+H254</f>
        <v>2</v>
      </c>
      <c r="I264">
        <f t="shared" si="121"/>
        <v>2</v>
      </c>
      <c r="J264">
        <f t="shared" si="121"/>
        <v>2</v>
      </c>
      <c r="K264" s="45">
        <f ca="1">+K255</f>
        <v>708.50410267848349</v>
      </c>
    </row>
    <row r="266" spans="2:11" x14ac:dyDescent="0.2">
      <c r="B266" s="84" t="s">
        <v>192</v>
      </c>
      <c r="C266" s="85"/>
      <c r="D266" s="85"/>
      <c r="E266" s="85"/>
      <c r="F266" s="85"/>
      <c r="G266" s="86">
        <f ca="1">+XIRR($F260:$K260,$F$259:$K$259)</f>
        <v>0.18093348145484928</v>
      </c>
      <c r="H266" s="86">
        <f ca="1">+XIRR(F261:K261,$F$259:$K$259)</f>
        <v>0.20496041178703311</v>
      </c>
      <c r="I266" s="86">
        <f ca="1">+XIRR($F262:$K262,$F$259:$K$259)</f>
        <v>0.21012225747108462</v>
      </c>
      <c r="J266" s="86">
        <f ca="1">+XIRR($F263:$K263,$F$259:$K$259)</f>
        <v>0.21071837544441224</v>
      </c>
      <c r="K266" s="86">
        <f ca="1">+XIRR($F264:$K264,$F$259:$K$259)</f>
        <v>0.2100850403308869</v>
      </c>
    </row>
    <row r="267" spans="2:11" x14ac:dyDescent="0.2">
      <c r="B267" s="84" t="s">
        <v>193</v>
      </c>
      <c r="C267" s="85"/>
      <c r="D267" s="85"/>
      <c r="E267" s="85"/>
      <c r="F267" s="85"/>
      <c r="G267" s="87">
        <f ca="1">+SUM(G260:K260)/-$F$260</f>
        <v>1.1809334838033476</v>
      </c>
      <c r="H267" s="87">
        <f ca="1">+SUM(G261:K261)/-$F$260</f>
        <v>1.4504550483921415</v>
      </c>
      <c r="I267" s="87">
        <f ca="1">+SUM(G262:K262)/-$F$260</f>
        <v>1.7672454142199641</v>
      </c>
      <c r="J267" s="87">
        <f ca="1">+SUM(G263:K263)/-$F$260</f>
        <v>2.1393522806546814</v>
      </c>
      <c r="K267" s="87">
        <f ca="1">+SUM(G264:K264)/-$F$260</f>
        <v>2.5773528873326743</v>
      </c>
    </row>
    <row r="269" spans="2:11" x14ac:dyDescent="0.2">
      <c r="G269" s="5" t="s">
        <v>196</v>
      </c>
    </row>
    <row r="270" spans="2:11" x14ac:dyDescent="0.2">
      <c r="G270" s="5" t="s">
        <v>195</v>
      </c>
    </row>
    <row r="271" spans="2:11" ht="13.5" thickBot="1" x14ac:dyDescent="0.25">
      <c r="C271" s="55">
        <f ca="1">+K266</f>
        <v>0.2100850403308869</v>
      </c>
      <c r="D271" s="19">
        <f t="shared" ref="D271:F271" si="122">+E271-1</f>
        <v>9.5</v>
      </c>
      <c r="E271" s="19">
        <f t="shared" si="122"/>
        <v>10.5</v>
      </c>
      <c r="F271" s="19">
        <f>+G271-1</f>
        <v>11.5</v>
      </c>
      <c r="G271">
        <v>12.5</v>
      </c>
      <c r="H271">
        <f>+G271+1</f>
        <v>13.5</v>
      </c>
      <c r="I271">
        <f t="shared" ref="I271:J271" si="123">+H271+1</f>
        <v>14.5</v>
      </c>
      <c r="J271">
        <f t="shared" si="123"/>
        <v>15.5</v>
      </c>
    </row>
    <row r="272" spans="2:11" x14ac:dyDescent="0.2">
      <c r="C272">
        <v>9.5</v>
      </c>
      <c r="D272" s="88">
        <f t="dataTable" ref="D272:J278" dt2D="1" dtr="1" r1="K248" r2="D6" ca="1"/>
        <v>0.26503593325614927</v>
      </c>
      <c r="E272" s="89">
        <v>0.29852879643440244</v>
      </c>
      <c r="F272" s="89">
        <v>0.32886328101158147</v>
      </c>
      <c r="G272" s="89">
        <v>0.35663993954658513</v>
      </c>
      <c r="H272" s="89">
        <v>0.38229845166206367</v>
      </c>
      <c r="I272" s="89">
        <v>0.40617108941078184</v>
      </c>
      <c r="J272" s="90">
        <v>0.4285154521465302</v>
      </c>
    </row>
    <row r="273" spans="2:10" x14ac:dyDescent="0.2">
      <c r="C273">
        <v>10.5</v>
      </c>
      <c r="D273" s="91">
        <v>0.2084006249904633</v>
      </c>
      <c r="E273" s="92">
        <v>0.24043391346931456</v>
      </c>
      <c r="F273" s="92">
        <v>0.26944536566734323</v>
      </c>
      <c r="G273" s="92">
        <v>0.2960097134113312</v>
      </c>
      <c r="H273" s="92">
        <v>0.32054769396781935</v>
      </c>
      <c r="I273" s="92">
        <v>0.34337727427482601</v>
      </c>
      <c r="J273" s="93">
        <v>0.36474491953849797</v>
      </c>
    </row>
    <row r="274" spans="2:10" x14ac:dyDescent="0.2">
      <c r="C274">
        <v>11.5</v>
      </c>
      <c r="D274" s="91">
        <v>0.16418530344963078</v>
      </c>
      <c r="E274" s="92">
        <v>0.19507451653480531</v>
      </c>
      <c r="F274" s="92">
        <v>0.22304900288581847</v>
      </c>
      <c r="G274" s="92">
        <v>0.24866322875022889</v>
      </c>
      <c r="H274" s="92">
        <v>0.27232311367988593</v>
      </c>
      <c r="I274" s="92">
        <v>0.29433534741401679</v>
      </c>
      <c r="J274" s="93">
        <v>0.31493766903877252</v>
      </c>
    </row>
    <row r="275" spans="2:10" x14ac:dyDescent="0.2">
      <c r="B275" s="4" t="s">
        <v>194</v>
      </c>
      <c r="C275">
        <v>12.5</v>
      </c>
      <c r="D275" s="91">
        <v>0.12816532254219057</v>
      </c>
      <c r="E275" s="92">
        <v>0.1581197321414948</v>
      </c>
      <c r="F275" s="92">
        <v>0.18524699807167058</v>
      </c>
      <c r="G275" s="92">
        <v>0.2100850403308869</v>
      </c>
      <c r="H275" s="92">
        <v>0.23302758336067203</v>
      </c>
      <c r="I275" s="92">
        <v>0.25437213778495793</v>
      </c>
      <c r="J275" s="93">
        <v>0.27434932589530947</v>
      </c>
    </row>
    <row r="276" spans="2:10" x14ac:dyDescent="0.2">
      <c r="C276">
        <v>13.5</v>
      </c>
      <c r="D276" s="91">
        <v>9.7927671670913707E-2</v>
      </c>
      <c r="E276" s="92">
        <v>0.12709552645683286</v>
      </c>
      <c r="F276" s="92">
        <v>0.15350999236106874</v>
      </c>
      <c r="G276" s="92">
        <v>0.17769499421119692</v>
      </c>
      <c r="H276" s="92">
        <v>0.20003406405448915</v>
      </c>
      <c r="I276" s="92">
        <v>0.2208169519901276</v>
      </c>
      <c r="J276" s="93">
        <v>0.24026826024055475</v>
      </c>
    </row>
    <row r="277" spans="2:10" x14ac:dyDescent="0.2">
      <c r="C277">
        <v>14.5</v>
      </c>
      <c r="D277" s="91">
        <v>7.1971228718757649E-2</v>
      </c>
      <c r="E277" s="92">
        <v>0.10046263337135314</v>
      </c>
      <c r="F277" s="92">
        <v>0.12626411318778988</v>
      </c>
      <c r="G277" s="92">
        <v>0.14988756775856019</v>
      </c>
      <c r="H277" s="92">
        <v>0.1717077076435089</v>
      </c>
      <c r="I277" s="92">
        <v>0.19200761914253239</v>
      </c>
      <c r="J277" s="93">
        <v>0.21100674271583561</v>
      </c>
    </row>
    <row r="278" spans="2:10" ht="13.5" thickBot="1" x14ac:dyDescent="0.25">
      <c r="C278">
        <v>15.5</v>
      </c>
      <c r="D278" s="94">
        <v>4.9302044510841386E-2</v>
      </c>
      <c r="E278" s="95">
        <v>7.7201768755912767E-2</v>
      </c>
      <c r="F278" s="95">
        <v>0.10246707797050478</v>
      </c>
      <c r="G278" s="95">
        <v>0.12559937834739687</v>
      </c>
      <c r="H278" s="95">
        <v>0.14696566462516789</v>
      </c>
      <c r="I278" s="95">
        <v>0.16684318184852601</v>
      </c>
      <c r="J278" s="96">
        <v>0.18544686436653138</v>
      </c>
    </row>
    <row r="281" spans="2:10" x14ac:dyDescent="0.2">
      <c r="G281" s="5" t="s">
        <v>197</v>
      </c>
    </row>
    <row r="282" spans="2:10" x14ac:dyDescent="0.2">
      <c r="G282" s="5" t="s">
        <v>195</v>
      </c>
    </row>
    <row r="283" spans="2:10" ht="13.5" thickBot="1" x14ac:dyDescent="0.25">
      <c r="C283" s="83">
        <f ca="1">+K267</f>
        <v>2.5773528873326743</v>
      </c>
      <c r="D283" s="19">
        <f t="shared" ref="D283:F283" si="124">+E283-1</f>
        <v>9.5</v>
      </c>
      <c r="E283" s="19">
        <f t="shared" si="124"/>
        <v>10.5</v>
      </c>
      <c r="F283" s="19">
        <f>+G283-1</f>
        <v>11.5</v>
      </c>
      <c r="G283">
        <v>12.5</v>
      </c>
      <c r="H283">
        <f>+G283+1</f>
        <v>13.5</v>
      </c>
      <c r="I283">
        <f t="shared" ref="I283:J283" si="125">+H283+1</f>
        <v>14.5</v>
      </c>
      <c r="J283">
        <f t="shared" si="125"/>
        <v>15.5</v>
      </c>
    </row>
    <row r="284" spans="2:10" x14ac:dyDescent="0.2">
      <c r="C284">
        <v>9.5</v>
      </c>
      <c r="D284" s="97">
        <f t="dataTable" ref="D284:J290" dt2D="1" dtr="1" r1="K248" r2="D6" ca="1"/>
        <v>3.1981267624896415</v>
      </c>
      <c r="E284" s="98">
        <v>3.6436965392936931</v>
      </c>
      <c r="F284" s="98">
        <v>4.0892663160977438</v>
      </c>
      <c r="G284" s="98">
        <v>4.5348360929017941</v>
      </c>
      <c r="H284" s="98">
        <v>4.9804058697058453</v>
      </c>
      <c r="I284" s="98">
        <v>5.4259756465098974</v>
      </c>
      <c r="J284" s="99">
        <v>5.8715454233139486</v>
      </c>
    </row>
    <row r="285" spans="2:10" x14ac:dyDescent="0.2">
      <c r="C285">
        <v>10.5</v>
      </c>
      <c r="D285" s="100">
        <v>2.5520405478452695</v>
      </c>
      <c r="E285" s="101">
        <v>2.9075962283252705</v>
      </c>
      <c r="F285" s="101">
        <v>3.2631519088052703</v>
      </c>
      <c r="G285" s="101">
        <v>3.61870758928527</v>
      </c>
      <c r="H285" s="101">
        <v>3.9742632697652707</v>
      </c>
      <c r="I285" s="101">
        <v>4.3298189502452713</v>
      </c>
      <c r="J285" s="102">
        <v>4.6853746307252724</v>
      </c>
    </row>
    <row r="286" spans="2:10" x14ac:dyDescent="0.2">
      <c r="C286">
        <v>11.5</v>
      </c>
      <c r="D286" s="100">
        <v>2.1231261700561488</v>
      </c>
      <c r="E286" s="101">
        <v>2.4189245933126196</v>
      </c>
      <c r="F286" s="101">
        <v>2.7147230165690908</v>
      </c>
      <c r="G286" s="101">
        <v>3.0105214398255611</v>
      </c>
      <c r="H286" s="101">
        <v>3.3063198630820319</v>
      </c>
      <c r="I286" s="101">
        <v>3.6021182863385031</v>
      </c>
      <c r="J286" s="102">
        <v>3.8979167095949743</v>
      </c>
    </row>
    <row r="287" spans="2:10" x14ac:dyDescent="0.2">
      <c r="B287" s="4" t="s">
        <v>194</v>
      </c>
      <c r="C287">
        <v>12.5</v>
      </c>
      <c r="D287" s="100">
        <v>1.8176403901919544</v>
      </c>
      <c r="E287" s="101">
        <v>2.0708778892388611</v>
      </c>
      <c r="F287" s="101">
        <v>2.3241153882857675</v>
      </c>
      <c r="G287" s="101">
        <v>2.5773528873326739</v>
      </c>
      <c r="H287" s="101">
        <v>2.8305903863795812</v>
      </c>
      <c r="I287" s="101">
        <v>3.0838278854264884</v>
      </c>
      <c r="J287" s="102">
        <v>3.3370653844733953</v>
      </c>
    </row>
    <row r="288" spans="2:10" x14ac:dyDescent="0.2">
      <c r="C288">
        <v>13.5</v>
      </c>
      <c r="D288" s="100">
        <v>1.5890063788470545</v>
      </c>
      <c r="E288" s="101">
        <v>1.8103901044289417</v>
      </c>
      <c r="F288" s="101">
        <v>2.0317738300108288</v>
      </c>
      <c r="G288" s="101">
        <v>2.2531575555927152</v>
      </c>
      <c r="H288" s="101">
        <v>2.4745412811746026</v>
      </c>
      <c r="I288" s="101">
        <v>2.6959250067564899</v>
      </c>
      <c r="J288" s="102">
        <v>2.9173087323383768</v>
      </c>
    </row>
    <row r="289" spans="3:10" x14ac:dyDescent="0.2">
      <c r="C289">
        <v>14.5</v>
      </c>
      <c r="D289" s="100">
        <v>1.4114637666853724</v>
      </c>
      <c r="E289" s="101">
        <v>1.6081118804704009</v>
      </c>
      <c r="F289" s="101">
        <v>1.8047599942554291</v>
      </c>
      <c r="G289" s="101">
        <v>2.0014081080404567</v>
      </c>
      <c r="H289" s="101">
        <v>2.1980562218254849</v>
      </c>
      <c r="I289" s="101">
        <v>2.3947043356105131</v>
      </c>
      <c r="J289" s="102">
        <v>2.5913524493955413</v>
      </c>
    </row>
    <row r="290" spans="3:10" ht="13.5" thickBot="1" x14ac:dyDescent="0.25">
      <c r="C290">
        <v>15.5</v>
      </c>
      <c r="D290" s="103">
        <v>1.269608111742119</v>
      </c>
      <c r="E290" s="104">
        <v>1.4464925960010135</v>
      </c>
      <c r="F290" s="104">
        <v>1.6233770802599079</v>
      </c>
      <c r="G290" s="104">
        <v>1.8002615645188025</v>
      </c>
      <c r="H290" s="104">
        <v>1.9771460487776975</v>
      </c>
      <c r="I290" s="104">
        <v>2.1540305330365923</v>
      </c>
      <c r="J290" s="105">
        <v>2.3309150172954869</v>
      </c>
    </row>
  </sheetData>
  <conditionalFormatting sqref="D284:J290">
    <cfRule type="expression" dxfId="0" priority="5">
      <formula>"&gt;3"</formula>
    </cfRule>
    <cfRule type="cellIs" dxfId="1" priority="2" operator="lessThan">
      <formula>3</formula>
    </cfRule>
    <cfRule type="cellIs" dxfId="2" priority="1" operator="greaterThan">
      <formula>3</formula>
    </cfRule>
  </conditionalFormatting>
  <conditionalFormatting sqref="D272:J278">
    <cfRule type="cellIs" dxfId="8" priority="4" operator="lessThan">
      <formula>0.15</formula>
    </cfRule>
    <cfRule type="cellIs" dxfId="7" priority="3" operator="greaterThan">
      <formula>0.15</formula>
    </cfRule>
  </conditionalFormatting>
  <pageMargins left="0.7" right="0.7" top="0.75" bottom="0.75" header="0.3" footer="0.3"/>
  <ignoredErrors>
    <ignoredError sqref="K4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LTM Financials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Umbright</dc:creator>
  <cp:lastModifiedBy>Connor Umbright</cp:lastModifiedBy>
  <dcterms:created xsi:type="dcterms:W3CDTF">2023-04-05T13:28:19Z</dcterms:created>
  <dcterms:modified xsi:type="dcterms:W3CDTF">2023-04-05T18:14:23Z</dcterms:modified>
</cp:coreProperties>
</file>