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nnor Umbright\Downloads\"/>
    </mc:Choice>
  </mc:AlternateContent>
  <xr:revisionPtr revIDLastSave="0" documentId="8_{9606EA82-4A44-4C32-AE2D-0946E2970C05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Cover" sheetId="4" r:id="rId1"/>
    <sheet name="Assumptions" sheetId="2" r:id="rId2"/>
    <sheet name="Model " sheetId="5" r:id="rId3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  <definedName name="_xlnm.Print_Area" localSheetId="1">Assumptions!$A$1:$N$36</definedName>
    <definedName name="_xlnm.Print_Area" localSheetId="0">Cover!$B$1:$O$39</definedName>
    <definedName name="solver_adj" localSheetId="2" hidden="1">'Model '!$F$78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'Model '!$F$78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'Model '!$F$11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0.09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5" i="5" l="1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G7" i="5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F11" i="5"/>
  <c r="F12" i="5"/>
  <c r="G16" i="5"/>
  <c r="H16" i="5" s="1"/>
  <c r="G22" i="5"/>
  <c r="H22" i="5" s="1"/>
  <c r="G28" i="5"/>
  <c r="H28" i="5" s="1"/>
  <c r="G32" i="5"/>
  <c r="H32" i="5" s="1"/>
  <c r="I32" i="5" s="1"/>
  <c r="N9" i="2"/>
  <c r="G12" i="5" l="1"/>
  <c r="H12" i="5"/>
  <c r="I12" i="5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G51" i="5"/>
  <c r="I16" i="5"/>
  <c r="H47" i="5"/>
  <c r="G47" i="5"/>
  <c r="H38" i="5"/>
  <c r="I20" i="5" s="1"/>
  <c r="I53" i="5" s="1"/>
  <c r="G38" i="5"/>
  <c r="H20" i="5" s="1"/>
  <c r="H53" i="5" s="1"/>
  <c r="I22" i="5"/>
  <c r="J22" i="5" s="1"/>
  <c r="H54" i="5"/>
  <c r="G54" i="5"/>
  <c r="H51" i="5"/>
  <c r="G50" i="5"/>
  <c r="F38" i="5"/>
  <c r="I28" i="5"/>
  <c r="I50" i="5" s="1"/>
  <c r="H50" i="5"/>
  <c r="J32" i="5"/>
  <c r="I51" i="5"/>
  <c r="I47" i="5"/>
  <c r="J16" i="5"/>
  <c r="B2" i="2"/>
  <c r="I54" i="5" l="1"/>
  <c r="I38" i="5"/>
  <c r="J20" i="5" s="1"/>
  <c r="J53" i="5" s="1"/>
  <c r="G20" i="5"/>
  <c r="G53" i="5" s="1"/>
  <c r="F40" i="5"/>
  <c r="K16" i="5"/>
  <c r="J47" i="5"/>
  <c r="J28" i="5"/>
  <c r="K32" i="5"/>
  <c r="J51" i="5"/>
  <c r="J54" i="5"/>
  <c r="K22" i="5"/>
  <c r="G41" i="5" l="1"/>
  <c r="M41" i="5"/>
  <c r="T41" i="5"/>
  <c r="R41" i="5"/>
  <c r="K41" i="5"/>
  <c r="P41" i="5"/>
  <c r="F42" i="5"/>
  <c r="F72" i="5" s="1"/>
  <c r="F76" i="5" s="1"/>
  <c r="U41" i="5"/>
  <c r="L41" i="5"/>
  <c r="Q41" i="5"/>
  <c r="H41" i="5"/>
  <c r="I41" i="5"/>
  <c r="J41" i="5"/>
  <c r="N41" i="5"/>
  <c r="S41" i="5"/>
  <c r="F65" i="5"/>
  <c r="O41" i="5"/>
  <c r="K54" i="5"/>
  <c r="L22" i="5"/>
  <c r="K28" i="5"/>
  <c r="J50" i="5"/>
  <c r="K47" i="5"/>
  <c r="L16" i="5"/>
  <c r="K51" i="5"/>
  <c r="L32" i="5"/>
  <c r="J38" i="5"/>
  <c r="K20" i="5" s="1"/>
  <c r="K53" i="5" s="1"/>
  <c r="L51" i="5" l="1"/>
  <c r="M32" i="5"/>
  <c r="L28" i="5"/>
  <c r="K50" i="5"/>
  <c r="M22" i="5"/>
  <c r="L54" i="5"/>
  <c r="M16" i="5"/>
  <c r="L47" i="5"/>
  <c r="K38" i="5"/>
  <c r="L20" i="5" s="1"/>
  <c r="L53" i="5" s="1"/>
  <c r="L50" i="5" l="1"/>
  <c r="M28" i="5"/>
  <c r="M51" i="5"/>
  <c r="N32" i="5"/>
  <c r="N16" i="5"/>
  <c r="M47" i="5"/>
  <c r="L38" i="5"/>
  <c r="M20" i="5" s="1"/>
  <c r="M53" i="5" s="1"/>
  <c r="N22" i="5"/>
  <c r="M54" i="5"/>
  <c r="O32" i="5" l="1"/>
  <c r="N51" i="5"/>
  <c r="N28" i="5"/>
  <c r="M50" i="5"/>
  <c r="M38" i="5"/>
  <c r="N20" i="5" s="1"/>
  <c r="N53" i="5" s="1"/>
  <c r="N54" i="5"/>
  <c r="O22" i="5"/>
  <c r="O16" i="5"/>
  <c r="N47" i="5"/>
  <c r="O54" i="5" l="1"/>
  <c r="P22" i="5"/>
  <c r="O28" i="5"/>
  <c r="N50" i="5"/>
  <c r="O47" i="5"/>
  <c r="P16" i="5"/>
  <c r="N38" i="5"/>
  <c r="O20" i="5" s="1"/>
  <c r="O53" i="5" s="1"/>
  <c r="O51" i="5"/>
  <c r="P32" i="5"/>
  <c r="O38" i="5" l="1"/>
  <c r="P20" i="5" s="1"/>
  <c r="P53" i="5" s="1"/>
  <c r="P28" i="5"/>
  <c r="O50" i="5"/>
  <c r="Q16" i="5"/>
  <c r="P47" i="5"/>
  <c r="Q32" i="5"/>
  <c r="P51" i="5"/>
  <c r="Q22" i="5"/>
  <c r="P54" i="5"/>
  <c r="P38" i="5" l="1"/>
  <c r="Q20" i="5" s="1"/>
  <c r="Q53" i="5" s="1"/>
  <c r="R32" i="5"/>
  <c r="Q51" i="5"/>
  <c r="Q28" i="5"/>
  <c r="P50" i="5"/>
  <c r="R22" i="5"/>
  <c r="Q54" i="5"/>
  <c r="Q47" i="5"/>
  <c r="R16" i="5"/>
  <c r="R54" i="5" l="1"/>
  <c r="S22" i="5"/>
  <c r="Q38" i="5"/>
  <c r="R20" i="5" s="1"/>
  <c r="R53" i="5" s="1"/>
  <c r="S32" i="5"/>
  <c r="R51" i="5"/>
  <c r="S16" i="5"/>
  <c r="R47" i="5"/>
  <c r="R28" i="5"/>
  <c r="Q50" i="5"/>
  <c r="S47" i="5" l="1"/>
  <c r="T16" i="5"/>
  <c r="R38" i="5"/>
  <c r="S20" i="5" s="1"/>
  <c r="S53" i="5" s="1"/>
  <c r="S54" i="5"/>
  <c r="T22" i="5"/>
  <c r="S28" i="5"/>
  <c r="R50" i="5"/>
  <c r="S51" i="5"/>
  <c r="T32" i="5"/>
  <c r="T28" i="5" l="1"/>
  <c r="S50" i="5"/>
  <c r="S38" i="5"/>
  <c r="T20" i="5" s="1"/>
  <c r="T53" i="5" s="1"/>
  <c r="T51" i="5"/>
  <c r="U32" i="5"/>
  <c r="U51" i="5" s="1"/>
  <c r="U22" i="5"/>
  <c r="U54" i="5" s="1"/>
  <c r="T54" i="5"/>
  <c r="T47" i="5"/>
  <c r="U16" i="5"/>
  <c r="U47" i="5" s="1"/>
  <c r="T38" i="5" l="1"/>
  <c r="U20" i="5" s="1"/>
  <c r="U53" i="5" s="1"/>
  <c r="T50" i="5"/>
  <c r="U28" i="5"/>
  <c r="U50" i="5" s="1"/>
  <c r="F64" i="5" l="1"/>
  <c r="F67" i="5" s="1"/>
  <c r="U38" i="5"/>
  <c r="R55" i="5" l="1"/>
  <c r="N55" i="5"/>
  <c r="J55" i="5"/>
  <c r="O55" i="5"/>
  <c r="G55" i="5"/>
  <c r="G59" i="5" s="1"/>
  <c r="U55" i="5"/>
  <c r="U59" i="5" s="1"/>
  <c r="F66" i="5" s="1"/>
  <c r="Q55" i="5"/>
  <c r="M55" i="5"/>
  <c r="I55" i="5"/>
  <c r="T55" i="5"/>
  <c r="P55" i="5"/>
  <c r="L55" i="5"/>
  <c r="H55" i="5"/>
  <c r="S55" i="5"/>
  <c r="K55" i="5"/>
  <c r="P59" i="5" l="1"/>
  <c r="P61" i="5" s="1"/>
  <c r="L59" i="5"/>
  <c r="L61" i="5" s="1"/>
  <c r="M59" i="5"/>
  <c r="M61" i="5" s="1"/>
  <c r="O59" i="5"/>
  <c r="O61" i="5" s="1"/>
  <c r="K59" i="5"/>
  <c r="K61" i="5" s="1"/>
  <c r="Q59" i="5"/>
  <c r="Q61" i="5" s="1"/>
  <c r="J59" i="5"/>
  <c r="J61" i="5" s="1"/>
  <c r="S59" i="5"/>
  <c r="S61" i="5" s="1"/>
  <c r="T59" i="5"/>
  <c r="T61" i="5" s="1"/>
  <c r="N59" i="5"/>
  <c r="N61" i="5" s="1"/>
  <c r="H59" i="5"/>
  <c r="H61" i="5" s="1"/>
  <c r="I59" i="5"/>
  <c r="I61" i="5" s="1"/>
  <c r="R59" i="5"/>
  <c r="R61" i="5" s="1"/>
  <c r="G61" i="5"/>
  <c r="U61" i="5"/>
  <c r="F69" i="5"/>
  <c r="F73" i="5" s="1"/>
  <c r="U76" i="5" s="1"/>
  <c r="F78" i="5" s="1"/>
</calcChain>
</file>

<file path=xl/sharedStrings.xml><?xml version="1.0" encoding="utf-8"?>
<sst xmlns="http://schemas.openxmlformats.org/spreadsheetml/2006/main" count="91" uniqueCount="76">
  <si>
    <t>Case Author: Andrew Grigolyunovich, CFA, CFM, FMVA</t>
  </si>
  <si>
    <t>Company Name:</t>
  </si>
  <si>
    <r>
      <rPr>
        <sz val="8"/>
        <rFont val="Calibri"/>
        <family val="2"/>
      </rPr>
      <t>[%</t>
    </r>
    <r>
      <rPr>
        <sz val="8"/>
        <rFont val="Roboto"/>
      </rPr>
      <t>]</t>
    </r>
  </si>
  <si>
    <t>Inputs and Assumptions</t>
  </si>
  <si>
    <t>Origination Fee</t>
  </si>
  <si>
    <t>Disposition Fee</t>
  </si>
  <si>
    <t>Interest Rate</t>
  </si>
  <si>
    <t>Loan-to-Value (LTV)</t>
  </si>
  <si>
    <t>Forest Investment</t>
  </si>
  <si>
    <t>Case Assumptions</t>
  </si>
  <si>
    <t>Perpetual Growth Capital</t>
  </si>
  <si>
    <r>
      <rPr>
        <sz val="8"/>
        <rFont val="Calibri"/>
        <family val="2"/>
      </rPr>
      <t>[Year</t>
    </r>
    <r>
      <rPr>
        <sz val="8"/>
        <rFont val="Roboto"/>
      </rPr>
      <t>]</t>
    </r>
  </si>
  <si>
    <t>Model Start Year</t>
  </si>
  <si>
    <t>Property Sale (Year of Operations)</t>
  </si>
  <si>
    <t>Property Sale (Calendar Year)</t>
  </si>
  <si>
    <t>Bank Loan</t>
  </si>
  <si>
    <t>Operating Assumptions</t>
  </si>
  <si>
    <t>Management fee</t>
  </si>
  <si>
    <t>Cutting Costs</t>
  </si>
  <si>
    <t>Forest Annual Growth Rate</t>
  </si>
  <si>
    <t>Planting Costs</t>
  </si>
  <si>
    <t>Annual Inflation Rate</t>
  </si>
  <si>
    <t>Acquisition and Disposition Assumptions</t>
  </si>
  <si>
    <t>Acquisition Price</t>
  </si>
  <si>
    <r>
      <rPr>
        <sz val="8"/>
        <rFont val="Calibri"/>
        <family val="2"/>
      </rPr>
      <t>[$</t>
    </r>
    <r>
      <rPr>
        <sz val="8"/>
        <rFont val="Roboto"/>
      </rPr>
      <t>]</t>
    </r>
  </si>
  <si>
    <r>
      <rPr>
        <sz val="8"/>
        <rFont val="Calibri"/>
        <family val="2"/>
      </rPr>
      <t>[#</t>
    </r>
    <r>
      <rPr>
        <sz val="8"/>
        <rFont val="Roboto"/>
      </rPr>
      <t>]</t>
    </r>
  </si>
  <si>
    <t>Initial Wood Volume</t>
  </si>
  <si>
    <r>
      <rPr>
        <sz val="8"/>
        <rFont val="Calibri"/>
        <family val="2"/>
      </rPr>
      <t>[M</t>
    </r>
    <r>
      <rPr>
        <vertAlign val="superscript"/>
        <sz val="8"/>
        <rFont val="Calibri"/>
        <family val="2"/>
      </rPr>
      <t>3</t>
    </r>
    <r>
      <rPr>
        <sz val="8"/>
        <rFont val="Roboto"/>
      </rPr>
      <t>]</t>
    </r>
  </si>
  <si>
    <t>Wood Price at Acquisition</t>
  </si>
  <si>
    <r>
      <rPr>
        <sz val="8"/>
        <rFont val="Calibri"/>
        <family val="2"/>
      </rPr>
      <t>[$/M</t>
    </r>
    <r>
      <rPr>
        <vertAlign val="superscript"/>
        <sz val="8"/>
        <rFont val="Calibri"/>
        <family val="2"/>
      </rPr>
      <t>3</t>
    </r>
    <r>
      <rPr>
        <sz val="8"/>
        <rFont val="Roboto"/>
      </rPr>
      <t>]</t>
    </r>
  </si>
  <si>
    <r>
      <rPr>
        <sz val="8"/>
        <rFont val="Calibri"/>
        <family val="2"/>
      </rPr>
      <t>[% p.a.</t>
    </r>
    <r>
      <rPr>
        <sz val="8"/>
        <rFont val="Roboto"/>
      </rPr>
      <t>]</t>
    </r>
  </si>
  <si>
    <r>
      <rPr>
        <sz val="8"/>
        <rFont val="Calibri"/>
        <family val="2"/>
      </rPr>
      <t>[% of Value</t>
    </r>
    <r>
      <rPr>
        <sz val="8"/>
        <rFont val="Roboto"/>
      </rPr>
      <t>]</t>
    </r>
  </si>
  <si>
    <t>RE Tax</t>
  </si>
  <si>
    <r>
      <rPr>
        <sz val="8"/>
        <rFont val="Calibri"/>
        <family val="2"/>
      </rPr>
      <t>[$/Year</t>
    </r>
    <r>
      <rPr>
        <sz val="8"/>
        <rFont val="Roboto"/>
      </rPr>
      <t>]</t>
    </r>
  </si>
  <si>
    <t>General &amp; Macroeconomy Assumptions</t>
  </si>
  <si>
    <t xml:space="preserve"> </t>
  </si>
  <si>
    <t>Day</t>
  </si>
  <si>
    <t>Year</t>
  </si>
  <si>
    <t>Year Number</t>
  </si>
  <si>
    <t>Acqusition Price</t>
  </si>
  <si>
    <t>Wood Quantity m3</t>
  </si>
  <si>
    <t>Wood % growth</t>
  </si>
  <si>
    <t>Wood Price</t>
  </si>
  <si>
    <t>% Price Increase</t>
  </si>
  <si>
    <t>Management Fee</t>
  </si>
  <si>
    <t>Management % Fee</t>
  </si>
  <si>
    <t>$ Mgmt Fee</t>
  </si>
  <si>
    <t>$ RE Tax</t>
  </si>
  <si>
    <t>% tax growth</t>
  </si>
  <si>
    <t>Tree Cutting</t>
  </si>
  <si>
    <t>Cost per m3</t>
  </si>
  <si>
    <t>% growth in cost</t>
  </si>
  <si>
    <t>Tree Planting</t>
  </si>
  <si>
    <t xml:space="preserve">Bank Loan </t>
  </si>
  <si>
    <t>Loan Amount</t>
  </si>
  <si>
    <t>Interest Expense</t>
  </si>
  <si>
    <t>Total Expenses</t>
  </si>
  <si>
    <t>Net Cash Flows</t>
  </si>
  <si>
    <t>Cash to Fund Expenses</t>
  </si>
  <si>
    <t>Sale Price</t>
  </si>
  <si>
    <t xml:space="preserve">Outstanding Loan Amount </t>
  </si>
  <si>
    <t>Year 15 Expenses</t>
  </si>
  <si>
    <t>Disposition Price</t>
  </si>
  <si>
    <t xml:space="preserve">Total Equity </t>
  </si>
  <si>
    <t xml:space="preserve">Woods Valuation </t>
  </si>
  <si>
    <t>Variable Costs</t>
  </si>
  <si>
    <t>Fixed Costs</t>
  </si>
  <si>
    <r>
      <t>Total Wood Cut m</t>
    </r>
    <r>
      <rPr>
        <b/>
        <vertAlign val="superscript"/>
        <sz val="10"/>
        <rFont val="Arial"/>
        <family val="2"/>
      </rPr>
      <t>3</t>
    </r>
  </si>
  <si>
    <t>Wood Cut</t>
  </si>
  <si>
    <t>Total Cut</t>
  </si>
  <si>
    <t>IRR</t>
  </si>
  <si>
    <t xml:space="preserve">Beginning Equity </t>
  </si>
  <si>
    <t>Ending Equity</t>
  </si>
  <si>
    <t xml:space="preserve">Year </t>
  </si>
  <si>
    <t>Perpetuity Growth Investment Case Study- Forest Investment</t>
  </si>
  <si>
    <t>Solved by Connor Umbright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</si>
</sst>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0.0%"/>
    <numFmt numFmtId="169" formatCode="_(&quot;$&quot;* #,##0_);_(&quot;$&quot;* \(#,##0\);_(&quot;$&quot;* &quot;-&quot;??_);_(@_)"/>
    <numFmt numFmtId="170" formatCode="_([$$-409]* #,##0.00_);_([$$-409]* \(#,##0.00\);_([$$-409]* &quot;-&quot;??_);_(@_)"/>
    <numFmt numFmtId="176" formatCode="_(* #,##0_);_(* \(#,##0\);_(* &quot;-&quot;??_);_(@_)"/>
  </numFmts>
  <fonts count="27">
    <font>
      <sz val="10"/>
      <name val="Arial"/>
      <family val="2"/>
    </font>
    <font>
      <sz val="10"/>
      <name val="Arial"/>
      <family val="2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sz val="11"/>
      <color rgb="FF3F3F76"/>
      <name val="Calibri"/>
      <family val="2"/>
      <scheme val="minor"/>
    </font>
    <font>
      <sz val="10"/>
      <name val="Roboto"/>
    </font>
    <font>
      <b/>
      <sz val="10"/>
      <name val="Roboto"/>
    </font>
    <font>
      <b/>
      <sz val="20"/>
      <color theme="0"/>
      <name val="Roboto"/>
    </font>
    <font>
      <b/>
      <sz val="28"/>
      <color theme="0"/>
      <name val="Roboto"/>
    </font>
    <font>
      <b/>
      <sz val="10"/>
      <color rgb="FF6C7079"/>
      <name val="Roboto"/>
    </font>
    <font>
      <u/>
      <sz val="10"/>
      <color theme="10"/>
      <name val="Arial"/>
      <family val="2"/>
    </font>
    <font>
      <b/>
      <u/>
      <sz val="10"/>
      <color rgb="FF6C7079"/>
      <name val="roboto"/>
    </font>
    <font>
      <sz val="10"/>
      <color rgb="FF0085B2"/>
      <name val="Roboto"/>
    </font>
    <font>
      <sz val="8"/>
      <name val="Roboto"/>
      <family val="2"/>
    </font>
    <font>
      <sz val="8"/>
      <name val="Calibri"/>
      <family val="2"/>
    </font>
    <font>
      <sz val="8"/>
      <name val="Roboto"/>
    </font>
    <font>
      <b/>
      <sz val="18"/>
      <name val="Roboto"/>
    </font>
    <font>
      <sz val="12"/>
      <name val="Roboto"/>
    </font>
    <font>
      <vertAlign val="superscript"/>
      <sz val="8"/>
      <name val="Calibri"/>
      <family val="2"/>
    </font>
    <font>
      <sz val="1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208BB7"/>
        <bgColor indexed="64"/>
      </patternFill>
    </fill>
    <fill>
      <patternFill patternType="solid">
        <fgColor rgb="FF6C7079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3" fillId="0" borderId="0" applyNumberFormat="0" applyFont="0" applyFill="0" applyBorder="0" applyProtection="0">
      <alignment horizontal="centerContinuous"/>
    </xf>
    <xf numFmtId="0" fontId="3" fillId="0" borderId="2" applyNumberFormat="0" applyFont="0" applyFill="0" applyAlignment="0" applyProtection="0"/>
    <xf numFmtId="0" fontId="3" fillId="0" borderId="0" applyNumberFormat="0" applyFont="0" applyFill="0" applyBorder="0" applyProtection="0">
      <alignment horizontal="center"/>
    </xf>
    <xf numFmtId="8" fontId="4" fillId="0" borderId="4">
      <protection locked="0"/>
    </xf>
    <xf numFmtId="0" fontId="3" fillId="0" borderId="5" applyNumberFormat="0" applyFont="0" applyFill="0" applyAlignment="0" applyProtection="0"/>
    <xf numFmtId="0" fontId="5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3" fillId="0" borderId="3" applyNumberFormat="0" applyFont="0" applyFill="0" applyAlignment="0" applyProtection="0"/>
    <xf numFmtId="9" fontId="1" fillId="0" borderId="0" applyFont="0" applyFill="0" applyBorder="0" applyAlignment="0" applyProtection="0"/>
    <xf numFmtId="0" fontId="6" fillId="2" borderId="6" applyNumberFormat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5" borderId="8" applyNumberFormat="0" applyFont="0" applyAlignment="0" applyProtection="0"/>
  </cellStyleXfs>
  <cellXfs count="62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5" fontId="11" fillId="0" borderId="0" xfId="0" applyNumberFormat="1" applyFont="1" applyAlignment="1">
      <alignment horizontal="right"/>
    </xf>
    <xf numFmtId="0" fontId="13" fillId="0" borderId="0" xfId="11" applyFont="1"/>
    <xf numFmtId="0" fontId="14" fillId="2" borderId="6" xfId="10" applyNumberFormat="1" applyFont="1" applyAlignment="1" applyProtection="1">
      <alignment horizontal="center"/>
      <protection locked="0"/>
    </xf>
    <xf numFmtId="0" fontId="8" fillId="0" borderId="2" xfId="0" applyFont="1" applyBorder="1"/>
    <xf numFmtId="0" fontId="7" fillId="0" borderId="2" xfId="0" applyFont="1" applyBorder="1"/>
    <xf numFmtId="0" fontId="7" fillId="0" borderId="0" xfId="0" applyFont="1" applyAlignment="1">
      <alignment horizontal="left" indent="1"/>
    </xf>
    <xf numFmtId="0" fontId="15" fillId="0" borderId="0" xfId="0" applyFont="1" applyAlignment="1">
      <alignment horizontal="center"/>
    </xf>
    <xf numFmtId="10" fontId="14" fillId="2" borderId="6" xfId="10" applyNumberFormat="1" applyFont="1" applyAlignment="1" applyProtection="1">
      <alignment horizontal="center"/>
      <protection locked="0"/>
    </xf>
    <xf numFmtId="3" fontId="18" fillId="0" borderId="0" xfId="0" applyNumberFormat="1" applyFont="1" applyAlignment="1">
      <alignment horizontal="centerContinuous"/>
    </xf>
    <xf numFmtId="0" fontId="19" fillId="0" borderId="1" xfId="0" applyFon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6" fontId="14" fillId="2" borderId="6" xfId="10" applyNumberFormat="1" applyFon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10" fontId="14" fillId="2" borderId="7" xfId="10" applyNumberFormat="1" applyFont="1" applyBorder="1" applyAlignment="1" applyProtection="1">
      <alignment horizontal="center"/>
      <protection locked="0"/>
    </xf>
    <xf numFmtId="165" fontId="14" fillId="2" borderId="6" xfId="10" applyNumberFormat="1" applyFont="1" applyAlignment="1" applyProtection="1">
      <alignment horizontal="center"/>
      <protection locked="0"/>
    </xf>
    <xf numFmtId="8" fontId="14" fillId="2" borderId="6" xfId="10" applyNumberFormat="1" applyFont="1" applyAlignment="1" applyProtection="1">
      <alignment horizontal="center"/>
      <protection locked="0"/>
    </xf>
    <xf numFmtId="3" fontId="14" fillId="2" borderId="6" xfId="10" applyNumberFormat="1" applyFont="1" applyAlignment="1" applyProtection="1">
      <alignment horizontal="center"/>
      <protection locked="0"/>
    </xf>
    <xf numFmtId="0" fontId="10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1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horizontal="right"/>
    </xf>
    <xf numFmtId="16" fontId="0" fillId="6" borderId="0" xfId="0" applyNumberFormat="1" applyFill="1"/>
    <xf numFmtId="0" fontId="0" fillId="6" borderId="0" xfId="0" applyFill="1"/>
    <xf numFmtId="0" fontId="0" fillId="6" borderId="1" xfId="0" applyFill="1" applyBorder="1"/>
    <xf numFmtId="6" fontId="0" fillId="0" borderId="0" xfId="0" applyNumberFormat="1"/>
    <xf numFmtId="169" fontId="0" fillId="0" borderId="0" xfId="13" applyNumberFormat="1" applyFont="1"/>
    <xf numFmtId="9" fontId="0" fillId="0" borderId="0" xfId="0" applyNumberFormat="1"/>
    <xf numFmtId="9" fontId="23" fillId="0" borderId="0" xfId="0" applyNumberFormat="1" applyFont="1"/>
    <xf numFmtId="8" fontId="0" fillId="0" borderId="0" xfId="0" applyNumberFormat="1"/>
    <xf numFmtId="0" fontId="24" fillId="0" borderId="0" xfId="0" applyFont="1" applyAlignment="1">
      <alignment horizontal="right"/>
    </xf>
    <xf numFmtId="10" fontId="23" fillId="0" borderId="0" xfId="0" applyNumberFormat="1" applyFont="1"/>
    <xf numFmtId="0" fontId="22" fillId="0" borderId="0" xfId="0" applyFont="1"/>
    <xf numFmtId="170" fontId="0" fillId="0" borderId="0" xfId="0" applyNumberFormat="1"/>
    <xf numFmtId="8" fontId="23" fillId="0" borderId="0" xfId="0" applyNumberFormat="1" applyFont="1"/>
    <xf numFmtId="2" fontId="0" fillId="0" borderId="0" xfId="0" applyNumberFormat="1"/>
    <xf numFmtId="43" fontId="0" fillId="0" borderId="0" xfId="0" applyNumberFormat="1"/>
    <xf numFmtId="176" fontId="0" fillId="0" borderId="0" xfId="0" applyNumberFormat="1"/>
    <xf numFmtId="43" fontId="22" fillId="0" borderId="1" xfId="0" applyNumberFormat="1" applyFont="1" applyBorder="1"/>
    <xf numFmtId="170" fontId="22" fillId="0" borderId="0" xfId="0" applyNumberFormat="1" applyFont="1"/>
    <xf numFmtId="8" fontId="22" fillId="0" borderId="0" xfId="0" applyNumberFormat="1" applyFont="1"/>
    <xf numFmtId="176" fontId="0" fillId="0" borderId="0" xfId="0" applyNumberFormat="1" applyAlignment="1"/>
    <xf numFmtId="16" fontId="0" fillId="0" borderId="0" xfId="0" applyNumberFormat="1" applyFill="1" applyBorder="1"/>
    <xf numFmtId="0" fontId="0" fillId="0" borderId="0" xfId="0" applyFill="1" applyBorder="1"/>
    <xf numFmtId="41" fontId="0" fillId="0" borderId="0" xfId="0" applyNumberFormat="1"/>
    <xf numFmtId="9" fontId="23" fillId="5" borderId="8" xfId="14" applyNumberFormat="1" applyFont="1"/>
    <xf numFmtId="165" fontId="23" fillId="5" borderId="8" xfId="14" applyNumberFormat="1" applyFont="1"/>
    <xf numFmtId="0" fontId="22" fillId="0" borderId="0" xfId="0" applyFont="1" applyAlignment="1">
      <alignment horizontal="center"/>
    </xf>
    <xf numFmtId="169" fontId="0" fillId="0" borderId="0" xfId="0" applyNumberFormat="1"/>
    <xf numFmtId="43" fontId="0" fillId="0" borderId="0" xfId="12" applyFont="1"/>
    <xf numFmtId="0" fontId="0" fillId="0" borderId="0" xfId="12" applyNumberFormat="1" applyFont="1"/>
    <xf numFmtId="170" fontId="0" fillId="0" borderId="0" xfId="12" applyNumberFormat="1" applyFont="1"/>
    <xf numFmtId="10" fontId="22" fillId="7" borderId="9" xfId="0" applyNumberFormat="1" applyFont="1" applyFill="1" applyBorder="1"/>
    <xf numFmtId="0" fontId="0" fillId="0" borderId="2" xfId="0" applyBorder="1"/>
    <xf numFmtId="176" fontId="22" fillId="0" borderId="0" xfId="0" applyNumberFormat="1" applyFont="1" applyAlignment="1">
      <alignment vertical="center"/>
    </xf>
    <xf numFmtId="14" fontId="0" fillId="0" borderId="0" xfId="0" applyNumberFormat="1"/>
    <xf numFmtId="0" fontId="26" fillId="0" borderId="0" xfId="0" applyFont="1"/>
  </cellXfs>
  <cellStyles count="15">
    <cellStyle name="Across" xfId="1" xr:uid="{00000000-0005-0000-0000-000000000000}"/>
    <cellStyle name="Bottom" xfId="2" xr:uid="{00000000-0005-0000-0000-000001000000}"/>
    <cellStyle name="Center" xfId="3" xr:uid="{00000000-0005-0000-0000-000002000000}"/>
    <cellStyle name="Comma" xfId="12" builtinId="3"/>
    <cellStyle name="Currency" xfId="13" builtinId="4"/>
    <cellStyle name="Currency [2]" xfId="4" xr:uid="{00000000-0005-0000-0000-000004000000}"/>
    <cellStyle name="Double" xfId="5" xr:uid="{00000000-0005-0000-0000-000005000000}"/>
    <cellStyle name="Hyperlink" xfId="11" builtinId="8"/>
    <cellStyle name="Input" xfId="10" builtinId="20"/>
    <cellStyle name="Normal" xfId="0" builtinId="0"/>
    <cellStyle name="Note" xfId="14" builtinId="10"/>
    <cellStyle name="Numbers" xfId="6" xr:uid="{00000000-0005-0000-0000-000007000000}"/>
    <cellStyle name="Numbers - Bold - Italic" xfId="7" xr:uid="{00000000-0005-0000-0000-000008000000}"/>
    <cellStyle name="Outline" xfId="8" xr:uid="{00000000-0005-0000-0000-000009000000}"/>
    <cellStyle name="Percent 2" xfId="9" xr:uid="{00000000-0005-0000-0000-00000B000000}"/>
  </cellStyles>
  <dxfs count="0"/>
  <tableStyles count="0" defaultTableStyle="TableStyleMedium2" defaultPivotStyle="PivotStyleLight16"/>
  <colors>
    <mruColors>
      <color rgb="FF208BB7"/>
      <color rgb="FF0085B2"/>
      <color rgb="FF6C707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fmworldcup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127002</xdr:colOff>
      <xdr:row>2</xdr:row>
      <xdr:rowOff>161635</xdr:rowOff>
    </xdr:from>
    <xdr:to>
      <xdr:col>13</xdr:col>
      <xdr:colOff>568470</xdr:colOff>
      <xdr:row>28</xdr:row>
      <xdr:rowOff>126999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9093" y="484908"/>
          <a:ext cx="7172468" cy="4167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13073</xdr:colOff>
      <xdr:row>0</xdr:row>
      <xdr:rowOff>0</xdr:rowOff>
    </xdr:from>
    <xdr:to>
      <xdr:col>2</xdr:col>
      <xdr:colOff>476250</xdr:colOff>
      <xdr:row>2</xdr:row>
      <xdr:rowOff>191090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673" y="0"/>
          <a:ext cx="1072777" cy="641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andrewgri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E294-DDE5-4897-92CE-3894C5676D91}">
  <sheetPr codeName="Sheet1"/>
  <dimension ref="B20:O39"/>
  <sheetViews>
    <sheetView showGridLines="0" topLeftCell="A7" zoomScale="70" zoomScaleNormal="70" workbookViewId="0">
      <selection activeCell="O30" sqref="O30"/>
    </sheetView>
  </sheetViews>
  <sheetFormatPr defaultColWidth="8.7109375" defaultRowHeight="12.75"/>
  <cols>
    <col min="1" max="1" width="4.28515625" style="1" customWidth="1"/>
    <col min="2" max="14" width="8.7109375" style="1"/>
    <col min="15" max="15" width="10.140625" style="1" bestFit="1" customWidth="1"/>
    <col min="16" max="16" width="3.28515625" style="1" customWidth="1"/>
    <col min="17" max="16384" width="8.7109375" style="1"/>
  </cols>
  <sheetData>
    <row r="20" spans="2:15">
      <c r="B20" s="2"/>
      <c r="C20" s="2"/>
      <c r="D20" s="2"/>
      <c r="E20" s="2"/>
      <c r="F20" s="2"/>
      <c r="G20" s="2"/>
      <c r="H20" s="2"/>
      <c r="I20" s="2"/>
    </row>
    <row r="21" spans="2:15">
      <c r="B21" s="3"/>
      <c r="C21" s="3"/>
      <c r="D21" s="3"/>
      <c r="E21" s="3"/>
      <c r="F21" s="3"/>
      <c r="G21" s="3"/>
      <c r="H21" s="3"/>
      <c r="I21" s="3"/>
      <c r="J21" s="4"/>
    </row>
    <row r="22" spans="2:15">
      <c r="B22" s="3"/>
    </row>
    <row r="24" spans="2:15" ht="12.95" customHeight="1"/>
    <row r="25" spans="2:15" ht="12.95" customHeight="1"/>
    <row r="26" spans="2:15" ht="12.95" customHeight="1"/>
    <row r="27" spans="2:15" ht="12.95" customHeight="1"/>
    <row r="28" spans="2:15" ht="12.95" customHeight="1"/>
    <row r="31" spans="2:15">
      <c r="B31" s="6" t="s">
        <v>0</v>
      </c>
      <c r="O31" s="5">
        <v>44077</v>
      </c>
    </row>
    <row r="32" spans="2:15">
      <c r="B32" s="22" t="s">
        <v>8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2:1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2:1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2:15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2:15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2:15">
      <c r="B37" s="23" t="s">
        <v>9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2:1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</row>
    <row r="39" spans="2:1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</sheetData>
  <mergeCells count="2">
    <mergeCell ref="B32:O36"/>
    <mergeCell ref="B37:O39"/>
  </mergeCells>
  <hyperlinks>
    <hyperlink ref="B31" r:id="rId1" xr:uid="{73D4DCAE-D521-4089-ABF4-5FF4BF9852F3}"/>
  </hyperlinks>
  <pageMargins left="0.7" right="0.7" top="0.75" bottom="0.75" header="0.3" footer="0.3"/>
  <pageSetup scale="99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2127-BC7E-4E6A-BF2F-F6F49C6F388E}">
  <sheetPr codeName="Sheet2"/>
  <dimension ref="B2:N26"/>
  <sheetViews>
    <sheetView showGridLines="0" zoomScale="85" zoomScaleNormal="85" workbookViewId="0">
      <selection activeCell="I18" sqref="I18"/>
    </sheetView>
  </sheetViews>
  <sheetFormatPr defaultColWidth="8.7109375" defaultRowHeight="12.75"/>
  <cols>
    <col min="1" max="1" width="3.28515625" style="1" customWidth="1"/>
    <col min="2" max="6" width="8.7109375" style="1"/>
    <col min="7" max="7" width="21.28515625" style="1" bestFit="1" customWidth="1"/>
    <col min="8" max="11" width="8.85546875" style="1" bestFit="1" customWidth="1"/>
    <col min="12" max="12" width="8.85546875" style="1" customWidth="1"/>
    <col min="13" max="13" width="8.85546875" style="1" bestFit="1" customWidth="1"/>
    <col min="14" max="14" width="10.5703125" style="1" bestFit="1" customWidth="1"/>
    <col min="15" max="16384" width="8.7109375" style="1"/>
  </cols>
  <sheetData>
    <row r="2" spans="2:14" ht="23.25">
      <c r="B2" s="13" t="str">
        <f>G7</f>
        <v>Perpetual Growth Capital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6.5" thickBot="1">
      <c r="B3" s="14" t="s">
        <v>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6" spans="2:14">
      <c r="B6" s="8" t="s">
        <v>34</v>
      </c>
      <c r="C6" s="9"/>
      <c r="D6" s="9"/>
      <c r="E6" s="9"/>
      <c r="F6" s="9"/>
      <c r="G6" s="9"/>
      <c r="I6" s="8" t="s">
        <v>22</v>
      </c>
      <c r="J6" s="9"/>
      <c r="K6" s="9"/>
      <c r="L6" s="9"/>
      <c r="M6" s="9"/>
      <c r="N6" s="9"/>
    </row>
    <row r="7" spans="2:14">
      <c r="B7" s="10" t="s">
        <v>1</v>
      </c>
      <c r="G7" s="16" t="s">
        <v>10</v>
      </c>
      <c r="I7" s="10" t="s">
        <v>23</v>
      </c>
      <c r="M7" s="11" t="s">
        <v>24</v>
      </c>
      <c r="N7" s="16">
        <v>2000000</v>
      </c>
    </row>
    <row r="8" spans="2:14">
      <c r="B8" s="10" t="s">
        <v>12</v>
      </c>
      <c r="F8" s="11" t="s">
        <v>11</v>
      </c>
      <c r="G8" s="7">
        <v>2021</v>
      </c>
      <c r="I8" s="10" t="s">
        <v>13</v>
      </c>
      <c r="M8" s="11" t="s">
        <v>25</v>
      </c>
      <c r="N8" s="7">
        <v>15</v>
      </c>
    </row>
    <row r="9" spans="2:14">
      <c r="B9" s="10" t="s">
        <v>21</v>
      </c>
      <c r="F9" s="11" t="s">
        <v>2</v>
      </c>
      <c r="G9" s="19">
        <v>0.02</v>
      </c>
      <c r="I9" s="10" t="s">
        <v>14</v>
      </c>
      <c r="M9" s="11" t="s">
        <v>11</v>
      </c>
      <c r="N9" s="17">
        <f>G8+N8-1</f>
        <v>2035</v>
      </c>
    </row>
    <row r="10" spans="2:14">
      <c r="I10" s="10" t="s">
        <v>5</v>
      </c>
      <c r="M10" s="11" t="s">
        <v>2</v>
      </c>
      <c r="N10" s="12">
        <v>0.01</v>
      </c>
    </row>
    <row r="13" spans="2:14">
      <c r="B13" s="8" t="s">
        <v>16</v>
      </c>
      <c r="C13" s="9"/>
      <c r="D13" s="9"/>
      <c r="E13" s="9"/>
      <c r="F13" s="9"/>
      <c r="G13" s="9"/>
      <c r="I13" s="8" t="s">
        <v>15</v>
      </c>
      <c r="J13" s="9"/>
      <c r="K13" s="9"/>
      <c r="L13" s="9"/>
      <c r="M13" s="9"/>
      <c r="N13" s="9"/>
    </row>
    <row r="14" spans="2:14">
      <c r="B14" s="10" t="s">
        <v>26</v>
      </c>
      <c r="F14" s="11" t="s">
        <v>27</v>
      </c>
      <c r="G14" s="21">
        <v>50000</v>
      </c>
      <c r="I14" s="10" t="s">
        <v>7</v>
      </c>
      <c r="M14" s="11" t="s">
        <v>2</v>
      </c>
      <c r="N14" s="18">
        <v>0.6</v>
      </c>
    </row>
    <row r="15" spans="2:14">
      <c r="B15" s="10" t="s">
        <v>28</v>
      </c>
      <c r="F15" s="11" t="s">
        <v>29</v>
      </c>
      <c r="G15" s="20">
        <v>50</v>
      </c>
      <c r="I15" s="10" t="s">
        <v>6</v>
      </c>
      <c r="M15" s="11" t="s">
        <v>30</v>
      </c>
      <c r="N15" s="12">
        <v>0.03</v>
      </c>
    </row>
    <row r="16" spans="2:14">
      <c r="B16" s="10" t="s">
        <v>19</v>
      </c>
      <c r="F16" s="11" t="s">
        <v>30</v>
      </c>
      <c r="G16" s="19">
        <v>0.05</v>
      </c>
      <c r="I16" s="10" t="s">
        <v>4</v>
      </c>
      <c r="M16" s="11" t="s">
        <v>2</v>
      </c>
      <c r="N16" s="12">
        <v>0.01</v>
      </c>
    </row>
    <row r="17" spans="2:11">
      <c r="B17" s="10" t="s">
        <v>17</v>
      </c>
      <c r="F17" s="11" t="s">
        <v>31</v>
      </c>
      <c r="G17" s="19">
        <v>1.4999999999999999E-2</v>
      </c>
    </row>
    <row r="18" spans="2:11">
      <c r="B18" s="10" t="s">
        <v>32</v>
      </c>
      <c r="F18" s="11" t="s">
        <v>33</v>
      </c>
      <c r="G18" s="16">
        <v>1250</v>
      </c>
    </row>
    <row r="19" spans="2:11">
      <c r="B19" s="10" t="s">
        <v>18</v>
      </c>
      <c r="F19" s="11" t="s">
        <v>29</v>
      </c>
      <c r="G19" s="20">
        <v>4.75</v>
      </c>
    </row>
    <row r="20" spans="2:11">
      <c r="B20" s="10" t="s">
        <v>20</v>
      </c>
      <c r="F20" s="11" t="s">
        <v>29</v>
      </c>
      <c r="G20" s="20">
        <v>1.5</v>
      </c>
    </row>
    <row r="26" spans="2:11">
      <c r="K26" s="1" t="s">
        <v>35</v>
      </c>
    </row>
  </sheetData>
  <phoneticPr fontId="5" type="noConversion"/>
  <pageMargins left="0.7" right="0.7" top="0.75" bottom="0.75" header="0.3" footer="0.3"/>
  <pageSetup scale="88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6772-BD56-47E5-824B-3557C99910F9}">
  <sheetPr codeName="Sheet3"/>
  <dimension ref="A1:AF78"/>
  <sheetViews>
    <sheetView showGridLines="0" tabSelected="1" topLeftCell="B1" zoomScaleNormal="100" workbookViewId="0">
      <selection activeCell="D5" sqref="D5"/>
    </sheetView>
  </sheetViews>
  <sheetFormatPr defaultRowHeight="12.75"/>
  <cols>
    <col min="1" max="1" width="9.28515625" customWidth="1"/>
    <col min="3" max="3" width="10.28515625" bestFit="1" customWidth="1"/>
    <col min="6" max="6" width="14" bestFit="1" customWidth="1"/>
    <col min="7" max="20" width="13.42578125" bestFit="1" customWidth="1"/>
    <col min="21" max="21" width="14" bestFit="1" customWidth="1"/>
    <col min="22" max="28" width="13.42578125" bestFit="1" customWidth="1"/>
    <col min="29" max="31" width="14.42578125" bestFit="1" customWidth="1"/>
  </cols>
  <sheetData>
    <row r="1" spans="1:32" ht="15.75">
      <c r="A1" s="61" t="s">
        <v>74</v>
      </c>
    </row>
    <row r="2" spans="1:32">
      <c r="A2" t="s">
        <v>75</v>
      </c>
    </row>
    <row r="3" spans="1:32">
      <c r="A3" s="60">
        <v>45117</v>
      </c>
    </row>
    <row r="5" spans="1:32" ht="14.25">
      <c r="C5" s="24"/>
    </row>
    <row r="6" spans="1:32">
      <c r="E6" s="26" t="s">
        <v>36</v>
      </c>
      <c r="F6" s="27">
        <v>45291</v>
      </c>
      <c r="G6" s="27">
        <v>45291</v>
      </c>
      <c r="H6" s="27">
        <v>45291</v>
      </c>
      <c r="I6" s="27">
        <v>45291</v>
      </c>
      <c r="J6" s="27">
        <v>45291</v>
      </c>
      <c r="K6" s="27">
        <v>45291</v>
      </c>
      <c r="L6" s="27">
        <v>45291</v>
      </c>
      <c r="M6" s="27">
        <v>45291</v>
      </c>
      <c r="N6" s="27">
        <v>45291</v>
      </c>
      <c r="O6" s="27">
        <v>45291</v>
      </c>
      <c r="P6" s="27">
        <v>45291</v>
      </c>
      <c r="Q6" s="27">
        <v>45291</v>
      </c>
      <c r="R6" s="27">
        <v>45291</v>
      </c>
      <c r="S6" s="27">
        <v>45291</v>
      </c>
      <c r="T6" s="27">
        <v>45291</v>
      </c>
      <c r="U6" s="27">
        <v>45291</v>
      </c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</row>
    <row r="7" spans="1:32">
      <c r="E7" s="26" t="s">
        <v>37</v>
      </c>
      <c r="F7" s="28">
        <v>2020</v>
      </c>
      <c r="G7" s="28">
        <f>F7+1</f>
        <v>2021</v>
      </c>
      <c r="H7" s="28">
        <f t="shared" ref="H7:U7" si="0">G7+1</f>
        <v>2022</v>
      </c>
      <c r="I7" s="28">
        <f t="shared" si="0"/>
        <v>2023</v>
      </c>
      <c r="J7" s="28">
        <f t="shared" si="0"/>
        <v>2024</v>
      </c>
      <c r="K7" s="28">
        <f t="shared" si="0"/>
        <v>2025</v>
      </c>
      <c r="L7" s="28">
        <f t="shared" si="0"/>
        <v>2026</v>
      </c>
      <c r="M7" s="28">
        <f t="shared" si="0"/>
        <v>2027</v>
      </c>
      <c r="N7" s="28">
        <f t="shared" si="0"/>
        <v>2028</v>
      </c>
      <c r="O7" s="28">
        <f t="shared" si="0"/>
        <v>2029</v>
      </c>
      <c r="P7" s="28">
        <f t="shared" si="0"/>
        <v>2030</v>
      </c>
      <c r="Q7" s="28">
        <f t="shared" si="0"/>
        <v>2031</v>
      </c>
      <c r="R7" s="28">
        <f t="shared" si="0"/>
        <v>2032</v>
      </c>
      <c r="S7" s="28">
        <f t="shared" si="0"/>
        <v>2033</v>
      </c>
      <c r="T7" s="28">
        <f t="shared" si="0"/>
        <v>2034</v>
      </c>
      <c r="U7" s="28">
        <f t="shared" si="0"/>
        <v>2035</v>
      </c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2" ht="13.5" thickBot="1">
      <c r="E8" s="26" t="s">
        <v>38</v>
      </c>
      <c r="F8" s="29">
        <v>0</v>
      </c>
      <c r="G8" s="29">
        <v>1</v>
      </c>
      <c r="H8" s="29">
        <v>2</v>
      </c>
      <c r="I8" s="29">
        <v>3</v>
      </c>
      <c r="J8" s="29">
        <v>4</v>
      </c>
      <c r="K8" s="29">
        <v>5</v>
      </c>
      <c r="L8" s="29">
        <v>6</v>
      </c>
      <c r="M8" s="29">
        <v>7</v>
      </c>
      <c r="N8" s="29">
        <v>8</v>
      </c>
      <c r="O8" s="29">
        <v>9</v>
      </c>
      <c r="P8" s="29">
        <v>10</v>
      </c>
      <c r="Q8" s="29">
        <v>11</v>
      </c>
      <c r="R8" s="29">
        <v>12</v>
      </c>
      <c r="S8" s="29">
        <v>13</v>
      </c>
      <c r="T8" s="29">
        <v>14</v>
      </c>
      <c r="U8" s="29">
        <v>15</v>
      </c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11" spans="1:32">
      <c r="E11" s="26" t="s">
        <v>39</v>
      </c>
      <c r="F11" s="31">
        <f>Assumptions!N7</f>
        <v>2000000</v>
      </c>
    </row>
    <row r="12" spans="1:32">
      <c r="E12" s="26" t="s">
        <v>40</v>
      </c>
      <c r="F12" s="49">
        <f>Assumptions!G14</f>
        <v>50000</v>
      </c>
      <c r="G12" s="49">
        <f>F12*(1+G14)-G13</f>
        <v>50853.781512605041</v>
      </c>
      <c r="H12" s="49">
        <f t="shared" ref="H12:U12" si="1">G12*(1+H14)-H13</f>
        <v>51754.997528423133</v>
      </c>
      <c r="I12" s="49">
        <f t="shared" si="1"/>
        <v>52704.982970350771</v>
      </c>
      <c r="J12" s="49">
        <f t="shared" si="1"/>
        <v>53705.126527897271</v>
      </c>
      <c r="K12" s="49">
        <f t="shared" si="1"/>
        <v>54756.872424404712</v>
      </c>
      <c r="L12" s="49">
        <f t="shared" si="1"/>
        <v>55861.722249197643</v>
      </c>
      <c r="M12" s="49">
        <f t="shared" si="1"/>
        <v>57021.236856904194</v>
      </c>
      <c r="N12" s="49">
        <f t="shared" si="1"/>
        <v>58237.03833627006</v>
      </c>
      <c r="O12" s="49">
        <f t="shared" si="1"/>
        <v>59510.812050869827</v>
      </c>
      <c r="P12" s="49">
        <f t="shared" si="1"/>
        <v>60844.308754206162</v>
      </c>
      <c r="Q12" s="49">
        <f t="shared" si="1"/>
        <v>62239.346781775705</v>
      </c>
      <c r="R12" s="49">
        <f t="shared" si="1"/>
        <v>63697.814322772872</v>
      </c>
      <c r="S12" s="49">
        <f t="shared" si="1"/>
        <v>65221.67177419785</v>
      </c>
      <c r="T12" s="49">
        <f t="shared" si="1"/>
        <v>66812.954180233355</v>
      </c>
      <c r="U12" s="49">
        <f t="shared" si="1"/>
        <v>70153.601889245023</v>
      </c>
    </row>
    <row r="13" spans="1:32">
      <c r="E13" s="26" t="s">
        <v>68</v>
      </c>
      <c r="F13" s="49"/>
      <c r="G13" s="49">
        <f>+G45</f>
        <v>1646.2184873949582</v>
      </c>
      <c r="H13" s="49">
        <f>+H45</f>
        <v>1641.4730598121598</v>
      </c>
      <c r="I13" s="49">
        <f t="shared" ref="I13:U13" si="2">+I45</f>
        <v>1637.7644344935204</v>
      </c>
      <c r="J13" s="49">
        <f t="shared" si="2"/>
        <v>1635.1055909710378</v>
      </c>
      <c r="K13" s="49">
        <f t="shared" si="2"/>
        <v>1633.5104298874301</v>
      </c>
      <c r="L13" s="49">
        <f t="shared" si="2"/>
        <v>1632.9937964273036</v>
      </c>
      <c r="M13" s="49">
        <f t="shared" si="2"/>
        <v>1633.5715047533288</v>
      </c>
      <c r="N13" s="49">
        <f t="shared" si="2"/>
        <v>1635.2603634793511</v>
      </c>
      <c r="O13" s="49">
        <f t="shared" si="2"/>
        <v>1638.0782022137337</v>
      </c>
      <c r="P13" s="49">
        <f t="shared" si="2"/>
        <v>1642.0438992071543</v>
      </c>
      <c r="Q13" s="49">
        <f t="shared" si="2"/>
        <v>1647.1774101407734</v>
      </c>
      <c r="R13" s="49">
        <f t="shared" si="2"/>
        <v>1653.4997980916205</v>
      </c>
      <c r="S13" s="49">
        <f t="shared" si="2"/>
        <v>1661.0332647136672</v>
      </c>
      <c r="T13" s="49">
        <f t="shared" si="2"/>
        <v>1669.8011826743866</v>
      </c>
      <c r="U13" s="49">
        <f t="shared" si="2"/>
        <v>0</v>
      </c>
    </row>
    <row r="14" spans="1:32">
      <c r="E14" s="26" t="s">
        <v>41</v>
      </c>
      <c r="G14" s="51">
        <v>0.05</v>
      </c>
      <c r="H14" s="51">
        <v>0.05</v>
      </c>
      <c r="I14" s="51">
        <v>0.05</v>
      </c>
      <c r="J14" s="51">
        <v>0.05</v>
      </c>
      <c r="K14" s="51">
        <v>0.05</v>
      </c>
      <c r="L14" s="51">
        <v>0.05</v>
      </c>
      <c r="M14" s="51">
        <v>0.05</v>
      </c>
      <c r="N14" s="51">
        <v>0.05</v>
      </c>
      <c r="O14" s="51">
        <v>0.05</v>
      </c>
      <c r="P14" s="51">
        <v>0.05</v>
      </c>
      <c r="Q14" s="51">
        <v>0.05</v>
      </c>
      <c r="R14" s="51">
        <v>0.05</v>
      </c>
      <c r="S14" s="51">
        <v>0.05</v>
      </c>
      <c r="T14" s="51">
        <v>0.05</v>
      </c>
      <c r="U14" s="51">
        <v>0.05</v>
      </c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6" spans="1:32">
      <c r="E16" s="26" t="s">
        <v>42</v>
      </c>
      <c r="F16" s="34">
        <v>50</v>
      </c>
      <c r="G16" s="34">
        <f>F16*(1+G17)</f>
        <v>51</v>
      </c>
      <c r="H16" s="34">
        <f t="shared" ref="H16:U16" si="3">G16*(1+H17)</f>
        <v>52.02</v>
      </c>
      <c r="I16" s="34">
        <f t="shared" si="3"/>
        <v>53.060400000000001</v>
      </c>
      <c r="J16" s="34">
        <f t="shared" si="3"/>
        <v>54.121608000000002</v>
      </c>
      <c r="K16" s="34">
        <f t="shared" si="3"/>
        <v>55.204040160000005</v>
      </c>
      <c r="L16" s="34">
        <f t="shared" si="3"/>
        <v>56.308120963200004</v>
      </c>
      <c r="M16" s="34">
        <f t="shared" si="3"/>
        <v>57.434283382464002</v>
      </c>
      <c r="N16" s="34">
        <f t="shared" si="3"/>
        <v>58.582969050113284</v>
      </c>
      <c r="O16" s="34">
        <f t="shared" si="3"/>
        <v>59.754628431115549</v>
      </c>
      <c r="P16" s="34">
        <f t="shared" si="3"/>
        <v>60.949720999737863</v>
      </c>
      <c r="Q16" s="34">
        <f t="shared" si="3"/>
        <v>62.168715419732621</v>
      </c>
      <c r="R16" s="34">
        <f t="shared" si="3"/>
        <v>63.412089728127278</v>
      </c>
      <c r="S16" s="34">
        <f t="shared" si="3"/>
        <v>64.680331522689826</v>
      </c>
      <c r="T16" s="34">
        <f t="shared" si="3"/>
        <v>65.973938153143621</v>
      </c>
      <c r="U16" s="34">
        <f t="shared" si="3"/>
        <v>67.293416916206496</v>
      </c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spans="5:31">
      <c r="E17" s="35" t="s">
        <v>43</v>
      </c>
      <c r="G17" s="50">
        <v>0.02</v>
      </c>
      <c r="H17" s="50">
        <v>0.02</v>
      </c>
      <c r="I17" s="50">
        <v>0.02</v>
      </c>
      <c r="J17" s="50">
        <v>0.02</v>
      </c>
      <c r="K17" s="50">
        <v>0.02</v>
      </c>
      <c r="L17" s="50">
        <v>0.02</v>
      </c>
      <c r="M17" s="50">
        <v>0.02</v>
      </c>
      <c r="N17" s="50">
        <v>0.02</v>
      </c>
      <c r="O17" s="50">
        <v>0.02</v>
      </c>
      <c r="P17" s="50">
        <v>0.02</v>
      </c>
      <c r="Q17" s="50">
        <v>0.02</v>
      </c>
      <c r="R17" s="50">
        <v>0.02</v>
      </c>
      <c r="S17" s="50">
        <v>0.02</v>
      </c>
      <c r="T17" s="50">
        <v>0.02</v>
      </c>
      <c r="U17" s="50">
        <v>0.02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9" spans="5:31">
      <c r="E19" s="26" t="s">
        <v>45</v>
      </c>
      <c r="G19" s="51">
        <v>1.4999999999999999E-2</v>
      </c>
      <c r="H19" s="51">
        <v>1.4999999999999999E-2</v>
      </c>
      <c r="I19" s="51">
        <v>1.4999999999999999E-2</v>
      </c>
      <c r="J19" s="51">
        <v>1.4999999999999999E-2</v>
      </c>
      <c r="K19" s="51">
        <v>1.4999999999999999E-2</v>
      </c>
      <c r="L19" s="51">
        <v>1.4999999999999999E-2</v>
      </c>
      <c r="M19" s="51">
        <v>1.4999999999999999E-2</v>
      </c>
      <c r="N19" s="51">
        <v>1.4999999999999999E-2</v>
      </c>
      <c r="O19" s="51">
        <v>1.4999999999999999E-2</v>
      </c>
      <c r="P19" s="51">
        <v>1.4999999999999999E-2</v>
      </c>
      <c r="Q19" s="51">
        <v>1.4999999999999999E-2</v>
      </c>
      <c r="R19" s="51">
        <v>1.4999999999999999E-2</v>
      </c>
      <c r="S19" s="51">
        <v>1.4999999999999999E-2</v>
      </c>
      <c r="T19" s="51">
        <v>1.4999999999999999E-2</v>
      </c>
      <c r="U19" s="51">
        <v>1.4999999999999999E-2</v>
      </c>
      <c r="V19" s="36"/>
      <c r="W19" s="36"/>
      <c r="X19" s="36"/>
      <c r="Y19" s="36"/>
      <c r="Z19" s="36"/>
      <c r="AA19" s="36"/>
      <c r="AB19" s="36"/>
      <c r="AC19" s="36"/>
      <c r="AD19" s="36"/>
      <c r="AE19" s="36"/>
    </row>
    <row r="20" spans="5:31">
      <c r="E20" s="26" t="s">
        <v>46</v>
      </c>
      <c r="G20" s="30">
        <f>+G19*F38</f>
        <v>32812.5</v>
      </c>
      <c r="H20" s="30">
        <f t="shared" ref="H20:U20" si="4">+H19*G38</f>
        <v>34040.25</v>
      </c>
      <c r="I20" s="30">
        <f t="shared" si="4"/>
        <v>35336.371500000001</v>
      </c>
      <c r="J20" s="30">
        <f t="shared" si="4"/>
        <v>36704.685654000008</v>
      </c>
      <c r="K20" s="30">
        <f t="shared" si="4"/>
        <v>38149.227447623998</v>
      </c>
      <c r="L20" s="30">
        <f t="shared" si="4"/>
        <v>39674.257669630948</v>
      </c>
      <c r="M20" s="30">
        <f t="shared" si="4"/>
        <v>41284.27555376909</v>
      </c>
      <c r="N20" s="30">
        <f t="shared" si="4"/>
        <v>42984.032128511732</v>
      </c>
      <c r="O20" s="30">
        <f t="shared" si="4"/>
        <v>44778.544314314604</v>
      </c>
      <c r="P20" s="30">
        <f t="shared" si="4"/>
        <v>46673.109810254551</v>
      </c>
      <c r="Q20" s="30">
        <f t="shared" si="4"/>
        <v>48673.322814253901</v>
      </c>
      <c r="R20" s="30">
        <f t="shared" si="4"/>
        <v>50785.090623569726</v>
      </c>
      <c r="S20" s="30">
        <f t="shared" si="4"/>
        <v>53014.651164841591</v>
      </c>
      <c r="T20" s="30">
        <f t="shared" si="4"/>
        <v>55368.59150575172</v>
      </c>
      <c r="U20" s="30">
        <f t="shared" si="4"/>
        <v>57853.867403266384</v>
      </c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2" spans="5:31">
      <c r="E22" s="26" t="s">
        <v>47</v>
      </c>
      <c r="F22">
        <v>1250</v>
      </c>
      <c r="G22">
        <f>F22*(1+G23)</f>
        <v>1275</v>
      </c>
      <c r="H22" s="40">
        <f t="shared" ref="H22:U22" si="5">G22*(1+H23)</f>
        <v>1300.5</v>
      </c>
      <c r="I22" s="40">
        <f t="shared" si="5"/>
        <v>1326.51</v>
      </c>
      <c r="J22" s="40">
        <f t="shared" si="5"/>
        <v>1353.0401999999999</v>
      </c>
      <c r="K22" s="40">
        <f t="shared" si="5"/>
        <v>1380.1010039999999</v>
      </c>
      <c r="L22" s="40">
        <f t="shared" si="5"/>
        <v>1407.70302408</v>
      </c>
      <c r="M22" s="40">
        <f t="shared" si="5"/>
        <v>1435.8570845616</v>
      </c>
      <c r="N22" s="40">
        <f t="shared" si="5"/>
        <v>1464.574226252832</v>
      </c>
      <c r="O22" s="40">
        <f t="shared" si="5"/>
        <v>1493.8657107778886</v>
      </c>
      <c r="P22" s="40">
        <f t="shared" si="5"/>
        <v>1523.7430249934464</v>
      </c>
      <c r="Q22" s="40">
        <f t="shared" si="5"/>
        <v>1554.2178854933154</v>
      </c>
      <c r="R22" s="40">
        <f t="shared" si="5"/>
        <v>1585.3022432031817</v>
      </c>
      <c r="S22" s="40">
        <f t="shared" si="5"/>
        <v>1617.0082880672453</v>
      </c>
      <c r="T22" s="40">
        <f t="shared" si="5"/>
        <v>1649.3484538285902</v>
      </c>
      <c r="U22" s="40">
        <f t="shared" si="5"/>
        <v>1682.335422905162</v>
      </c>
    </row>
    <row r="23" spans="5:31">
      <c r="E23" s="26" t="s">
        <v>48</v>
      </c>
      <c r="F23" s="32"/>
      <c r="G23" s="51">
        <v>0.02</v>
      </c>
      <c r="H23" s="51">
        <v>0.02</v>
      </c>
      <c r="I23" s="51">
        <v>0.02</v>
      </c>
      <c r="J23" s="51">
        <v>0.02</v>
      </c>
      <c r="K23" s="51">
        <v>0.02</v>
      </c>
      <c r="L23" s="51">
        <v>0.02</v>
      </c>
      <c r="M23" s="51">
        <v>0.02</v>
      </c>
      <c r="N23" s="51">
        <v>0.02</v>
      </c>
      <c r="O23" s="51">
        <v>0.02</v>
      </c>
      <c r="P23" s="51">
        <v>0.02</v>
      </c>
      <c r="Q23" s="51">
        <v>0.02</v>
      </c>
      <c r="R23" s="51">
        <v>0.02</v>
      </c>
      <c r="S23" s="51">
        <v>0.02</v>
      </c>
      <c r="T23" s="51">
        <v>0.02</v>
      </c>
      <c r="U23" s="51">
        <v>0.02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</row>
    <row r="24" spans="5:31">
      <c r="E24" s="26"/>
    </row>
    <row r="26" spans="5:31">
      <c r="E26" s="26"/>
    </row>
    <row r="27" spans="5:31">
      <c r="E27" s="26" t="s">
        <v>49</v>
      </c>
    </row>
    <row r="28" spans="5:31">
      <c r="E28" s="26" t="s">
        <v>50</v>
      </c>
      <c r="F28">
        <v>4.75</v>
      </c>
      <c r="G28" s="40">
        <f>F28*(1+G29)</f>
        <v>4.8449999999999998</v>
      </c>
      <c r="H28" s="40">
        <f t="shared" ref="H28:U28" si="6">G28*(1+H29)</f>
        <v>4.9418999999999995</v>
      </c>
      <c r="I28" s="40">
        <f t="shared" si="6"/>
        <v>5.0407379999999993</v>
      </c>
      <c r="J28" s="40">
        <f t="shared" si="6"/>
        <v>5.1415527599999997</v>
      </c>
      <c r="K28" s="40">
        <f t="shared" si="6"/>
        <v>5.2443838152</v>
      </c>
      <c r="L28" s="40">
        <f t="shared" si="6"/>
        <v>5.3492714915040001</v>
      </c>
      <c r="M28" s="40">
        <f t="shared" si="6"/>
        <v>5.4562569213340799</v>
      </c>
      <c r="N28" s="40">
        <f t="shared" si="6"/>
        <v>5.5653820597607613</v>
      </c>
      <c r="O28" s="40">
        <f t="shared" si="6"/>
        <v>5.6766897009559765</v>
      </c>
      <c r="P28" s="40">
        <f t="shared" si="6"/>
        <v>5.7902234949750957</v>
      </c>
      <c r="Q28" s="40">
        <f t="shared" si="6"/>
        <v>5.9060279648745979</v>
      </c>
      <c r="R28" s="40">
        <f t="shared" si="6"/>
        <v>6.02414852417209</v>
      </c>
      <c r="S28" s="40">
        <f t="shared" si="6"/>
        <v>6.144631494655532</v>
      </c>
      <c r="T28" s="40">
        <f t="shared" si="6"/>
        <v>6.2675241245486424</v>
      </c>
      <c r="U28" s="40">
        <f t="shared" si="6"/>
        <v>6.392874607039615</v>
      </c>
    </row>
    <row r="29" spans="5:31">
      <c r="E29" s="26" t="s">
        <v>51</v>
      </c>
      <c r="G29" s="51">
        <v>0.02</v>
      </c>
      <c r="H29" s="51">
        <v>0.02</v>
      </c>
      <c r="I29" s="51">
        <v>0.02</v>
      </c>
      <c r="J29" s="51">
        <v>0.02</v>
      </c>
      <c r="K29" s="51">
        <v>0.02</v>
      </c>
      <c r="L29" s="51">
        <v>0.02</v>
      </c>
      <c r="M29" s="51">
        <v>0.02</v>
      </c>
      <c r="N29" s="51">
        <v>0.02</v>
      </c>
      <c r="O29" s="51">
        <v>0.02</v>
      </c>
      <c r="P29" s="51">
        <v>0.02</v>
      </c>
      <c r="Q29" s="51">
        <v>0.02</v>
      </c>
      <c r="R29" s="51">
        <v>0.02</v>
      </c>
      <c r="S29" s="51">
        <v>0.02</v>
      </c>
      <c r="T29" s="51">
        <v>0.02</v>
      </c>
      <c r="U29" s="51">
        <v>0.02</v>
      </c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1" spans="5:31">
      <c r="E31" s="26" t="s">
        <v>52</v>
      </c>
    </row>
    <row r="32" spans="5:31">
      <c r="E32" s="26" t="s">
        <v>50</v>
      </c>
      <c r="F32">
        <v>1.5</v>
      </c>
      <c r="G32" s="40">
        <f>F32*(1+G33)</f>
        <v>1.53</v>
      </c>
      <c r="H32" s="40">
        <f t="shared" ref="H32:U32" si="7">G32*(1+H33)</f>
        <v>1.5606</v>
      </c>
      <c r="I32" s="40">
        <f t="shared" si="7"/>
        <v>1.591812</v>
      </c>
      <c r="J32" s="40">
        <f t="shared" si="7"/>
        <v>1.6236482400000001</v>
      </c>
      <c r="K32" s="40">
        <f t="shared" si="7"/>
        <v>1.6561212048</v>
      </c>
      <c r="L32" s="40">
        <f t="shared" si="7"/>
        <v>1.689243628896</v>
      </c>
      <c r="M32" s="40">
        <f t="shared" si="7"/>
        <v>1.7230285014739199</v>
      </c>
      <c r="N32" s="40">
        <f t="shared" si="7"/>
        <v>1.7574890715033984</v>
      </c>
      <c r="O32" s="40">
        <f t="shared" si="7"/>
        <v>1.7926388529334665</v>
      </c>
      <c r="P32" s="40">
        <f t="shared" si="7"/>
        <v>1.8284916299921359</v>
      </c>
      <c r="Q32" s="40">
        <f t="shared" si="7"/>
        <v>1.8650614625919786</v>
      </c>
      <c r="R32" s="40">
        <f t="shared" si="7"/>
        <v>1.9023626918438181</v>
      </c>
      <c r="S32" s="40">
        <f t="shared" si="7"/>
        <v>1.9404099456806945</v>
      </c>
      <c r="T32" s="40">
        <f t="shared" si="7"/>
        <v>1.9792181445943084</v>
      </c>
      <c r="U32" s="40">
        <f t="shared" si="7"/>
        <v>2.0188025074861948</v>
      </c>
    </row>
    <row r="33" spans="5:31">
      <c r="E33" s="26" t="s">
        <v>51</v>
      </c>
      <c r="G33" s="51">
        <v>0.02</v>
      </c>
      <c r="H33" s="51">
        <v>0.02</v>
      </c>
      <c r="I33" s="51">
        <v>0.02</v>
      </c>
      <c r="J33" s="51">
        <v>0.02</v>
      </c>
      <c r="K33" s="51">
        <v>0.02</v>
      </c>
      <c r="L33" s="51">
        <v>0.02</v>
      </c>
      <c r="M33" s="51">
        <v>0.02</v>
      </c>
      <c r="N33" s="51">
        <v>0.02</v>
      </c>
      <c r="O33" s="51">
        <v>0.02</v>
      </c>
      <c r="P33" s="51">
        <v>0.02</v>
      </c>
      <c r="Q33" s="51">
        <v>0.02</v>
      </c>
      <c r="R33" s="51">
        <v>0.02</v>
      </c>
      <c r="S33" s="51">
        <v>0.02</v>
      </c>
      <c r="T33" s="51">
        <v>0.02</v>
      </c>
      <c r="U33" s="51">
        <v>0.02</v>
      </c>
      <c r="V33" s="33"/>
      <c r="W33" s="33"/>
      <c r="X33" s="33"/>
      <c r="Y33" s="33"/>
      <c r="Z33" s="33"/>
      <c r="AA33" s="33"/>
      <c r="AB33" s="33"/>
      <c r="AC33" s="33"/>
      <c r="AD33" s="33"/>
      <c r="AE33" s="33"/>
    </row>
    <row r="35" spans="5:31">
      <c r="U35" s="34"/>
    </row>
    <row r="36" spans="5:31">
      <c r="E36" s="26" t="s">
        <v>53</v>
      </c>
      <c r="T36" s="34"/>
      <c r="U36" s="34"/>
    </row>
    <row r="38" spans="5:31">
      <c r="E38" s="26" t="s">
        <v>64</v>
      </c>
      <c r="F38" s="45">
        <f>+F12*(F16-F28-F32)</f>
        <v>2187500</v>
      </c>
      <c r="G38" s="45">
        <f>+G12*(G16-G28-G32)</f>
        <v>2269350</v>
      </c>
      <c r="H38" s="45">
        <f>+H12*(H16-H28-H32)</f>
        <v>2355758.1</v>
      </c>
      <c r="I38" s="45">
        <f>+I12*(I16-I28-I32)</f>
        <v>2446979.0436000004</v>
      </c>
      <c r="J38" s="45">
        <f>+J12*(J16-J28-J32)</f>
        <v>2543281.8298415998</v>
      </c>
      <c r="K38" s="45">
        <f>+K12*(K16-K28-K32)</f>
        <v>2644950.5113087301</v>
      </c>
      <c r="L38" s="45">
        <f>+L12*(L16-L28-L32)</f>
        <v>2752285.0369179393</v>
      </c>
      <c r="M38" s="45">
        <f>+M12*(M16-M28-M32)</f>
        <v>2865602.141900782</v>
      </c>
      <c r="N38" s="45">
        <f>+N12*(N16-N28-N32)</f>
        <v>2985236.2876209738</v>
      </c>
      <c r="O38" s="45">
        <f>+O12*(O16-O28-O32)</f>
        <v>3111540.6540169702</v>
      </c>
      <c r="P38" s="45">
        <f>+P12*(P16-P28-P32)</f>
        <v>3244888.1876169271</v>
      </c>
      <c r="Q38" s="45">
        <f>+Q12*(Q16-Q28-Q32)</f>
        <v>3385672.7082379819</v>
      </c>
      <c r="R38" s="45">
        <f>+R12*(R16-R28-R32)</f>
        <v>3534310.0776561061</v>
      </c>
      <c r="S38" s="45">
        <f>+S12*(S16-S28-S32)</f>
        <v>3691239.4337167814</v>
      </c>
      <c r="T38" s="45">
        <f>+T12*(T16-T28-T32)</f>
        <v>3856924.4935510922</v>
      </c>
      <c r="U38" s="45">
        <f>+U12*(U16-U28-U32)</f>
        <v>4130766.1325932201</v>
      </c>
      <c r="V38" s="45"/>
      <c r="W38" s="45"/>
      <c r="X38" s="45"/>
      <c r="Y38" s="45"/>
      <c r="Z38" s="45"/>
      <c r="AA38" s="45"/>
      <c r="AB38" s="45"/>
      <c r="AC38" s="45"/>
      <c r="AD38" s="45"/>
      <c r="AE38" s="45"/>
    </row>
    <row r="40" spans="5:31">
      <c r="E40" s="26" t="s">
        <v>54</v>
      </c>
      <c r="F40" s="38">
        <f>+F38*Assumptions!N14</f>
        <v>1312500</v>
      </c>
    </row>
    <row r="41" spans="5:31">
      <c r="E41" s="26" t="s">
        <v>55</v>
      </c>
      <c r="G41" s="39">
        <f>+$F$40*Assumptions!$N$15</f>
        <v>39375</v>
      </c>
      <c r="H41" s="39">
        <f>+$F$40*Assumptions!$N$15</f>
        <v>39375</v>
      </c>
      <c r="I41" s="39">
        <f>+$F$40*Assumptions!$N$15</f>
        <v>39375</v>
      </c>
      <c r="J41" s="39">
        <f>+$F$40*Assumptions!$N$15</f>
        <v>39375</v>
      </c>
      <c r="K41" s="39">
        <f>+$F$40*Assumptions!$N$15</f>
        <v>39375</v>
      </c>
      <c r="L41" s="39">
        <f>+$F$40*Assumptions!$N$15</f>
        <v>39375</v>
      </c>
      <c r="M41" s="39">
        <f>+$F$40*Assumptions!$N$15</f>
        <v>39375</v>
      </c>
      <c r="N41" s="39">
        <f>+$F$40*Assumptions!$N$15</f>
        <v>39375</v>
      </c>
      <c r="O41" s="39">
        <f>+$F$40*Assumptions!$N$15</f>
        <v>39375</v>
      </c>
      <c r="P41" s="39">
        <f>+$F$40*Assumptions!$N$15</f>
        <v>39375</v>
      </c>
      <c r="Q41" s="39">
        <f>+$F$40*Assumptions!$N$15</f>
        <v>39375</v>
      </c>
      <c r="R41" s="39">
        <f>+$F$40*Assumptions!$N$15</f>
        <v>39375</v>
      </c>
      <c r="S41" s="39">
        <f>+$F$40*Assumptions!$N$15</f>
        <v>39375</v>
      </c>
      <c r="T41" s="39">
        <f>+$F$40*Assumptions!$N$15</f>
        <v>39375</v>
      </c>
      <c r="U41" s="39">
        <f>+$F$40*Assumptions!$N$15</f>
        <v>39375</v>
      </c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5:31">
      <c r="E42" s="26" t="s">
        <v>4</v>
      </c>
      <c r="F42" s="38">
        <f>+F40*Assumptions!N16</f>
        <v>13125</v>
      </c>
    </row>
    <row r="44" spans="5:31">
      <c r="V44" s="52" t="s">
        <v>69</v>
      </c>
    </row>
    <row r="45" spans="5:31" ht="14.25">
      <c r="E45" s="26" t="s">
        <v>67</v>
      </c>
      <c r="G45" s="42">
        <v>1646.2184873949582</v>
      </c>
      <c r="H45" s="46">
        <v>1641.4730598121598</v>
      </c>
      <c r="I45" s="42">
        <v>1637.7644344935204</v>
      </c>
      <c r="J45" s="42">
        <v>1635.1055909710378</v>
      </c>
      <c r="K45" s="42">
        <v>1633.5104298874301</v>
      </c>
      <c r="L45" s="42">
        <v>1632.9937964273036</v>
      </c>
      <c r="M45" s="42">
        <v>1633.5715047533288</v>
      </c>
      <c r="N45" s="42">
        <v>1635.2603634793511</v>
      </c>
      <c r="O45" s="42">
        <v>1638.0782022137337</v>
      </c>
      <c r="P45" s="42">
        <v>1642.0438992071543</v>
      </c>
      <c r="Q45" s="42">
        <v>1647.1774101407734</v>
      </c>
      <c r="R45" s="42">
        <v>1653.4997980916205</v>
      </c>
      <c r="S45" s="42">
        <v>1661.0332647136672</v>
      </c>
      <c r="T45" s="42">
        <v>1669.8011826743866</v>
      </c>
      <c r="U45" s="41"/>
      <c r="V45" s="59">
        <f>+SUM(G45:T45)</f>
        <v>23007.531424260422</v>
      </c>
    </row>
    <row r="46" spans="5:31"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2"/>
    </row>
    <row r="47" spans="5:31" ht="13.5" thickBot="1">
      <c r="E47" s="26" t="s">
        <v>58</v>
      </c>
      <c r="G47" s="43">
        <f>+G45*G16</f>
        <v>83957.14285714287</v>
      </c>
      <c r="H47" s="43">
        <f>+H45*H16</f>
        <v>85389.428571428565</v>
      </c>
      <c r="I47" s="43">
        <f>+I45*I16</f>
        <v>86900.435999999987</v>
      </c>
      <c r="J47" s="43">
        <f>+J45*J16</f>
        <v>88494.543833142845</v>
      </c>
      <c r="K47" s="43">
        <f>+K45*K16</f>
        <v>90176.375373284565</v>
      </c>
      <c r="L47" s="43">
        <f>+L45*L16</f>
        <v>91950.812221383807</v>
      </c>
      <c r="M47" s="43">
        <f>+M45*M16</f>
        <v>93823.008729520821</v>
      </c>
      <c r="N47" s="43">
        <f>+N45*N16</f>
        <v>95798.407262587833</v>
      </c>
      <c r="O47" s="43">
        <f>+O45*O16</f>
        <v>97882.754314391423</v>
      </c>
      <c r="P47" s="43">
        <f>+P45*P16</f>
        <v>100082.11752599773</v>
      </c>
      <c r="Q47" s="43">
        <f>+Q45*Q16</f>
        <v>102402.90365685394</v>
      </c>
      <c r="R47" s="43">
        <f>+R45*R16</f>
        <v>104851.87756202617</v>
      </c>
      <c r="S47" s="43">
        <f>+S45*S16</f>
        <v>107436.1822318958</v>
      </c>
      <c r="T47" s="43">
        <f>+T45*T16</f>
        <v>110163.35995380605</v>
      </c>
      <c r="U47" s="43">
        <f>+U45*U16</f>
        <v>0</v>
      </c>
    </row>
    <row r="48" spans="5:31"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</row>
    <row r="49" spans="5:21">
      <c r="E49" s="26" t="s">
        <v>65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spans="5:21">
      <c r="E50" s="25" t="s">
        <v>18</v>
      </c>
      <c r="F50" s="41"/>
      <c r="G50" s="41">
        <f>+G45*G28</f>
        <v>7975.9285714285716</v>
      </c>
      <c r="H50" s="41">
        <f>+H45*H28</f>
        <v>8111.995714285712</v>
      </c>
      <c r="I50" s="41">
        <f>+I45*I28</f>
        <v>8255.5414199999977</v>
      </c>
      <c r="J50" s="41">
        <f>+J45*J28</f>
        <v>8406.9816641485704</v>
      </c>
      <c r="K50" s="41">
        <f>+K45*K28</f>
        <v>8566.7556604620331</v>
      </c>
      <c r="L50" s="41">
        <f>+L45*L28</f>
        <v>8735.3271610314623</v>
      </c>
      <c r="M50" s="41">
        <f>+M45*M28</f>
        <v>8913.1858293044788</v>
      </c>
      <c r="N50" s="41">
        <f>+N45*N28</f>
        <v>9100.8486899458421</v>
      </c>
      <c r="O50" s="41">
        <f>+O45*O28</f>
        <v>9298.8616598671833</v>
      </c>
      <c r="P50" s="41">
        <f>+P45*P28</f>
        <v>9507.8011649697819</v>
      </c>
      <c r="Q50" s="41">
        <f>+Q45*Q28</f>
        <v>9728.2758474011225</v>
      </c>
      <c r="R50" s="41">
        <f>+R45*R28</f>
        <v>9960.9283683924841</v>
      </c>
      <c r="S50" s="41">
        <f>+S45*S28</f>
        <v>10206.437312030099</v>
      </c>
      <c r="T50" s="41">
        <f>+T45*T28</f>
        <v>10465.519195611572</v>
      </c>
      <c r="U50" s="41">
        <f>+U45*U28</f>
        <v>0</v>
      </c>
    </row>
    <row r="51" spans="5:21">
      <c r="E51" s="25" t="s">
        <v>20</v>
      </c>
      <c r="G51" s="41">
        <f>+G45*G32</f>
        <v>2518.7142857142862</v>
      </c>
      <c r="H51" s="41">
        <f>+H45*H32</f>
        <v>2561.6828571428564</v>
      </c>
      <c r="I51" s="41">
        <f>+I45*I32</f>
        <v>2607.0130799999997</v>
      </c>
      <c r="J51" s="41">
        <f>+J45*J32</f>
        <v>2654.8363149942857</v>
      </c>
      <c r="K51" s="41">
        <f>+K45*K32</f>
        <v>2705.2912611985366</v>
      </c>
      <c r="L51" s="41">
        <f>+L45*L32</f>
        <v>2758.524366641514</v>
      </c>
      <c r="M51" s="41">
        <f>+M45*M32</f>
        <v>2814.6902618856247</v>
      </c>
      <c r="N51" s="41">
        <f>+N45*N32</f>
        <v>2873.9522178776347</v>
      </c>
      <c r="O51" s="41">
        <f>+O45*O32</f>
        <v>2936.4826294317427</v>
      </c>
      <c r="P51" s="41">
        <f>+P45*P32</f>
        <v>3002.4635257799318</v>
      </c>
      <c r="Q51" s="41">
        <f>+Q45*Q32</f>
        <v>3072.0871097056183</v>
      </c>
      <c r="R51" s="41">
        <f>+R45*R32</f>
        <v>3145.5563268607848</v>
      </c>
      <c r="S51" s="41">
        <f>+S45*S32</f>
        <v>3223.0854669568735</v>
      </c>
      <c r="T51" s="41">
        <f>+T45*T32</f>
        <v>3304.9007986141814</v>
      </c>
      <c r="U51" s="41">
        <f>+U45*U32</f>
        <v>0</v>
      </c>
    </row>
    <row r="52" spans="5:21">
      <c r="E52" s="26" t="s">
        <v>66</v>
      </c>
    </row>
    <row r="53" spans="5:21">
      <c r="E53" s="25" t="s">
        <v>44</v>
      </c>
      <c r="G53" s="41">
        <f>+G20</f>
        <v>32812.5</v>
      </c>
      <c r="H53" s="41">
        <f>+H20</f>
        <v>34040.25</v>
      </c>
      <c r="I53" s="41">
        <f>+I20</f>
        <v>35336.371500000001</v>
      </c>
      <c r="J53" s="41">
        <f>+J20</f>
        <v>36704.685654000008</v>
      </c>
      <c r="K53" s="41">
        <f>+K20</f>
        <v>38149.227447623998</v>
      </c>
      <c r="L53" s="41">
        <f>+L20</f>
        <v>39674.257669630948</v>
      </c>
      <c r="M53" s="41">
        <f>+M20</f>
        <v>41284.27555376909</v>
      </c>
      <c r="N53" s="41">
        <f>+N20</f>
        <v>42984.032128511732</v>
      </c>
      <c r="O53" s="41">
        <f>+O20</f>
        <v>44778.544314314604</v>
      </c>
      <c r="P53" s="41">
        <f>+P20</f>
        <v>46673.109810254551</v>
      </c>
      <c r="Q53" s="41">
        <f>+Q20</f>
        <v>48673.322814253901</v>
      </c>
      <c r="R53" s="41">
        <f>+R20</f>
        <v>50785.090623569726</v>
      </c>
      <c r="S53" s="41">
        <f>+S20</f>
        <v>53014.651164841591</v>
      </c>
      <c r="T53" s="41">
        <f>+T20</f>
        <v>55368.59150575172</v>
      </c>
      <c r="U53" s="41">
        <f>+U20</f>
        <v>57853.867403266384</v>
      </c>
    </row>
    <row r="54" spans="5:21">
      <c r="E54" s="25" t="s">
        <v>32</v>
      </c>
      <c r="G54" s="41">
        <f>+G22</f>
        <v>1275</v>
      </c>
      <c r="H54" s="41">
        <f>+H22</f>
        <v>1300.5</v>
      </c>
      <c r="I54" s="41">
        <f>+I22</f>
        <v>1326.51</v>
      </c>
      <c r="J54" s="41">
        <f>+J22</f>
        <v>1353.0401999999999</v>
      </c>
      <c r="K54" s="41">
        <f>+K22</f>
        <v>1380.1010039999999</v>
      </c>
      <c r="L54" s="41">
        <f>+L22</f>
        <v>1407.70302408</v>
      </c>
      <c r="M54" s="41">
        <f>+M22</f>
        <v>1435.8570845616</v>
      </c>
      <c r="N54" s="41">
        <f>+N22</f>
        <v>1464.574226252832</v>
      </c>
      <c r="O54" s="41">
        <f>+O22</f>
        <v>1493.8657107778886</v>
      </c>
      <c r="P54" s="41">
        <f>+P22</f>
        <v>1523.7430249934464</v>
      </c>
      <c r="Q54" s="41">
        <f>+Q22</f>
        <v>1554.2178854933154</v>
      </c>
      <c r="R54" s="41">
        <f>+R22</f>
        <v>1585.3022432031817</v>
      </c>
      <c r="S54" s="41">
        <f>+S22</f>
        <v>1617.0082880672453</v>
      </c>
      <c r="T54" s="41">
        <f>+T22</f>
        <v>1649.3484538285902</v>
      </c>
      <c r="U54" s="41">
        <f>+U22</f>
        <v>1682.335422905162</v>
      </c>
    </row>
    <row r="55" spans="5:21">
      <c r="E55" s="25" t="s">
        <v>55</v>
      </c>
      <c r="G55" s="41">
        <f>+G41</f>
        <v>39375</v>
      </c>
      <c r="H55" s="41">
        <f>+H41</f>
        <v>39375</v>
      </c>
      <c r="I55" s="41">
        <f>+I41</f>
        <v>39375</v>
      </c>
      <c r="J55" s="41">
        <f>+J41</f>
        <v>39375</v>
      </c>
      <c r="K55" s="41">
        <f>+K41</f>
        <v>39375</v>
      </c>
      <c r="L55" s="41">
        <f>+L41</f>
        <v>39375</v>
      </c>
      <c r="M55" s="41">
        <f>+M41</f>
        <v>39375</v>
      </c>
      <c r="N55" s="41">
        <f>+N41</f>
        <v>39375</v>
      </c>
      <c r="O55" s="41">
        <f>+O41</f>
        <v>39375</v>
      </c>
      <c r="P55" s="41">
        <f>+P41</f>
        <v>39375</v>
      </c>
      <c r="Q55" s="41">
        <f>+Q41</f>
        <v>39375</v>
      </c>
      <c r="R55" s="41">
        <f>+R41</f>
        <v>39375</v>
      </c>
      <c r="S55" s="41">
        <f>+S41</f>
        <v>39375</v>
      </c>
      <c r="T55" s="41">
        <f>+T41</f>
        <v>39375</v>
      </c>
      <c r="U55" s="41">
        <f>+U41</f>
        <v>39375</v>
      </c>
    </row>
    <row r="57" spans="5:21">
      <c r="E57" s="25" t="s">
        <v>4</v>
      </c>
      <c r="F57" s="41"/>
      <c r="G57" s="41"/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</row>
    <row r="58" spans="5:21"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spans="5:21" ht="13.5" thickBot="1">
      <c r="E59" s="26" t="s">
        <v>56</v>
      </c>
      <c r="G59" s="43">
        <f>+SUM(G50:G57)</f>
        <v>83957.142857142855</v>
      </c>
      <c r="H59" s="43">
        <f t="shared" ref="H59:T59" si="8">+SUM(H50:H57)</f>
        <v>85389.428571428565</v>
      </c>
      <c r="I59" s="43">
        <f t="shared" si="8"/>
        <v>86900.436000000002</v>
      </c>
      <c r="J59" s="43">
        <f t="shared" si="8"/>
        <v>88494.543833142874</v>
      </c>
      <c r="K59" s="43">
        <f t="shared" si="8"/>
        <v>90176.375373284565</v>
      </c>
      <c r="L59" s="43">
        <f t="shared" si="8"/>
        <v>91950.812221383923</v>
      </c>
      <c r="M59" s="43">
        <f t="shared" si="8"/>
        <v>93823.008729520792</v>
      </c>
      <c r="N59" s="43">
        <f t="shared" si="8"/>
        <v>95798.407262588036</v>
      </c>
      <c r="O59" s="43">
        <f t="shared" si="8"/>
        <v>97882.754314391408</v>
      </c>
      <c r="P59" s="43">
        <f t="shared" si="8"/>
        <v>100082.11752599772</v>
      </c>
      <c r="Q59" s="43">
        <f t="shared" si="8"/>
        <v>102402.90365685396</v>
      </c>
      <c r="R59" s="43">
        <f t="shared" si="8"/>
        <v>104851.87756202617</v>
      </c>
      <c r="S59" s="43">
        <f t="shared" si="8"/>
        <v>107436.1822318958</v>
      </c>
      <c r="T59" s="43">
        <f t="shared" si="8"/>
        <v>110163.35995380605</v>
      </c>
      <c r="U59" s="43">
        <f>+SUM(U51:U57)</f>
        <v>98911.202826171546</v>
      </c>
    </row>
    <row r="60" spans="5:21"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spans="5:21">
      <c r="E61" s="26" t="s">
        <v>57</v>
      </c>
      <c r="G61" s="41">
        <f>+G47-G59</f>
        <v>0</v>
      </c>
      <c r="H61" s="42">
        <f>+H47-H59</f>
        <v>0</v>
      </c>
      <c r="I61" s="41">
        <f>+I47-I59</f>
        <v>0</v>
      </c>
      <c r="J61" s="41">
        <f>+J47-J59</f>
        <v>0</v>
      </c>
      <c r="K61" s="41">
        <f>+K47-K59</f>
        <v>0</v>
      </c>
      <c r="L61" s="42">
        <f>+L47-L59</f>
        <v>-1.1641532182693481E-10</v>
      </c>
      <c r="M61" s="41">
        <f>+M47-M59</f>
        <v>0</v>
      </c>
      <c r="N61" s="41">
        <f>+N47-N59</f>
        <v>-2.0372681319713593E-10</v>
      </c>
      <c r="O61" s="41">
        <f>+O47-O59</f>
        <v>0</v>
      </c>
      <c r="P61" s="42">
        <f>+P47-P59</f>
        <v>0</v>
      </c>
      <c r="Q61" s="41">
        <f>+Q47-Q59</f>
        <v>0</v>
      </c>
      <c r="R61" s="41">
        <f>+R47-R59</f>
        <v>0</v>
      </c>
      <c r="S61" s="41">
        <f>+S47-S59</f>
        <v>0</v>
      </c>
      <c r="T61" s="41">
        <f>+T47-T59</f>
        <v>0</v>
      </c>
      <c r="U61" s="41">
        <f>+U47-U59</f>
        <v>-98911.202826171546</v>
      </c>
    </row>
    <row r="64" spans="5:21">
      <c r="E64" s="26" t="s">
        <v>59</v>
      </c>
      <c r="F64" s="44">
        <f>+U12*(U16-U28-U32)</f>
        <v>4130766.1325932201</v>
      </c>
    </row>
    <row r="65" spans="5:21">
      <c r="E65" s="26" t="s">
        <v>60</v>
      </c>
      <c r="F65" s="38">
        <f>+F40</f>
        <v>1312500</v>
      </c>
    </row>
    <row r="66" spans="5:21">
      <c r="E66" s="26" t="s">
        <v>61</v>
      </c>
      <c r="F66" s="38">
        <f>+U59</f>
        <v>98911.202826171546</v>
      </c>
    </row>
    <row r="67" spans="5:21">
      <c r="E67" s="26" t="s">
        <v>62</v>
      </c>
      <c r="F67" s="38">
        <f>+F64*Assumptions!N10</f>
        <v>41307.661325932204</v>
      </c>
    </row>
    <row r="69" spans="5:21">
      <c r="E69" s="26" t="s">
        <v>63</v>
      </c>
      <c r="F69" s="44">
        <f>+F64-F65-F66-F67</f>
        <v>2678047.2684411164</v>
      </c>
    </row>
    <row r="71" spans="5:21">
      <c r="E71" s="26"/>
      <c r="F71" s="34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38"/>
    </row>
    <row r="72" spans="5:21">
      <c r="E72" s="26" t="s">
        <v>71</v>
      </c>
      <c r="F72" s="53">
        <f>+F11-F40+F42</f>
        <v>700625</v>
      </c>
      <c r="U72" s="38"/>
    </row>
    <row r="73" spans="5:21">
      <c r="E73" s="26" t="s">
        <v>72</v>
      </c>
      <c r="F73" s="56">
        <f>+F69</f>
        <v>2678047.2684411164</v>
      </c>
      <c r="I73" s="55"/>
      <c r="L73" s="55"/>
      <c r="O73" s="55"/>
      <c r="R73" s="55"/>
      <c r="U73" s="55"/>
    </row>
    <row r="74" spans="5:21">
      <c r="F74" s="32"/>
    </row>
    <row r="75" spans="5:21">
      <c r="E75" s="58" t="s">
        <v>73</v>
      </c>
      <c r="F75" s="58">
        <v>0</v>
      </c>
      <c r="G75" s="58">
        <v>1</v>
      </c>
      <c r="H75" s="58">
        <v>2</v>
      </c>
      <c r="I75" s="58">
        <v>3</v>
      </c>
      <c r="J75" s="58">
        <v>4</v>
      </c>
      <c r="K75" s="58">
        <v>5</v>
      </c>
      <c r="L75" s="58">
        <v>6</v>
      </c>
      <c r="M75" s="58">
        <v>7</v>
      </c>
      <c r="N75" s="58">
        <v>8</v>
      </c>
      <c r="O75" s="58">
        <v>9</v>
      </c>
      <c r="P75" s="58">
        <v>10</v>
      </c>
      <c r="Q75" s="58">
        <v>11</v>
      </c>
      <c r="R75" s="58">
        <v>12</v>
      </c>
      <c r="S75" s="58">
        <v>13</v>
      </c>
      <c r="T75" s="58">
        <v>14</v>
      </c>
      <c r="U75" s="58">
        <v>15</v>
      </c>
    </row>
    <row r="76" spans="5:21">
      <c r="F76" s="53">
        <f>+-F72</f>
        <v>-700625</v>
      </c>
      <c r="G76" s="54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>
        <v>0</v>
      </c>
      <c r="U76" s="38">
        <f>+F73</f>
        <v>2678047.2684411164</v>
      </c>
    </row>
    <row r="77" spans="5:21" ht="13.5" thickBot="1"/>
    <row r="78" spans="5:21" ht="13.5" thickBot="1">
      <c r="E78" s="37" t="s">
        <v>70</v>
      </c>
      <c r="F78" s="57">
        <f>+IRR(F76:U76)</f>
        <v>9.3508526847267071E-2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</vt:lpstr>
      <vt:lpstr>Assumptions</vt:lpstr>
      <vt:lpstr>Model </vt:lpstr>
      <vt:lpstr>Assumptions!Print_Area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Umbright</dc:creator>
  <cp:lastModifiedBy>Connor Umbright</cp:lastModifiedBy>
  <cp:lastPrinted>2020-09-02T12:50:01Z</cp:lastPrinted>
  <dcterms:created xsi:type="dcterms:W3CDTF">2012-02-20T17:20:16Z</dcterms:created>
  <dcterms:modified xsi:type="dcterms:W3CDTF">2023-07-10T20:10:11Z</dcterms:modified>
</cp:coreProperties>
</file>