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 Umbright\Downloads\"/>
    </mc:Choice>
  </mc:AlternateContent>
  <xr:revisionPtr revIDLastSave="0" documentId="8_{818E05F2-AAFD-4214-B0CB-C968251F44E9}" xr6:coauthVersionLast="47" xr6:coauthVersionMax="47" xr10:uidLastSave="{00000000-0000-0000-0000-000000000000}"/>
  <bookViews>
    <workbookView xWindow="-120" yWindow="-120" windowWidth="29040" windowHeight="15720" activeTab="3" xr2:uid="{180478A9-A6F5-4725-8277-4BA3E88FF601}"/>
  </bookViews>
  <sheets>
    <sheet name="Home" sheetId="1" r:id="rId1"/>
    <sheet name="Unit Economics Model " sheetId="3" r:id="rId2"/>
    <sheet name="3 Statement Model" sheetId="2" r:id="rId3"/>
    <sheet name="DCF" sheetId="5" r:id="rId4"/>
    <sheet name="WAC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0" i="2" l="1"/>
  <c r="S60" i="2"/>
  <c r="R60" i="2"/>
  <c r="Q60" i="2"/>
  <c r="P60" i="2"/>
  <c r="O60" i="2"/>
  <c r="N60" i="2"/>
  <c r="T59" i="2"/>
  <c r="S59" i="2"/>
  <c r="R59" i="2"/>
  <c r="Q59" i="2"/>
  <c r="P59" i="2"/>
  <c r="O59" i="2"/>
  <c r="N59" i="2"/>
  <c r="K90" i="3"/>
  <c r="K92" i="3" s="1"/>
  <c r="G90" i="3"/>
  <c r="G92" i="3" s="1"/>
  <c r="L88" i="3"/>
  <c r="L90" i="3" s="1"/>
  <c r="K88" i="3"/>
  <c r="J88" i="3"/>
  <c r="J90" i="3" s="1"/>
  <c r="I88" i="3"/>
  <c r="N88" i="3" s="1"/>
  <c r="H88" i="3"/>
  <c r="H90" i="3" s="1"/>
  <c r="G88" i="3"/>
  <c r="K86" i="3"/>
  <c r="G86" i="3"/>
  <c r="C86" i="3"/>
  <c r="L43" i="3"/>
  <c r="K43" i="3"/>
  <c r="J43" i="3"/>
  <c r="I43" i="3"/>
  <c r="H43" i="3"/>
  <c r="G43" i="3"/>
  <c r="F43" i="3"/>
  <c r="E43" i="3"/>
  <c r="D43" i="3"/>
  <c r="M14" i="3"/>
  <c r="E17" i="3"/>
  <c r="D17" i="3"/>
  <c r="L15" i="3"/>
  <c r="K15" i="3"/>
  <c r="J15" i="3"/>
  <c r="I15" i="3"/>
  <c r="H15" i="3"/>
  <c r="G15" i="3"/>
  <c r="D18" i="3"/>
  <c r="D20" i="3" s="1"/>
  <c r="C14" i="3"/>
  <c r="D14" i="3"/>
  <c r="E14" i="3"/>
  <c r="F15" i="3" s="1"/>
  <c r="F18" i="3"/>
  <c r="F16" i="3"/>
  <c r="F20" i="3" s="1"/>
  <c r="G18" i="3"/>
  <c r="G19" i="3" s="1"/>
  <c r="G16" i="3"/>
  <c r="G17" i="3" s="1"/>
  <c r="I18" i="3"/>
  <c r="H18" i="3"/>
  <c r="H19" i="3" s="1"/>
  <c r="I16" i="3"/>
  <c r="I20" i="3" s="1"/>
  <c r="H16" i="3"/>
  <c r="H20" i="3" s="1"/>
  <c r="J18" i="3"/>
  <c r="J19" i="3" s="1"/>
  <c r="J16" i="3"/>
  <c r="J20" i="3" s="1"/>
  <c r="K18" i="3"/>
  <c r="K19" i="3" s="1"/>
  <c r="K16" i="3"/>
  <c r="K17" i="3" s="1"/>
  <c r="L18" i="3"/>
  <c r="L16" i="3"/>
  <c r="L17" i="3" s="1"/>
  <c r="M56" i="3"/>
  <c r="L84" i="3"/>
  <c r="L86" i="3" s="1"/>
  <c r="K84" i="3"/>
  <c r="J84" i="3"/>
  <c r="J86" i="3" s="1"/>
  <c r="I84" i="3"/>
  <c r="I86" i="3" s="1"/>
  <c r="H84" i="3"/>
  <c r="H86" i="3" s="1"/>
  <c r="G84" i="3"/>
  <c r="F84" i="3"/>
  <c r="F86" i="3" s="1"/>
  <c r="E84" i="3"/>
  <c r="E86" i="3" s="1"/>
  <c r="D84" i="3"/>
  <c r="D86" i="3" s="1"/>
  <c r="C84" i="3"/>
  <c r="N84" i="3" s="1"/>
  <c r="N76" i="3"/>
  <c r="N75" i="3" s="1"/>
  <c r="C75" i="2"/>
  <c r="D75" i="2"/>
  <c r="E75" i="2"/>
  <c r="F75" i="2"/>
  <c r="G75" i="2"/>
  <c r="H75" i="2"/>
  <c r="I75" i="2"/>
  <c r="J75" i="2"/>
  <c r="K75" i="2"/>
  <c r="L75" i="2"/>
  <c r="H24" i="5"/>
  <c r="I24" i="5"/>
  <c r="G24" i="5"/>
  <c r="F12" i="5"/>
  <c r="F10" i="5"/>
  <c r="F9" i="5"/>
  <c r="N77" i="3"/>
  <c r="O77" i="3" s="1"/>
  <c r="P77" i="3" s="1"/>
  <c r="Q77" i="3" s="1"/>
  <c r="R77" i="3" s="1"/>
  <c r="S77" i="3" s="1"/>
  <c r="T77" i="3" s="1"/>
  <c r="L78" i="3"/>
  <c r="K76" i="3"/>
  <c r="J76" i="3"/>
  <c r="I76" i="3"/>
  <c r="H76" i="3"/>
  <c r="N73" i="3"/>
  <c r="O73" i="3" s="1"/>
  <c r="P73" i="3" s="1"/>
  <c r="Q73" i="3" s="1"/>
  <c r="R73" i="3" s="1"/>
  <c r="S73" i="3" s="1"/>
  <c r="T73" i="3" s="1"/>
  <c r="L74" i="3"/>
  <c r="K74" i="3"/>
  <c r="J74" i="3"/>
  <c r="I74" i="3"/>
  <c r="H74" i="3"/>
  <c r="G74" i="3"/>
  <c r="F74" i="3"/>
  <c r="E74" i="3"/>
  <c r="D74" i="3"/>
  <c r="F8" i="3"/>
  <c r="F51" i="3"/>
  <c r="E51" i="3"/>
  <c r="F49" i="3"/>
  <c r="E49" i="3"/>
  <c r="L51" i="3"/>
  <c r="K51" i="3"/>
  <c r="J51" i="3"/>
  <c r="I51" i="3"/>
  <c r="H51" i="3"/>
  <c r="G51" i="3"/>
  <c r="L49" i="3"/>
  <c r="K49" i="3"/>
  <c r="J49" i="3"/>
  <c r="I49" i="3"/>
  <c r="H49" i="3"/>
  <c r="G49" i="3"/>
  <c r="L47" i="3"/>
  <c r="K47" i="3"/>
  <c r="J47" i="3"/>
  <c r="I47" i="3"/>
  <c r="H47" i="3"/>
  <c r="G47" i="3"/>
  <c r="L45" i="3"/>
  <c r="K45" i="3"/>
  <c r="J45" i="3"/>
  <c r="I45" i="3"/>
  <c r="H45" i="3"/>
  <c r="G45" i="3"/>
  <c r="K5" i="3"/>
  <c r="K4" i="3"/>
  <c r="L79" i="3"/>
  <c r="K79" i="3"/>
  <c r="J79" i="3"/>
  <c r="I79" i="3"/>
  <c r="H79" i="3"/>
  <c r="G79" i="3"/>
  <c r="F79" i="3"/>
  <c r="E79" i="3"/>
  <c r="D79" i="3"/>
  <c r="C79" i="3"/>
  <c r="F6" i="3"/>
  <c r="F5" i="3"/>
  <c r="F4" i="3"/>
  <c r="L63" i="3"/>
  <c r="K63" i="3"/>
  <c r="J63" i="3"/>
  <c r="I63" i="3"/>
  <c r="H63" i="3"/>
  <c r="G63" i="3"/>
  <c r="F63" i="3"/>
  <c r="E63" i="3"/>
  <c r="L61" i="3"/>
  <c r="K61" i="3"/>
  <c r="J61" i="3"/>
  <c r="I61" i="3"/>
  <c r="H61" i="3"/>
  <c r="G61" i="3"/>
  <c r="F61" i="3"/>
  <c r="E61" i="3"/>
  <c r="D63" i="3"/>
  <c r="D61" i="3"/>
  <c r="L59" i="3"/>
  <c r="K59" i="3"/>
  <c r="J59" i="3"/>
  <c r="I59" i="3"/>
  <c r="H59" i="3"/>
  <c r="G59" i="3"/>
  <c r="F59" i="3"/>
  <c r="E59" i="3"/>
  <c r="D59" i="3"/>
  <c r="C65" i="3"/>
  <c r="D40" i="3"/>
  <c r="E40" i="3" s="1"/>
  <c r="F40" i="3" s="1"/>
  <c r="G40" i="3" s="1"/>
  <c r="H40" i="3" s="1"/>
  <c r="I40" i="3" s="1"/>
  <c r="J40" i="3" s="1"/>
  <c r="K40" i="3" s="1"/>
  <c r="L40" i="3" s="1"/>
  <c r="K44" i="2"/>
  <c r="J44" i="2"/>
  <c r="D142" i="2"/>
  <c r="E142" i="2" s="1"/>
  <c r="F142" i="2" s="1"/>
  <c r="G142" i="2" s="1"/>
  <c r="H142" i="2" s="1"/>
  <c r="I142" i="2" s="1"/>
  <c r="J142" i="2" s="1"/>
  <c r="K142" i="2" s="1"/>
  <c r="L142" i="2" s="1"/>
  <c r="D88" i="2"/>
  <c r="E88" i="2" s="1"/>
  <c r="F88" i="2" s="1"/>
  <c r="G88" i="2" s="1"/>
  <c r="H88" i="2" s="1"/>
  <c r="I88" i="2" s="1"/>
  <c r="J88" i="2" s="1"/>
  <c r="K88" i="2" s="1"/>
  <c r="L88" i="2" s="1"/>
  <c r="D55" i="2"/>
  <c r="E55" i="2" s="1"/>
  <c r="F55" i="2" s="1"/>
  <c r="G55" i="2" s="1"/>
  <c r="H55" i="2" s="1"/>
  <c r="I55" i="2" s="1"/>
  <c r="J55" i="2" s="1"/>
  <c r="K55" i="2" s="1"/>
  <c r="L55" i="2" s="1"/>
  <c r="D6" i="2"/>
  <c r="E6" i="2" s="1"/>
  <c r="F6" i="2" s="1"/>
  <c r="G6" i="2" s="1"/>
  <c r="H6" i="2" s="1"/>
  <c r="I6" i="2" s="1"/>
  <c r="J6" i="2" s="1"/>
  <c r="K6" i="2" s="1"/>
  <c r="L6" i="2" s="1"/>
  <c r="H92" i="3" l="1"/>
  <c r="L92" i="3"/>
  <c r="R84" i="3"/>
  <c r="P84" i="3"/>
  <c r="J92" i="3"/>
  <c r="G20" i="3"/>
  <c r="E15" i="3"/>
  <c r="K20" i="3"/>
  <c r="D15" i="3"/>
  <c r="H17" i="3"/>
  <c r="N14" i="3"/>
  <c r="I90" i="3"/>
  <c r="I92" i="3" s="1"/>
  <c r="I19" i="3"/>
  <c r="C18" i="3"/>
  <c r="S84" i="3"/>
  <c r="T84" i="3"/>
  <c r="O84" i="3"/>
  <c r="Q84" i="3"/>
  <c r="O88" i="3"/>
  <c r="I17" i="3"/>
  <c r="E18" i="3"/>
  <c r="E20" i="3" s="1"/>
  <c r="F17" i="3"/>
  <c r="J17" i="3"/>
  <c r="L20" i="3"/>
  <c r="L19" i="3"/>
  <c r="O76" i="3"/>
  <c r="P76" i="3" s="1"/>
  <c r="Q76" i="3" s="1"/>
  <c r="R76" i="3" s="1"/>
  <c r="S76" i="3" s="1"/>
  <c r="N79" i="3"/>
  <c r="J24" i="5" s="1"/>
  <c r="D65" i="3"/>
  <c r="D66" i="3" s="1"/>
  <c r="L65" i="3"/>
  <c r="L69" i="3" s="1"/>
  <c r="F65" i="3"/>
  <c r="J65" i="3"/>
  <c r="J69" i="3" s="1"/>
  <c r="H65" i="3"/>
  <c r="H69" i="3" s="1"/>
  <c r="E65" i="3"/>
  <c r="I65" i="3"/>
  <c r="G65" i="3"/>
  <c r="G69" i="3" s="1"/>
  <c r="K65" i="3"/>
  <c r="K69" i="3" s="1"/>
  <c r="O14" i="3" l="1"/>
  <c r="M17" i="3"/>
  <c r="F19" i="3"/>
  <c r="M19" i="3" s="1"/>
  <c r="P88" i="3"/>
  <c r="Q88" i="3"/>
  <c r="P17" i="3"/>
  <c r="N17" i="3"/>
  <c r="M16" i="3"/>
  <c r="Q17" i="3"/>
  <c r="S17" i="3"/>
  <c r="O17" i="3"/>
  <c r="R17" i="3"/>
  <c r="O75" i="3"/>
  <c r="P75" i="3" s="1"/>
  <c r="O19" i="3"/>
  <c r="E66" i="3"/>
  <c r="F7" i="3"/>
  <c r="I66" i="3"/>
  <c r="I69" i="3"/>
  <c r="F66" i="3"/>
  <c r="J66" i="3"/>
  <c r="K66" i="3"/>
  <c r="G66" i="3"/>
  <c r="L66" i="3"/>
  <c r="H66" i="3"/>
  <c r="R19" i="3" l="1"/>
  <c r="Q19" i="3"/>
  <c r="S19" i="3"/>
  <c r="N19" i="3"/>
  <c r="P19" i="3"/>
  <c r="N16" i="3"/>
  <c r="N42" i="3"/>
  <c r="N86" i="3" s="1"/>
  <c r="M25" i="3"/>
  <c r="M27" i="3" s="1"/>
  <c r="P14" i="3"/>
  <c r="M18" i="3"/>
  <c r="O79" i="3"/>
  <c r="K24" i="5" s="1"/>
  <c r="R88" i="3"/>
  <c r="Q75" i="3"/>
  <c r="P79" i="3"/>
  <c r="L24" i="5" s="1"/>
  <c r="N18" i="3" l="1"/>
  <c r="N44" i="3"/>
  <c r="N90" i="3" s="1"/>
  <c r="N92" i="3" s="1"/>
  <c r="O16" i="3"/>
  <c r="O42" i="3"/>
  <c r="O86" i="3" s="1"/>
  <c r="M20" i="3"/>
  <c r="Q14" i="3"/>
  <c r="S88" i="3"/>
  <c r="R75" i="3"/>
  <c r="Q79" i="3"/>
  <c r="M24" i="5" s="1"/>
  <c r="L23" i="2"/>
  <c r="K23" i="2"/>
  <c r="J23" i="2"/>
  <c r="I23" i="2"/>
  <c r="H23" i="2"/>
  <c r="G23" i="2"/>
  <c r="J20" i="2"/>
  <c r="I20" i="2"/>
  <c r="H20" i="2"/>
  <c r="H24" i="2" s="1"/>
  <c r="F20" i="2"/>
  <c r="G20" i="2"/>
  <c r="G24" i="2" s="1"/>
  <c r="D20" i="2"/>
  <c r="D24" i="2" s="1"/>
  <c r="E20" i="2"/>
  <c r="E21" i="2" s="1"/>
  <c r="K20" i="2"/>
  <c r="K24" i="2" s="1"/>
  <c r="L20" i="2"/>
  <c r="L24" i="2" s="1"/>
  <c r="L131" i="2"/>
  <c r="K131" i="2"/>
  <c r="J131" i="2"/>
  <c r="I131" i="2"/>
  <c r="H131" i="2"/>
  <c r="G131" i="2"/>
  <c r="F131" i="2"/>
  <c r="E131" i="2"/>
  <c r="D131" i="2"/>
  <c r="C131" i="2"/>
  <c r="L132" i="2"/>
  <c r="K132" i="2"/>
  <c r="J132" i="2"/>
  <c r="I132" i="2"/>
  <c r="H132" i="2"/>
  <c r="G132" i="2"/>
  <c r="F132" i="2"/>
  <c r="E132" i="2"/>
  <c r="D132" i="2"/>
  <c r="C132" i="2"/>
  <c r="M51" i="5"/>
  <c r="N51" i="5" s="1"/>
  <c r="O51" i="5" s="1"/>
  <c r="P51" i="5" s="1"/>
  <c r="L51" i="5"/>
  <c r="K51" i="5"/>
  <c r="I27" i="5"/>
  <c r="H27" i="5"/>
  <c r="G27" i="5"/>
  <c r="P16" i="3" l="1"/>
  <c r="P42" i="3"/>
  <c r="P86" i="3" s="1"/>
  <c r="R14" i="3"/>
  <c r="O18" i="3"/>
  <c r="O44" i="3"/>
  <c r="O90" i="3" s="1"/>
  <c r="O92" i="3" s="1"/>
  <c r="N20" i="3"/>
  <c r="T88" i="3"/>
  <c r="S75" i="3"/>
  <c r="R79" i="3"/>
  <c r="N24" i="5" s="1"/>
  <c r="I21" i="2"/>
  <c r="J21" i="2"/>
  <c r="E24" i="2"/>
  <c r="F21" i="2"/>
  <c r="G21" i="2"/>
  <c r="H21" i="2"/>
  <c r="I24" i="2"/>
  <c r="F24" i="2"/>
  <c r="J24" i="2"/>
  <c r="K21" i="2"/>
  <c r="L21" i="2"/>
  <c r="G28" i="5"/>
  <c r="N131" i="2"/>
  <c r="O131" i="2" s="1"/>
  <c r="P131" i="2" s="1"/>
  <c r="Q131" i="2" s="1"/>
  <c r="R131" i="2" s="1"/>
  <c r="S131" i="2" s="1"/>
  <c r="T131" i="2" s="1"/>
  <c r="I25" i="5"/>
  <c r="N132" i="2"/>
  <c r="O132" i="2" s="1"/>
  <c r="P132" i="2" s="1"/>
  <c r="Q132" i="2" s="1"/>
  <c r="R132" i="2" s="1"/>
  <c r="S132" i="2" s="1"/>
  <c r="T132" i="2" s="1"/>
  <c r="H29" i="5"/>
  <c r="H25" i="5"/>
  <c r="I28" i="5"/>
  <c r="H28" i="5"/>
  <c r="I29" i="5"/>
  <c r="S14" i="3" l="1"/>
  <c r="P18" i="3"/>
  <c r="P44" i="3"/>
  <c r="P90" i="3" s="1"/>
  <c r="P92" i="3" s="1"/>
  <c r="O20" i="3"/>
  <c r="Q16" i="3"/>
  <c r="Q42" i="3"/>
  <c r="Q86" i="3" s="1"/>
  <c r="T75" i="3"/>
  <c r="T79" i="3" s="1"/>
  <c r="P24" i="5" s="1"/>
  <c r="S79" i="3"/>
  <c r="O24" i="5" s="1"/>
  <c r="R16" i="3" l="1"/>
  <c r="R42" i="3"/>
  <c r="R86" i="3" s="1"/>
  <c r="Q18" i="3"/>
  <c r="Q44" i="3"/>
  <c r="Q90" i="3" s="1"/>
  <c r="Q92" i="3" s="1"/>
  <c r="P20" i="3"/>
  <c r="J22" i="5"/>
  <c r="K22" i="5" s="1"/>
  <c r="L22" i="5" s="1"/>
  <c r="M22" i="5" s="1"/>
  <c r="N22" i="5" s="1"/>
  <c r="O22" i="5" s="1"/>
  <c r="P22" i="5" s="1"/>
  <c r="M30" i="4"/>
  <c r="M32" i="4"/>
  <c r="L28" i="4"/>
  <c r="K28" i="4"/>
  <c r="I28" i="4"/>
  <c r="L27" i="4"/>
  <c r="M18" i="4"/>
  <c r="M17" i="4"/>
  <c r="M16" i="4"/>
  <c r="M15" i="4"/>
  <c r="M14" i="4"/>
  <c r="L20" i="4"/>
  <c r="J20" i="4"/>
  <c r="H20" i="4"/>
  <c r="G20" i="4"/>
  <c r="K17" i="4"/>
  <c r="I17" i="4"/>
  <c r="K16" i="4"/>
  <c r="I16" i="4"/>
  <c r="K14" i="4"/>
  <c r="I14" i="4"/>
  <c r="I15" i="4"/>
  <c r="K15" i="4"/>
  <c r="K18" i="4"/>
  <c r="I18" i="4"/>
  <c r="H22" i="4"/>
  <c r="L76" i="2"/>
  <c r="K76" i="2"/>
  <c r="J76" i="2"/>
  <c r="I76" i="2"/>
  <c r="H76" i="2"/>
  <c r="G76" i="2"/>
  <c r="F76" i="2"/>
  <c r="E76" i="2"/>
  <c r="D76" i="2"/>
  <c r="C76" i="2"/>
  <c r="L171" i="2"/>
  <c r="K171" i="2"/>
  <c r="J171" i="2"/>
  <c r="I171" i="2"/>
  <c r="H171" i="2"/>
  <c r="G171" i="2"/>
  <c r="F171" i="2"/>
  <c r="E171" i="2"/>
  <c r="D171" i="2"/>
  <c r="C171" i="2"/>
  <c r="L137" i="2"/>
  <c r="K137" i="2"/>
  <c r="J137" i="2"/>
  <c r="I137" i="2"/>
  <c r="H137" i="2"/>
  <c r="G137" i="2"/>
  <c r="F137" i="2"/>
  <c r="E137" i="2"/>
  <c r="D137" i="2"/>
  <c r="C137" i="2"/>
  <c r="L136" i="2"/>
  <c r="K136" i="2"/>
  <c r="J136" i="2"/>
  <c r="I136" i="2"/>
  <c r="H136" i="2"/>
  <c r="G136" i="2"/>
  <c r="F136" i="2"/>
  <c r="E136" i="2"/>
  <c r="D136" i="2"/>
  <c r="C136" i="2"/>
  <c r="T96" i="2"/>
  <c r="S96" i="2"/>
  <c r="R96" i="2"/>
  <c r="Q96" i="2"/>
  <c r="P96" i="2"/>
  <c r="O96" i="2"/>
  <c r="N96" i="2"/>
  <c r="L81" i="2"/>
  <c r="K81" i="2"/>
  <c r="J81" i="2"/>
  <c r="I81" i="2"/>
  <c r="H81" i="2"/>
  <c r="G81" i="2"/>
  <c r="F81" i="2"/>
  <c r="E81" i="2"/>
  <c r="D81" i="2"/>
  <c r="C81" i="2"/>
  <c r="L80" i="2"/>
  <c r="K80" i="2"/>
  <c r="J80" i="2"/>
  <c r="I80" i="2"/>
  <c r="H80" i="2"/>
  <c r="G80" i="2"/>
  <c r="F80" i="2"/>
  <c r="E80" i="2"/>
  <c r="D80" i="2"/>
  <c r="C80" i="2"/>
  <c r="L79" i="2"/>
  <c r="K79" i="2"/>
  <c r="J79" i="2"/>
  <c r="I79" i="2"/>
  <c r="H79" i="2"/>
  <c r="G79" i="2"/>
  <c r="F79" i="2"/>
  <c r="E79" i="2"/>
  <c r="D79" i="2"/>
  <c r="C79" i="2"/>
  <c r="N56" i="2"/>
  <c r="O142" i="2"/>
  <c r="P142" i="2" s="1"/>
  <c r="Q142" i="2" s="1"/>
  <c r="R142" i="2" s="1"/>
  <c r="S142" i="2" s="1"/>
  <c r="T142" i="2" s="1"/>
  <c r="O88" i="2"/>
  <c r="P88" i="2" s="1"/>
  <c r="Q88" i="2" s="1"/>
  <c r="R88" i="2" s="1"/>
  <c r="S88" i="2" s="1"/>
  <c r="T88" i="2" s="1"/>
  <c r="O55" i="2"/>
  <c r="P55" i="2" s="1"/>
  <c r="Q55" i="2" s="1"/>
  <c r="R55" i="2" s="1"/>
  <c r="S55" i="2" s="1"/>
  <c r="T55" i="2" s="1"/>
  <c r="L82" i="2"/>
  <c r="K82" i="2"/>
  <c r="J82" i="2"/>
  <c r="I82" i="2"/>
  <c r="H82" i="2"/>
  <c r="G82" i="2"/>
  <c r="F82" i="2"/>
  <c r="E82" i="2"/>
  <c r="D82" i="2"/>
  <c r="C82" i="2"/>
  <c r="L78" i="2"/>
  <c r="K78" i="2"/>
  <c r="J78" i="2"/>
  <c r="I78" i="2"/>
  <c r="H78" i="2"/>
  <c r="G78" i="2"/>
  <c r="F78" i="2"/>
  <c r="E78" i="2"/>
  <c r="D78" i="2"/>
  <c r="C78" i="2"/>
  <c r="L77" i="2"/>
  <c r="K77" i="2"/>
  <c r="J77" i="2"/>
  <c r="I77" i="2"/>
  <c r="H77" i="2"/>
  <c r="G77" i="2"/>
  <c r="F77" i="2"/>
  <c r="E77" i="2"/>
  <c r="D77" i="2"/>
  <c r="C77" i="2"/>
  <c r="L74" i="2"/>
  <c r="K74" i="2"/>
  <c r="J74" i="2"/>
  <c r="I74" i="2"/>
  <c r="H74" i="2"/>
  <c r="G74" i="2"/>
  <c r="F74" i="2"/>
  <c r="E74" i="2"/>
  <c r="D74" i="2"/>
  <c r="C74" i="2"/>
  <c r="L73" i="2"/>
  <c r="K73" i="2"/>
  <c r="J73" i="2"/>
  <c r="I73" i="2"/>
  <c r="H73" i="2"/>
  <c r="G73" i="2"/>
  <c r="F73" i="2"/>
  <c r="E73" i="2"/>
  <c r="D73" i="2"/>
  <c r="L170" i="2"/>
  <c r="K170" i="2"/>
  <c r="J170" i="2"/>
  <c r="I170" i="2"/>
  <c r="H170" i="2"/>
  <c r="G170" i="2"/>
  <c r="F170" i="2"/>
  <c r="E170" i="2"/>
  <c r="D170" i="2"/>
  <c r="C170" i="2"/>
  <c r="L162" i="2"/>
  <c r="K162" i="2"/>
  <c r="J162" i="2"/>
  <c r="I162" i="2"/>
  <c r="H162" i="2"/>
  <c r="G162" i="2"/>
  <c r="F162" i="2"/>
  <c r="E162" i="2"/>
  <c r="D162" i="2"/>
  <c r="C162" i="2"/>
  <c r="L155" i="2"/>
  <c r="K155" i="2"/>
  <c r="J155" i="2"/>
  <c r="I155" i="2"/>
  <c r="H155" i="2"/>
  <c r="G155" i="2"/>
  <c r="F155" i="2"/>
  <c r="E155" i="2"/>
  <c r="D155" i="2"/>
  <c r="C155" i="2"/>
  <c r="L150" i="2"/>
  <c r="K150" i="2"/>
  <c r="J150" i="2"/>
  <c r="I150" i="2"/>
  <c r="H150" i="2"/>
  <c r="G150" i="2"/>
  <c r="F150" i="2"/>
  <c r="E150" i="2"/>
  <c r="D150" i="2"/>
  <c r="C150" i="2"/>
  <c r="L133" i="2"/>
  <c r="K133" i="2"/>
  <c r="J133" i="2"/>
  <c r="I133" i="2"/>
  <c r="H133" i="2"/>
  <c r="G133" i="2"/>
  <c r="F133" i="2"/>
  <c r="E133" i="2"/>
  <c r="D133" i="2"/>
  <c r="C133" i="2"/>
  <c r="L130" i="2"/>
  <c r="K130" i="2"/>
  <c r="J130" i="2"/>
  <c r="I130" i="2"/>
  <c r="H130" i="2"/>
  <c r="G130" i="2"/>
  <c r="F130" i="2"/>
  <c r="E130" i="2"/>
  <c r="D130" i="2"/>
  <c r="C130" i="2"/>
  <c r="L129" i="2"/>
  <c r="K129" i="2"/>
  <c r="J129" i="2"/>
  <c r="I129" i="2"/>
  <c r="H129" i="2"/>
  <c r="G129" i="2"/>
  <c r="F129" i="2"/>
  <c r="E129" i="2"/>
  <c r="D129" i="2"/>
  <c r="C129" i="2"/>
  <c r="L127" i="2"/>
  <c r="K127" i="2"/>
  <c r="J127" i="2"/>
  <c r="I127" i="2"/>
  <c r="H127" i="2"/>
  <c r="G127" i="2"/>
  <c r="F127" i="2"/>
  <c r="E127" i="2"/>
  <c r="D127" i="2"/>
  <c r="C127" i="2"/>
  <c r="L126" i="2"/>
  <c r="K126" i="2"/>
  <c r="J126" i="2"/>
  <c r="I126" i="2"/>
  <c r="H126" i="2"/>
  <c r="G126" i="2"/>
  <c r="F126" i="2"/>
  <c r="E126" i="2"/>
  <c r="D126" i="2"/>
  <c r="C126" i="2"/>
  <c r="G58" i="2"/>
  <c r="F58" i="2"/>
  <c r="E58" i="2"/>
  <c r="D58" i="2"/>
  <c r="C58" i="2"/>
  <c r="L125" i="2"/>
  <c r="K125" i="2"/>
  <c r="J125" i="2"/>
  <c r="I125" i="2"/>
  <c r="H125" i="2"/>
  <c r="G125" i="2"/>
  <c r="F125" i="2"/>
  <c r="E125" i="2"/>
  <c r="D125" i="2"/>
  <c r="C125" i="2"/>
  <c r="L128" i="2"/>
  <c r="K128" i="2"/>
  <c r="J128" i="2"/>
  <c r="I128" i="2"/>
  <c r="H128" i="2"/>
  <c r="G128" i="2"/>
  <c r="F128" i="2"/>
  <c r="E128" i="2"/>
  <c r="D128" i="2"/>
  <c r="C128" i="2"/>
  <c r="L124" i="2"/>
  <c r="K124" i="2"/>
  <c r="J124" i="2"/>
  <c r="I124" i="2"/>
  <c r="H124" i="2"/>
  <c r="G124" i="2"/>
  <c r="F124" i="2"/>
  <c r="E124" i="2"/>
  <c r="D124" i="2"/>
  <c r="C124" i="2"/>
  <c r="L123" i="2"/>
  <c r="K123" i="2"/>
  <c r="J123" i="2"/>
  <c r="I123" i="2"/>
  <c r="H123" i="2"/>
  <c r="G123" i="2"/>
  <c r="F123" i="2"/>
  <c r="E123" i="2"/>
  <c r="D123" i="2"/>
  <c r="C123" i="2"/>
  <c r="R18" i="3" l="1"/>
  <c r="R44" i="3"/>
  <c r="R90" i="3" s="1"/>
  <c r="R92" i="3" s="1"/>
  <c r="Q20" i="3"/>
  <c r="S16" i="3"/>
  <c r="S42" i="3"/>
  <c r="S86" i="3" s="1"/>
  <c r="R20" i="3"/>
  <c r="D138" i="2"/>
  <c r="H138" i="2"/>
  <c r="L138" i="2"/>
  <c r="N76" i="2"/>
  <c r="H27" i="4"/>
  <c r="O56" i="2"/>
  <c r="J25" i="5"/>
  <c r="N124" i="2"/>
  <c r="O124" i="2" s="1"/>
  <c r="P124" i="2" s="1"/>
  <c r="N128" i="2"/>
  <c r="O128" i="2" s="1"/>
  <c r="N125" i="2"/>
  <c r="O125" i="2" s="1"/>
  <c r="N81" i="2"/>
  <c r="O81" i="2" s="1"/>
  <c r="P81" i="2" s="1"/>
  <c r="Q81" i="2" s="1"/>
  <c r="R81" i="2" s="1"/>
  <c r="S81" i="2" s="1"/>
  <c r="T81" i="2" s="1"/>
  <c r="F138" i="2"/>
  <c r="J138" i="2"/>
  <c r="C138" i="2"/>
  <c r="G138" i="2"/>
  <c r="K138" i="2"/>
  <c r="N171" i="2"/>
  <c r="O171" i="2" s="1"/>
  <c r="P171" i="2" s="1"/>
  <c r="Q171" i="2" s="1"/>
  <c r="R171" i="2" s="1"/>
  <c r="S171" i="2" s="1"/>
  <c r="T171" i="2" s="1"/>
  <c r="I20" i="4"/>
  <c r="M20" i="4"/>
  <c r="K20" i="4"/>
  <c r="E138" i="2"/>
  <c r="I138" i="2"/>
  <c r="N130" i="2"/>
  <c r="N107" i="2" s="1"/>
  <c r="N123" i="2"/>
  <c r="N91" i="2" s="1"/>
  <c r="N126" i="2"/>
  <c r="O126" i="2" s="1"/>
  <c r="N127" i="2"/>
  <c r="N98" i="2" s="1"/>
  <c r="N129" i="2"/>
  <c r="N104" i="2" s="1"/>
  <c r="N133" i="2"/>
  <c r="O133" i="2" s="1"/>
  <c r="N170" i="2"/>
  <c r="N153" i="2" s="1"/>
  <c r="N80" i="2"/>
  <c r="O80" i="2" s="1"/>
  <c r="E165" i="2"/>
  <c r="E167" i="2" s="1"/>
  <c r="I165" i="2"/>
  <c r="I167" i="2" s="1"/>
  <c r="C165" i="2"/>
  <c r="C167" i="2" s="1"/>
  <c r="G165" i="2"/>
  <c r="G167" i="2" s="1"/>
  <c r="K165" i="2"/>
  <c r="K167" i="2" s="1"/>
  <c r="N77" i="2"/>
  <c r="O77" i="2" s="1"/>
  <c r="P77" i="2" s="1"/>
  <c r="Q77" i="2" s="1"/>
  <c r="R77" i="2" s="1"/>
  <c r="S77" i="2" s="1"/>
  <c r="T77" i="2" s="1"/>
  <c r="N82" i="2"/>
  <c r="O82" i="2" s="1"/>
  <c r="P82" i="2" s="1"/>
  <c r="Q82" i="2" s="1"/>
  <c r="R82" i="2" s="1"/>
  <c r="S82" i="2" s="1"/>
  <c r="T82" i="2" s="1"/>
  <c r="F165" i="2"/>
  <c r="F167" i="2" s="1"/>
  <c r="J165" i="2"/>
  <c r="J167" i="2" s="1"/>
  <c r="N79" i="2"/>
  <c r="N75" i="2"/>
  <c r="N78" i="2"/>
  <c r="O78" i="2" s="1"/>
  <c r="P78" i="2" s="1"/>
  <c r="Q78" i="2" s="1"/>
  <c r="R78" i="2" s="1"/>
  <c r="S78" i="2" s="1"/>
  <c r="T78" i="2" s="1"/>
  <c r="N74" i="2"/>
  <c r="N57" i="2" s="1"/>
  <c r="D165" i="2"/>
  <c r="D167" i="2" s="1"/>
  <c r="H165" i="2"/>
  <c r="H167" i="2" s="1"/>
  <c r="L165" i="2"/>
  <c r="L167" i="2" s="1"/>
  <c r="N166" i="2" s="1"/>
  <c r="T42" i="3" l="1"/>
  <c r="T86" i="3" s="1"/>
  <c r="S18" i="3"/>
  <c r="T44" i="3" s="1"/>
  <c r="T90" i="3" s="1"/>
  <c r="S44" i="3"/>
  <c r="S90" i="3" s="1"/>
  <c r="S92" i="3" s="1"/>
  <c r="O75" i="2"/>
  <c r="J45" i="5"/>
  <c r="N155" i="2"/>
  <c r="N149" i="2"/>
  <c r="O129" i="2"/>
  <c r="P129" i="2" s="1"/>
  <c r="O130" i="2"/>
  <c r="O107" i="2" s="1"/>
  <c r="N97" i="2"/>
  <c r="N147" i="2" s="1"/>
  <c r="N69" i="2"/>
  <c r="N93" i="2"/>
  <c r="K25" i="5"/>
  <c r="P56" i="2"/>
  <c r="L25" i="5" s="1"/>
  <c r="O69" i="2"/>
  <c r="N108" i="2"/>
  <c r="O123" i="2"/>
  <c r="O91" i="2" s="1"/>
  <c r="O61" i="2"/>
  <c r="O170" i="2"/>
  <c r="P170" i="2" s="1"/>
  <c r="O127" i="2"/>
  <c r="P127" i="2" s="1"/>
  <c r="O74" i="2"/>
  <c r="P74" i="2" s="1"/>
  <c r="Q74" i="2" s="1"/>
  <c r="R74" i="2" s="1"/>
  <c r="S74" i="2" s="1"/>
  <c r="T74" i="2" s="1"/>
  <c r="N62" i="2"/>
  <c r="N146" i="2" s="1"/>
  <c r="O153" i="2"/>
  <c r="K45" i="5" s="1"/>
  <c r="P128" i="2"/>
  <c r="O108" i="2"/>
  <c r="P133" i="2"/>
  <c r="P130" i="2"/>
  <c r="O62" i="2"/>
  <c r="P126" i="2"/>
  <c r="O97" i="2"/>
  <c r="O79" i="2"/>
  <c r="P79" i="2" s="1"/>
  <c r="N61" i="2"/>
  <c r="O93" i="2"/>
  <c r="P125" i="2"/>
  <c r="Q124" i="2"/>
  <c r="P80" i="2"/>
  <c r="P75" i="2"/>
  <c r="T92" i="3" l="1"/>
  <c r="S20" i="3"/>
  <c r="O104" i="2"/>
  <c r="P69" i="2"/>
  <c r="O147" i="2"/>
  <c r="P123" i="2"/>
  <c r="Q123" i="2" s="1"/>
  <c r="J37" i="5"/>
  <c r="N95" i="2"/>
  <c r="P62" i="2"/>
  <c r="P146" i="2" s="1"/>
  <c r="L37" i="5" s="1"/>
  <c r="Q56" i="2"/>
  <c r="M25" i="5" s="1"/>
  <c r="P61" i="2"/>
  <c r="O146" i="2"/>
  <c r="K37" i="5" s="1"/>
  <c r="O76" i="2"/>
  <c r="O98" i="2"/>
  <c r="O57" i="2"/>
  <c r="P57" i="2"/>
  <c r="Q129" i="2"/>
  <c r="P104" i="2"/>
  <c r="Q128" i="2"/>
  <c r="Q126" i="2"/>
  <c r="P97" i="2"/>
  <c r="P147" i="2" s="1"/>
  <c r="Q133" i="2"/>
  <c r="P108" i="2"/>
  <c r="Q130" i="2"/>
  <c r="P107" i="2"/>
  <c r="P153" i="2"/>
  <c r="L45" i="5" s="1"/>
  <c r="Q170" i="2"/>
  <c r="Q125" i="2"/>
  <c r="P93" i="2"/>
  <c r="Q127" i="2"/>
  <c r="P98" i="2"/>
  <c r="R124" i="2"/>
  <c r="Q80" i="2"/>
  <c r="Q79" i="2"/>
  <c r="Q75" i="2"/>
  <c r="R56" i="2" l="1"/>
  <c r="N25" i="5" s="1"/>
  <c r="P149" i="2"/>
  <c r="O149" i="2"/>
  <c r="P91" i="2"/>
  <c r="Q57" i="2"/>
  <c r="P76" i="2"/>
  <c r="Q69" i="2"/>
  <c r="Q62" i="2"/>
  <c r="Q146" i="2" s="1"/>
  <c r="M37" i="5" s="1"/>
  <c r="O95" i="2"/>
  <c r="P95" i="2" s="1"/>
  <c r="Q61" i="2"/>
  <c r="R127" i="2"/>
  <c r="Q98" i="2"/>
  <c r="R123" i="2"/>
  <c r="Q91" i="2"/>
  <c r="R126" i="2"/>
  <c r="Q97" i="2"/>
  <c r="R69" i="2"/>
  <c r="R62" i="2"/>
  <c r="R57" i="2"/>
  <c r="R61" i="2"/>
  <c r="R125" i="2"/>
  <c r="Q93" i="2"/>
  <c r="R170" i="2"/>
  <c r="Q153" i="2"/>
  <c r="M45" i="5" s="1"/>
  <c r="R130" i="2"/>
  <c r="Q107" i="2"/>
  <c r="R129" i="2"/>
  <c r="Q104" i="2"/>
  <c r="R133" i="2"/>
  <c r="Q108" i="2"/>
  <c r="R128" i="2"/>
  <c r="S124" i="2"/>
  <c r="R80" i="2"/>
  <c r="R79" i="2"/>
  <c r="S56" i="2"/>
  <c r="O25" i="5" s="1"/>
  <c r="R75" i="2"/>
  <c r="Q149" i="2" l="1"/>
  <c r="Q76" i="2"/>
  <c r="Q95" i="2"/>
  <c r="Q147" i="2"/>
  <c r="R146" i="2"/>
  <c r="N37" i="5" s="1"/>
  <c r="R76" i="2"/>
  <c r="S129" i="2"/>
  <c r="R104" i="2"/>
  <c r="S170" i="2"/>
  <c r="R153" i="2"/>
  <c r="N45" i="5" s="1"/>
  <c r="S125" i="2"/>
  <c r="R93" i="2"/>
  <c r="S123" i="2"/>
  <c r="R91" i="2"/>
  <c r="S127" i="2"/>
  <c r="R98" i="2"/>
  <c r="S133" i="2"/>
  <c r="R108" i="2"/>
  <c r="S69" i="2"/>
  <c r="S61" i="2"/>
  <c r="S62" i="2"/>
  <c r="S57" i="2"/>
  <c r="S130" i="2"/>
  <c r="R107" i="2"/>
  <c r="S128" i="2"/>
  <c r="S126" i="2"/>
  <c r="R97" i="2"/>
  <c r="T124" i="2"/>
  <c r="S80" i="2"/>
  <c r="S79" i="2"/>
  <c r="S75" i="2"/>
  <c r="T56" i="2"/>
  <c r="P25" i="5" s="1"/>
  <c r="R149" i="2" l="1"/>
  <c r="R95" i="2"/>
  <c r="T147" i="2"/>
  <c r="R147" i="2"/>
  <c r="S146" i="2"/>
  <c r="O37" i="5" s="1"/>
  <c r="S76" i="2"/>
  <c r="T126" i="2"/>
  <c r="T97" i="2" s="1"/>
  <c r="S97" i="2"/>
  <c r="S147" i="2" s="1"/>
  <c r="T125" i="2"/>
  <c r="T93" i="2" s="1"/>
  <c r="S93" i="2"/>
  <c r="T130" i="2"/>
  <c r="T107" i="2" s="1"/>
  <c r="S107" i="2"/>
  <c r="T170" i="2"/>
  <c r="T153" i="2" s="1"/>
  <c r="P45" i="5" s="1"/>
  <c r="S153" i="2"/>
  <c r="O45" i="5" s="1"/>
  <c r="T129" i="2"/>
  <c r="T104" i="2" s="1"/>
  <c r="S104" i="2"/>
  <c r="T133" i="2"/>
  <c r="T108" i="2" s="1"/>
  <c r="S108" i="2"/>
  <c r="T69" i="2"/>
  <c r="T61" i="2"/>
  <c r="T62" i="2"/>
  <c r="T57" i="2"/>
  <c r="T128" i="2"/>
  <c r="T127" i="2"/>
  <c r="T98" i="2" s="1"/>
  <c r="S98" i="2"/>
  <c r="T123" i="2"/>
  <c r="T91" i="2" s="1"/>
  <c r="S91" i="2"/>
  <c r="T80" i="2"/>
  <c r="T79" i="2"/>
  <c r="T75" i="2"/>
  <c r="T149" i="2" l="1"/>
  <c r="S149" i="2"/>
  <c r="S95" i="2"/>
  <c r="T146" i="2"/>
  <c r="P37" i="5" s="1"/>
  <c r="T76" i="2"/>
  <c r="T95" i="2" l="1"/>
  <c r="C10" i="1" l="1"/>
  <c r="C8" i="1"/>
  <c r="C11" i="1" l="1"/>
  <c r="J22" i="4"/>
  <c r="C20" i="2"/>
  <c r="J27" i="4" l="1"/>
  <c r="K22" i="4"/>
  <c r="K27" i="4" s="1"/>
  <c r="M22" i="4"/>
  <c r="I22" i="4"/>
  <c r="I27" i="4" s="1"/>
  <c r="M37" i="4" s="1"/>
  <c r="D21" i="2"/>
  <c r="C24" i="2"/>
  <c r="Q63" i="2"/>
  <c r="M27" i="5" s="1"/>
  <c r="M28" i="5" s="1"/>
  <c r="S63" i="2"/>
  <c r="O27" i="5" s="1"/>
  <c r="S103" i="2"/>
  <c r="T92" i="2"/>
  <c r="T94" i="2" s="1"/>
  <c r="T63" i="2"/>
  <c r="P27" i="5" s="1"/>
  <c r="O92" i="2"/>
  <c r="O94" i="2" s="1"/>
  <c r="O136" i="2" s="1"/>
  <c r="O63" i="2"/>
  <c r="R103" i="2"/>
  <c r="R63" i="2"/>
  <c r="N27" i="5" s="1"/>
  <c r="N28" i="5" s="1"/>
  <c r="Q92" i="2"/>
  <c r="Q94" i="2" s="1"/>
  <c r="P103" i="2"/>
  <c r="P63" i="2"/>
  <c r="L27" i="5" s="1"/>
  <c r="M35" i="4" l="1"/>
  <c r="G28" i="4"/>
  <c r="G27" i="4"/>
  <c r="M27" i="4" s="1"/>
  <c r="H28" i="4"/>
  <c r="J28" i="4"/>
  <c r="P29" i="5"/>
  <c r="P92" i="2"/>
  <c r="P94" i="2" s="1"/>
  <c r="P136" i="2" s="1"/>
  <c r="T103" i="2"/>
  <c r="Q136" i="2"/>
  <c r="Q99" i="2"/>
  <c r="T99" i="2"/>
  <c r="T136" i="2"/>
  <c r="L31" i="5"/>
  <c r="L33" i="5" s="1"/>
  <c r="L28" i="5"/>
  <c r="M29" i="5"/>
  <c r="N31" i="5"/>
  <c r="P28" i="5"/>
  <c r="O99" i="2"/>
  <c r="N29" i="5"/>
  <c r="R92" i="2"/>
  <c r="R94" i="2" s="1"/>
  <c r="S92" i="2"/>
  <c r="S94" i="2" s="1"/>
  <c r="K27" i="5"/>
  <c r="L29" i="5" s="1"/>
  <c r="P31" i="5"/>
  <c r="P33" i="5" s="1"/>
  <c r="M31" i="5"/>
  <c r="M33" i="5" s="1"/>
  <c r="Q103" i="2"/>
  <c r="O28" i="5"/>
  <c r="O31" i="5"/>
  <c r="O33" i="5" s="1"/>
  <c r="N33" i="5"/>
  <c r="O29" i="5"/>
  <c r="O103" i="2"/>
  <c r="M28" i="4" l="1"/>
  <c r="M31" i="4" s="1"/>
  <c r="M36" i="4" s="1"/>
  <c r="M39" i="4" s="1"/>
  <c r="J5" i="5" s="1"/>
  <c r="P99" i="2"/>
  <c r="P106" i="2" s="1"/>
  <c r="P67" i="2"/>
  <c r="O106" i="2"/>
  <c r="O67" i="2"/>
  <c r="R136" i="2"/>
  <c r="R99" i="2"/>
  <c r="K31" i="5"/>
  <c r="K33" i="5" s="1"/>
  <c r="K28" i="5"/>
  <c r="S136" i="2"/>
  <c r="S99" i="2"/>
  <c r="Q67" i="2"/>
  <c r="Q106" i="2"/>
  <c r="T67" i="2"/>
  <c r="T106" i="2"/>
  <c r="T102" i="2" l="1"/>
  <c r="T105" i="2" s="1"/>
  <c r="T109" i="2" s="1"/>
  <c r="S67" i="2"/>
  <c r="S106" i="2"/>
  <c r="R106" i="2"/>
  <c r="T158" i="2" s="1"/>
  <c r="R67" i="2"/>
  <c r="Q158" i="2"/>
  <c r="Q102" i="2"/>
  <c r="Q105" i="2" s="1"/>
  <c r="P102" i="2"/>
  <c r="P105" i="2" s="1"/>
  <c r="O102" i="2"/>
  <c r="O105" i="2" s="1"/>
  <c r="O158" i="2"/>
  <c r="P137" i="2" l="1"/>
  <c r="P138" i="2" s="1"/>
  <c r="P64" i="2"/>
  <c r="P65" i="2" s="1"/>
  <c r="S158" i="2"/>
  <c r="S102" i="2"/>
  <c r="S105" i="2" s="1"/>
  <c r="S109" i="2" s="1"/>
  <c r="T64" i="2"/>
  <c r="T65" i="2" s="1"/>
  <c r="T137" i="2"/>
  <c r="T138" i="2" s="1"/>
  <c r="Q137" i="2"/>
  <c r="Q138" i="2" s="1"/>
  <c r="Q64" i="2"/>
  <c r="Q65" i="2" s="1"/>
  <c r="R158" i="2"/>
  <c r="R102" i="2"/>
  <c r="R105" i="2" s="1"/>
  <c r="O137" i="2"/>
  <c r="O138" i="2" s="1"/>
  <c r="O64" i="2"/>
  <c r="O65" i="2" s="1"/>
  <c r="O109" i="2"/>
  <c r="P109" i="2"/>
  <c r="Q109" i="2"/>
  <c r="P148" i="2" l="1"/>
  <c r="L42" i="5" s="1"/>
  <c r="L48" i="5" s="1"/>
  <c r="L52" i="5" s="1"/>
  <c r="R64" i="2"/>
  <c r="R65" i="2" s="1"/>
  <c r="R137" i="2"/>
  <c r="R138" i="2" s="1"/>
  <c r="R148" i="2" s="1"/>
  <c r="N42" i="5" s="1"/>
  <c r="N48" i="5" s="1"/>
  <c r="N52" i="5" s="1"/>
  <c r="O66" i="2"/>
  <c r="O68" i="2" s="1"/>
  <c r="O70" i="2" s="1"/>
  <c r="O145" i="2" s="1"/>
  <c r="R109" i="2"/>
  <c r="T66" i="2"/>
  <c r="T68" i="2" s="1"/>
  <c r="T70" i="2" s="1"/>
  <c r="T145" i="2" s="1"/>
  <c r="P66" i="2"/>
  <c r="P68" i="2" s="1"/>
  <c r="P70" i="2" s="1"/>
  <c r="P145" i="2" s="1"/>
  <c r="P150" i="2" s="1"/>
  <c r="P165" i="2" s="1"/>
  <c r="Q66" i="2"/>
  <c r="Q68" i="2" s="1"/>
  <c r="Q70" i="2" s="1"/>
  <c r="Q145" i="2" s="1"/>
  <c r="S137" i="2"/>
  <c r="S138" i="2" s="1"/>
  <c r="T148" i="2" s="1"/>
  <c r="P42" i="5" s="1"/>
  <c r="P48" i="5" s="1"/>
  <c r="P52" i="5" s="1"/>
  <c r="F6" i="5" s="1"/>
  <c r="F7" i="5" s="1"/>
  <c r="S64" i="2"/>
  <c r="S65" i="2" s="1"/>
  <c r="Q148" i="2"/>
  <c r="M42" i="5" s="1"/>
  <c r="M48" i="5" s="1"/>
  <c r="M52" i="5" s="1"/>
  <c r="Q150" i="2" l="1"/>
  <c r="Q165" i="2" s="1"/>
  <c r="T150" i="2"/>
  <c r="T165" i="2" s="1"/>
  <c r="S66" i="2"/>
  <c r="S68" i="2" s="1"/>
  <c r="S70" i="2" s="1"/>
  <c r="S145" i="2" s="1"/>
  <c r="S148" i="2"/>
  <c r="O42" i="5" s="1"/>
  <c r="O48" i="5" s="1"/>
  <c r="O52" i="5" s="1"/>
  <c r="R66" i="2"/>
  <c r="R68" i="2" s="1"/>
  <c r="R70" i="2" s="1"/>
  <c r="R145" i="2" s="1"/>
  <c r="R150" i="2" s="1"/>
  <c r="R165" i="2" s="1"/>
  <c r="N63" i="2"/>
  <c r="S150" i="2" l="1"/>
  <c r="S165" i="2" s="1"/>
  <c r="J27" i="5"/>
  <c r="N103" i="2"/>
  <c r="N92" i="2"/>
  <c r="N94" i="2" s="1"/>
  <c r="N99" i="2" l="1"/>
  <c r="N136" i="2"/>
  <c r="J31" i="5"/>
  <c r="J33" i="5" s="1"/>
  <c r="J28" i="5"/>
  <c r="K29" i="5"/>
  <c r="J29" i="5"/>
  <c r="N106" i="2" l="1"/>
  <c r="N67" i="2"/>
  <c r="N158" i="2" l="1"/>
  <c r="N162" i="2" s="1"/>
  <c r="P158" i="2"/>
  <c r="N102" i="2"/>
  <c r="N105" i="2" s="1"/>
  <c r="N64" i="2" l="1"/>
  <c r="N65" i="2" s="1"/>
  <c r="N137" i="2"/>
  <c r="N138" i="2" s="1"/>
  <c r="N109" i="2"/>
  <c r="N148" i="2" l="1"/>
  <c r="J42" i="5" s="1"/>
  <c r="J48" i="5" s="1"/>
  <c r="J52" i="5" s="1"/>
  <c r="O148" i="2"/>
  <c r="N66" i="2"/>
  <c r="N68" i="2" s="1"/>
  <c r="N70" i="2" s="1"/>
  <c r="N145" i="2" s="1"/>
  <c r="N150" i="2" l="1"/>
  <c r="N165" i="2" s="1"/>
  <c r="N167" i="2" s="1"/>
  <c r="O166" i="2" s="1"/>
  <c r="O150" i="2"/>
  <c r="O165" i="2" s="1"/>
  <c r="K42" i="5"/>
  <c r="K48" i="5" s="1"/>
  <c r="K52" i="5" s="1"/>
  <c r="F5" i="5" s="1"/>
  <c r="F8" i="5" s="1"/>
  <c r="F11" i="5" s="1"/>
  <c r="F13" i="5" s="1"/>
  <c r="O167" i="2" l="1"/>
  <c r="P166" i="2" s="1"/>
  <c r="P167" i="2" s="1"/>
  <c r="Q166" i="2" s="1"/>
  <c r="Q167" i="2" s="1"/>
  <c r="R166" i="2" s="1"/>
  <c r="R167" i="2" s="1"/>
  <c r="S166" i="2" s="1"/>
  <c r="S167" i="2" s="1"/>
  <c r="T166" i="2" s="1"/>
  <c r="T167" i="2" s="1"/>
</calcChain>
</file>

<file path=xl/sharedStrings.xml><?xml version="1.0" encoding="utf-8"?>
<sst xmlns="http://schemas.openxmlformats.org/spreadsheetml/2006/main" count="323" uniqueCount="262">
  <si>
    <t>Phillip Morris International Inc.</t>
  </si>
  <si>
    <t>PM</t>
  </si>
  <si>
    <t>Price</t>
  </si>
  <si>
    <t>Shares Out</t>
  </si>
  <si>
    <t>Mkt Cap</t>
  </si>
  <si>
    <t>EV</t>
  </si>
  <si>
    <t xml:space="preserve">Cash </t>
  </si>
  <si>
    <t>Debt</t>
  </si>
  <si>
    <t>Ticker</t>
  </si>
  <si>
    <t>Revenues including excise taxes</t>
  </si>
  <si>
    <t>Net revenues</t>
  </si>
  <si>
    <t>-</t>
  </si>
  <si>
    <t>Gross profit</t>
  </si>
  <si>
    <t>Operating income (loss)</t>
  </si>
  <si>
    <t>Earnings (loss) before income taxes</t>
  </si>
  <si>
    <t>Net earnings (loss)</t>
  </si>
  <si>
    <t>Cigarettes</t>
  </si>
  <si>
    <t>HTU's</t>
  </si>
  <si>
    <t>Snus</t>
  </si>
  <si>
    <t>Other</t>
  </si>
  <si>
    <t>Assets</t>
  </si>
  <si>
    <t>Cash &amp; cash equivalents</t>
  </si>
  <si>
    <t>Receivables, net</t>
  </si>
  <si>
    <t>Inventories</t>
  </si>
  <si>
    <t>Deferred income taxes</t>
  </si>
  <si>
    <t>Other current assets</t>
  </si>
  <si>
    <t>Total current assets</t>
  </si>
  <si>
    <t>Property, plant &amp; equipment, net</t>
  </si>
  <si>
    <t>Goodwill</t>
  </si>
  <si>
    <t>Other assets</t>
  </si>
  <si>
    <t>Total assets</t>
  </si>
  <si>
    <t>Liabilities</t>
  </si>
  <si>
    <t>Accounts payable</t>
  </si>
  <si>
    <t>Accrued Liabilities</t>
  </si>
  <si>
    <t>Total current liabilities</t>
  </si>
  <si>
    <t>Long-term debt</t>
  </si>
  <si>
    <t>Other liabilities</t>
  </si>
  <si>
    <t>Total liabilities</t>
  </si>
  <si>
    <t>Shareholders Equity</t>
  </si>
  <si>
    <t>Additional paid-in capital</t>
  </si>
  <si>
    <t xml:space="preserve">Retained Earnings </t>
  </si>
  <si>
    <t>Accumulated other comprehensive income (loss)</t>
  </si>
  <si>
    <t>Less: cost of repurchased stock</t>
  </si>
  <si>
    <t>Noncontrolling interests</t>
  </si>
  <si>
    <t>Total stockholders' equity (deficit)</t>
  </si>
  <si>
    <t>x</t>
  </si>
  <si>
    <t>Total Philip Morris equity (deficit)</t>
  </si>
  <si>
    <t xml:space="preserve">Net Income </t>
  </si>
  <si>
    <t>Assumptions</t>
  </si>
  <si>
    <t>Days Sales Outstanding</t>
  </si>
  <si>
    <t xml:space="preserve">Days Inventory Held </t>
  </si>
  <si>
    <t>Days Payable Outstanding</t>
  </si>
  <si>
    <t xml:space="preserve">Accrued Liabilities % of Revenue </t>
  </si>
  <si>
    <t>Short-term/Current LT Debt</t>
  </si>
  <si>
    <t>Taxes</t>
  </si>
  <si>
    <t xml:space="preserve">Deferred Taxes % of Revenue </t>
  </si>
  <si>
    <t>Other Liabilities %Revenue</t>
  </si>
  <si>
    <t xml:space="preserve">Adjusted Annual Balance Sheet </t>
  </si>
  <si>
    <t xml:space="preserve">Adjusted Annual Income Statement </t>
  </si>
  <si>
    <t xml:space="preserve">Adjusted Annual Cash Flow </t>
  </si>
  <si>
    <t>Report Date</t>
  </si>
  <si>
    <t xml:space="preserve">Cash flows from operating </t>
  </si>
  <si>
    <t>Plus: D&amp;A</t>
  </si>
  <si>
    <t>Deferred income tax provision (benefit)</t>
  </si>
  <si>
    <t>Less: Change in NWC</t>
  </si>
  <si>
    <t>Other operating activities</t>
  </si>
  <si>
    <t>Net cash flows from operating activities</t>
  </si>
  <si>
    <t xml:space="preserve">Cash flows from Investing </t>
  </si>
  <si>
    <t>Capital expenditures</t>
  </si>
  <si>
    <t>Other investing activities</t>
  </si>
  <si>
    <t>Net cash flows from investing activities</t>
  </si>
  <si>
    <t xml:space="preserve">Cash flows from financing </t>
  </si>
  <si>
    <t>Net debt</t>
  </si>
  <si>
    <t>Repurchases of common stock</t>
  </si>
  <si>
    <t>Dividends paid</t>
  </si>
  <si>
    <t xml:space="preserve">Other   </t>
  </si>
  <si>
    <t>Net cash flows from financing activities</t>
  </si>
  <si>
    <t>FX Changes</t>
  </si>
  <si>
    <t xml:space="preserve">Change in Cash </t>
  </si>
  <si>
    <t>Beginning Cash</t>
  </si>
  <si>
    <t xml:space="preserve">End Cash </t>
  </si>
  <si>
    <t>%Revenue Growth</t>
  </si>
  <si>
    <t>% Excise Tax</t>
  </si>
  <si>
    <t xml:space="preserve">% Gross Margin </t>
  </si>
  <si>
    <t>SG&amp;A % Revenue</t>
  </si>
  <si>
    <t>Amortization of Intangibles % Revenue</t>
  </si>
  <si>
    <t xml:space="preserve">Tax Rate </t>
  </si>
  <si>
    <t>Historicals</t>
  </si>
  <si>
    <t>Forecasted</t>
  </si>
  <si>
    <t>Interest % Debt</t>
  </si>
  <si>
    <t>Equity Investments % Assets</t>
  </si>
  <si>
    <t>Non-Controlling Intrests % Revenue</t>
  </si>
  <si>
    <t>Less: Marketing, administration &amp; research costs</t>
  </si>
  <si>
    <t>Less: Cost of sales</t>
  </si>
  <si>
    <t>Less: Excise taxes on products</t>
  </si>
  <si>
    <t xml:space="preserve">Less: Interest income (expense), net </t>
  </si>
  <si>
    <t>Less: Provision for income taxes</t>
  </si>
  <si>
    <t>Less: Non-controlling Interests</t>
  </si>
  <si>
    <t xml:space="preserve">Plus: Equity Investments &amp; Income </t>
  </si>
  <si>
    <t>Net Working Capital Calculations</t>
  </si>
  <si>
    <t>Current Assets</t>
  </si>
  <si>
    <t>Less: Current Liabilities</t>
  </si>
  <si>
    <t xml:space="preserve">Net Working Capital </t>
  </si>
  <si>
    <t xml:space="preserve">D&amp;A % Revenue </t>
  </si>
  <si>
    <t xml:space="preserve">CAPEX % Revenue </t>
  </si>
  <si>
    <t>Less: D&amp;A</t>
  </si>
  <si>
    <t>Discount Rate Calculations - Assumptions:</t>
  </si>
  <si>
    <t>Risk Free Rate</t>
  </si>
  <si>
    <t>Equity Risk Premium</t>
  </si>
  <si>
    <t>Pre-Tax Cost of Debt</t>
  </si>
  <si>
    <t>Comparable Companies - Unlevered Beta Calculation:</t>
  </si>
  <si>
    <t>Name</t>
  </si>
  <si>
    <t>Altria Group Inc.</t>
  </si>
  <si>
    <t>British American Tobacco p.l.c</t>
  </si>
  <si>
    <t>Vector Group Ltd</t>
  </si>
  <si>
    <t>Universal Corporation</t>
  </si>
  <si>
    <t>Imperial Brands P.L.C</t>
  </si>
  <si>
    <t>MO</t>
  </si>
  <si>
    <t>BTI</t>
  </si>
  <si>
    <t>VGR</t>
  </si>
  <si>
    <t>UVV</t>
  </si>
  <si>
    <t>IMBBY</t>
  </si>
  <si>
    <t>Levered Beta</t>
  </si>
  <si>
    <t>Median:</t>
  </si>
  <si>
    <t>Phillip Moris International Inc.</t>
  </si>
  <si>
    <t>%Debt</t>
  </si>
  <si>
    <t>Equity Value</t>
  </si>
  <si>
    <t>% Equity</t>
  </si>
  <si>
    <t>Tax Rate</t>
  </si>
  <si>
    <t>Unlevered Beta</t>
  </si>
  <si>
    <t xml:space="preserve">Phillip Moris International Inc. - Levered Beta &amp; WACC Calculation </t>
  </si>
  <si>
    <t>Current Capital Structure</t>
  </si>
  <si>
    <t>"Optimal" Capital Structure</t>
  </si>
  <si>
    <t>Cost of Equity from Comparables, Current Capital Structure</t>
  </si>
  <si>
    <t>Cost of Equity from Comparables, 'Optimal' Capital Structure</t>
  </si>
  <si>
    <t>Cost of Equity Based on Historical Beta</t>
  </si>
  <si>
    <t>WACC, Current Capital Structure</t>
  </si>
  <si>
    <t>WACC, 'Optimal Captial Structure'</t>
  </si>
  <si>
    <t>WACC, Current Capital Structure and Historical Cost of Equity</t>
  </si>
  <si>
    <t>Average WACC from all Methods</t>
  </si>
  <si>
    <t>10 year US Treasury Yield</t>
  </si>
  <si>
    <t>3-Statement Model Historical &amp; Forecasted</t>
  </si>
  <si>
    <t>Free Cash Flow Projections:</t>
  </si>
  <si>
    <t>Projected</t>
  </si>
  <si>
    <t xml:space="preserve">Historical </t>
  </si>
  <si>
    <t xml:space="preserve">% Growth </t>
  </si>
  <si>
    <t>Operating Income (EBIT):</t>
  </si>
  <si>
    <t>Operating Margin</t>
  </si>
  <si>
    <t>Revenue from Continuing Ops:</t>
  </si>
  <si>
    <t>Less: Taxes, Excluding Effects of Interest</t>
  </si>
  <si>
    <t>Net Operating Profit After Taxes (NOPAT):</t>
  </si>
  <si>
    <t>Non-Cash Adjustments:</t>
  </si>
  <si>
    <t xml:space="preserve">Plus: Depreciation and Amortization </t>
  </si>
  <si>
    <t>% Revenue</t>
  </si>
  <si>
    <t>Plus/Less: Deferred Income Taxes:</t>
  </si>
  <si>
    <t xml:space="preserve">Change in Net Working Capital: </t>
  </si>
  <si>
    <t xml:space="preserve">% Revenue </t>
  </si>
  <si>
    <t>Less: Capital Expenditures:</t>
  </si>
  <si>
    <t xml:space="preserve">Unlevered Free Cash Flow: </t>
  </si>
  <si>
    <t xml:space="preserve">Discount Period </t>
  </si>
  <si>
    <t>PV of Unlevered FCF</t>
  </si>
  <si>
    <t xml:space="preserve">PV of Terminal Value </t>
  </si>
  <si>
    <t>Plus: Cash</t>
  </si>
  <si>
    <t>Less: Debt</t>
  </si>
  <si>
    <t xml:space="preserve">Equity Value </t>
  </si>
  <si>
    <t>Implied Share Price From PV of FCF:</t>
  </si>
  <si>
    <t>Sum PV FCF</t>
  </si>
  <si>
    <t xml:space="preserve">Terminal Value </t>
  </si>
  <si>
    <t>Enterprise Value</t>
  </si>
  <si>
    <t xml:space="preserve">Implied Share Price    </t>
  </si>
  <si>
    <t>Long Term Debt/Total Assets</t>
  </si>
  <si>
    <t>Other Assets % Revenue</t>
  </si>
  <si>
    <t>Deferred Income Tax Assets % Revenue</t>
  </si>
  <si>
    <t>Other current assets % Revenue</t>
  </si>
  <si>
    <t xml:space="preserve">Short Term Debt % Long Term Debt </t>
  </si>
  <si>
    <t xml:space="preserve">Product Breakdown/Sales Volume Analysis </t>
  </si>
  <si>
    <t>Total stockholders' equity before TS</t>
  </si>
  <si>
    <t>Marlboro</t>
  </si>
  <si>
    <t>L&amp;M</t>
  </si>
  <si>
    <t>Chesterfield</t>
  </si>
  <si>
    <t>Parliament</t>
  </si>
  <si>
    <t>Philip Morris</t>
  </si>
  <si>
    <t>Others</t>
  </si>
  <si>
    <t>Products Units Sold (mm)</t>
  </si>
  <si>
    <t>Total Cigarettes</t>
  </si>
  <si>
    <t>2023 Q1</t>
  </si>
  <si>
    <t>Total Cigarettes and Heated Tabacco Units</t>
  </si>
  <si>
    <t xml:space="preserve">% y/y growth </t>
  </si>
  <si>
    <t>WACC Model Inputs</t>
  </si>
  <si>
    <t xml:space="preserve">Discounted Cash Flow Model </t>
  </si>
  <si>
    <t xml:space="preserve">% growth </t>
  </si>
  <si>
    <t>Cigarette</t>
  </si>
  <si>
    <t>Heated Tabacco Unit</t>
  </si>
  <si>
    <t>Total Market (Billion Units)</t>
  </si>
  <si>
    <t>Total Market Share</t>
  </si>
  <si>
    <t>Lark</t>
  </si>
  <si>
    <t>Bond Street</t>
  </si>
  <si>
    <t>Market Share (excl. China and USA)</t>
  </si>
  <si>
    <t>Samponerna A</t>
  </si>
  <si>
    <t>Dji Sam Soe</t>
  </si>
  <si>
    <t>Fortune</t>
  </si>
  <si>
    <t>Next</t>
  </si>
  <si>
    <t>Swedish Match Oral Products</t>
  </si>
  <si>
    <t>United States</t>
  </si>
  <si>
    <t>Scandanavia</t>
  </si>
  <si>
    <t>Nicotine pouches</t>
  </si>
  <si>
    <t>Chew bags and tabacco bits</t>
  </si>
  <si>
    <t>Total United States</t>
  </si>
  <si>
    <t>Total Scandanavia</t>
  </si>
  <si>
    <t>Other Markets</t>
  </si>
  <si>
    <t xml:space="preserve">Snus, pouches, chew, etc. </t>
  </si>
  <si>
    <t>Total Other Markets</t>
  </si>
  <si>
    <t>Chewing tobacco (0000's lbs)</t>
  </si>
  <si>
    <t>Moist snuff, million cans</t>
  </si>
  <si>
    <t>Nicotine Pouches, million cans</t>
  </si>
  <si>
    <t>Lights</t>
  </si>
  <si>
    <t>Cigarettes, million sticks</t>
  </si>
  <si>
    <t>HTU's, mm units</t>
  </si>
  <si>
    <t>Nicotine Pouches, mm cans</t>
  </si>
  <si>
    <t>Snus, mm cans</t>
  </si>
  <si>
    <t>Moist Snuff, mm cans</t>
  </si>
  <si>
    <t>Other, mm cans</t>
  </si>
  <si>
    <t>Cigars, mm units</t>
  </si>
  <si>
    <t xml:space="preserve">Smokefree </t>
  </si>
  <si>
    <t>Tabacco Products</t>
  </si>
  <si>
    <t>Total Sales</t>
  </si>
  <si>
    <t>Swedish Match Historicals:</t>
  </si>
  <si>
    <t>Smokefree 10-yr CAGR</t>
  </si>
  <si>
    <t>Tabacco 10-yr CAGR</t>
  </si>
  <si>
    <t>Lights 10-yr CAGR</t>
  </si>
  <si>
    <t>Total Sales 10-yr CAGR</t>
  </si>
  <si>
    <t xml:space="preserve">Philip Morris Historicals: </t>
  </si>
  <si>
    <t>Cigarettes 10-yr CAGR:</t>
  </si>
  <si>
    <t xml:space="preserve">Combustible Tobacco </t>
  </si>
  <si>
    <t xml:space="preserve">Smoke free &amp; Reduced Risk </t>
  </si>
  <si>
    <t>Wellness &amp; Healthcare</t>
  </si>
  <si>
    <t>SF &amp; RR 10-yr CAGR:</t>
  </si>
  <si>
    <t>Swedish Match Portfolio Sales (SKU)</t>
  </si>
  <si>
    <t>Philip Morris Portfolio Sales (USD)</t>
  </si>
  <si>
    <t xml:space="preserve">Average Krona/USD FX Rate </t>
  </si>
  <si>
    <t>Total Sales (SKU)</t>
  </si>
  <si>
    <t>Total Sales USD</t>
  </si>
  <si>
    <t>Avg FX Rate</t>
  </si>
  <si>
    <t>TGR</t>
  </si>
  <si>
    <t>WACC</t>
  </si>
  <si>
    <t xml:space="preserve">Net Revenue per Cigarette Stick </t>
  </si>
  <si>
    <t>HTU Market Share</t>
  </si>
  <si>
    <t>Cigarette Market Share</t>
  </si>
  <si>
    <t>Total Market</t>
  </si>
  <si>
    <t>(+/-) bps</t>
  </si>
  <si>
    <t>Total PM Market Share</t>
  </si>
  <si>
    <t>Swedish Match Product Market Share</t>
  </si>
  <si>
    <t>Nicotine Pouches</t>
  </si>
  <si>
    <t>Moist Snuff</t>
  </si>
  <si>
    <t xml:space="preserve">Chewing Tobacco </t>
  </si>
  <si>
    <t>US</t>
  </si>
  <si>
    <t>Philip Morris Product Market Share</t>
  </si>
  <si>
    <t xml:space="preserve">Total Combustable Revenue </t>
  </si>
  <si>
    <t>Total Revenue</t>
  </si>
  <si>
    <t>Total Smoke-free Revenue</t>
  </si>
  <si>
    <t>Net Revenue Per Smoke-free product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</si>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</sst>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###&quot;E&quot;"/>
    <numFmt numFmtId="167" formatCode="0.000"/>
    <numFmt numFmtId="168" formatCode="0.000%"/>
    <numFmt numFmtId="169" formatCode="####&quot;A&quot;"/>
    <numFmt numFmtId="172" formatCode="0.0"/>
    <numFmt numFmtId="173" formatCode="_(* #,##0.0_);_(* \(#,##0.0\);_(* &quot;-&quot;?_);_(@_)"/>
    <numFmt numFmtId="176" formatCode="_(&quot;$&quot;* #,##0_);_(&quot;$&quot;* \(#,##0\);_(&quot;$&quot;* &quot;-&quot;??_);_(@_)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" fontId="0" fillId="0" borderId="0" xfId="0" applyNumberFormat="1"/>
    <xf numFmtId="0" fontId="2" fillId="0" borderId="0" xfId="0" applyFont="1" applyAlignment="1">
      <alignment horizontal="left"/>
    </xf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164" fontId="0" fillId="0" borderId="1" xfId="1" applyNumberFormat="1" applyFont="1" applyBorder="1"/>
    <xf numFmtId="0" fontId="0" fillId="0" borderId="0" xfId="0" applyAlignment="1">
      <alignment horizontal="left" indent="1"/>
    </xf>
    <xf numFmtId="9" fontId="0" fillId="0" borderId="0" xfId="0" applyNumberFormat="1"/>
    <xf numFmtId="10" fontId="0" fillId="0" borderId="0" xfId="0" applyNumberFormat="1"/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4" fontId="0" fillId="0" borderId="2" xfId="1" applyNumberFormat="1" applyFont="1" applyBorder="1"/>
    <xf numFmtId="165" fontId="0" fillId="0" borderId="0" xfId="0" applyNumberFormat="1"/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/>
    <xf numFmtId="164" fontId="2" fillId="0" borderId="0" xfId="1" applyNumberFormat="1" applyFont="1"/>
    <xf numFmtId="164" fontId="2" fillId="0" borderId="2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0" fillId="0" borderId="7" xfId="0" applyBorder="1"/>
    <xf numFmtId="164" fontId="0" fillId="0" borderId="0" xfId="1" applyNumberFormat="1" applyFont="1" applyBorder="1"/>
    <xf numFmtId="10" fontId="0" fillId="0" borderId="0" xfId="1" applyNumberFormat="1" applyFont="1" applyBorder="1"/>
    <xf numFmtId="0" fontId="0" fillId="0" borderId="9" xfId="0" applyBorder="1"/>
    <xf numFmtId="10" fontId="0" fillId="0" borderId="1" xfId="0" applyNumberFormat="1" applyBorder="1"/>
    <xf numFmtId="10" fontId="0" fillId="0" borderId="10" xfId="0" applyNumberFormat="1" applyBorder="1"/>
    <xf numFmtId="41" fontId="0" fillId="0" borderId="0" xfId="0" applyNumberFormat="1"/>
    <xf numFmtId="41" fontId="0" fillId="0" borderId="0" xfId="0" applyNumberFormat="1" applyAlignment="1">
      <alignment horizontal="right"/>
    </xf>
    <xf numFmtId="0" fontId="4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41" fontId="0" fillId="0" borderId="2" xfId="0" applyNumberFormat="1" applyBorder="1"/>
    <xf numFmtId="164" fontId="2" fillId="0" borderId="0" xfId="1" applyNumberFormat="1" applyFont="1" applyBorder="1"/>
    <xf numFmtId="9" fontId="1" fillId="0" borderId="0" xfId="1" applyNumberFormat="1" applyFont="1" applyBorder="1"/>
    <xf numFmtId="165" fontId="1" fillId="0" borderId="0" xfId="1" applyNumberFormat="1" applyFont="1" applyBorder="1"/>
    <xf numFmtId="10" fontId="1" fillId="0" borderId="0" xfId="1" applyNumberFormat="1" applyFont="1" applyBorder="1"/>
    <xf numFmtId="164" fontId="1" fillId="0" borderId="0" xfId="1" applyNumberFormat="1" applyFont="1" applyBorder="1"/>
    <xf numFmtId="164" fontId="1" fillId="0" borderId="0" xfId="1" applyNumberFormat="1" applyFont="1" applyAlignment="1">
      <alignment horizontal="right"/>
    </xf>
    <xf numFmtId="164" fontId="1" fillId="0" borderId="0" xfId="1" applyNumberFormat="1" applyFont="1"/>
    <xf numFmtId="0" fontId="0" fillId="0" borderId="4" xfId="0" applyBorder="1" applyAlignment="1">
      <alignment horizontal="left"/>
    </xf>
    <xf numFmtId="164" fontId="2" fillId="0" borderId="5" xfId="1" applyNumberFormat="1" applyFont="1" applyBorder="1"/>
    <xf numFmtId="10" fontId="1" fillId="0" borderId="5" xfId="1" applyNumberFormat="1" applyFont="1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10" fontId="1" fillId="0" borderId="1" xfId="1" applyNumberFormat="1" applyFont="1" applyBorder="1"/>
    <xf numFmtId="0" fontId="2" fillId="0" borderId="0" xfId="0" applyFont="1" applyAlignment="1">
      <alignment horizontal="center"/>
    </xf>
    <xf numFmtId="166" fontId="5" fillId="0" borderId="2" xfId="0" applyNumberFormat="1" applyFont="1" applyBorder="1"/>
    <xf numFmtId="164" fontId="0" fillId="0" borderId="0" xfId="0" applyNumberFormat="1"/>
    <xf numFmtId="43" fontId="0" fillId="0" borderId="0" xfId="0" applyNumberFormat="1"/>
    <xf numFmtId="164" fontId="6" fillId="0" borderId="0" xfId="1" applyNumberFormat="1" applyFont="1"/>
    <xf numFmtId="164" fontId="6" fillId="0" borderId="1" xfId="1" applyNumberFormat="1" applyFont="1" applyBorder="1"/>
    <xf numFmtId="164" fontId="6" fillId="0" borderId="2" xfId="1" applyNumberFormat="1" applyFont="1" applyBorder="1"/>
    <xf numFmtId="0" fontId="0" fillId="0" borderId="5" xfId="0" applyBorder="1"/>
    <xf numFmtId="9" fontId="0" fillId="0" borderId="5" xfId="0" applyNumberFormat="1" applyBorder="1"/>
    <xf numFmtId="9" fontId="0" fillId="0" borderId="6" xfId="0" applyNumberFormat="1" applyBorder="1"/>
    <xf numFmtId="165" fontId="0" fillId="0" borderId="8" xfId="0" applyNumberFormat="1" applyBorder="1"/>
    <xf numFmtId="10" fontId="0" fillId="0" borderId="8" xfId="0" applyNumberFormat="1" applyBorder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11" xfId="0" applyBorder="1"/>
    <xf numFmtId="164" fontId="0" fillId="0" borderId="5" xfId="0" applyNumberFormat="1" applyBorder="1"/>
    <xf numFmtId="0" fontId="2" fillId="0" borderId="5" xfId="0" applyFont="1" applyBorder="1"/>
    <xf numFmtId="164" fontId="6" fillId="0" borderId="5" xfId="0" applyNumberFormat="1" applyFont="1" applyBorder="1"/>
    <xf numFmtId="164" fontId="6" fillId="0" borderId="0" xfId="0" applyNumberFormat="1" applyFont="1"/>
    <xf numFmtId="164" fontId="5" fillId="0" borderId="5" xfId="0" applyNumberFormat="1" applyFont="1" applyBorder="1"/>
    <xf numFmtId="164" fontId="2" fillId="0" borderId="5" xfId="0" applyNumberFormat="1" applyFont="1" applyBorder="1"/>
    <xf numFmtId="167" fontId="0" fillId="0" borderId="0" xfId="0" applyNumberFormat="1"/>
    <xf numFmtId="2" fontId="0" fillId="0" borderId="0" xfId="0" applyNumberFormat="1"/>
    <xf numFmtId="10" fontId="2" fillId="0" borderId="0" xfId="0" applyNumberFormat="1" applyFont="1"/>
    <xf numFmtId="10" fontId="6" fillId="0" borderId="0" xfId="0" applyNumberFormat="1" applyFont="1"/>
    <xf numFmtId="0" fontId="7" fillId="0" borderId="0" xfId="0" applyFont="1"/>
    <xf numFmtId="10" fontId="0" fillId="0" borderId="6" xfId="0" applyNumberFormat="1" applyBorder="1"/>
    <xf numFmtId="0" fontId="0" fillId="2" borderId="0" xfId="0" applyFill="1"/>
    <xf numFmtId="10" fontId="2" fillId="2" borderId="0" xfId="0" applyNumberFormat="1" applyFont="1" applyFill="1"/>
    <xf numFmtId="0" fontId="2" fillId="2" borderId="0" xfId="0" applyFont="1" applyFill="1"/>
    <xf numFmtId="0" fontId="2" fillId="0" borderId="2" xfId="0" applyFont="1" applyBorder="1"/>
    <xf numFmtId="0" fontId="2" fillId="3" borderId="0" xfId="0" applyFont="1" applyFill="1"/>
    <xf numFmtId="0" fontId="0" fillId="3" borderId="0" xfId="0" applyFill="1"/>
    <xf numFmtId="0" fontId="2" fillId="3" borderId="3" xfId="0" applyFont="1" applyFill="1" applyBorder="1"/>
    <xf numFmtId="0" fontId="0" fillId="3" borderId="3" xfId="0" applyFill="1" applyBorder="1"/>
    <xf numFmtId="9" fontId="7" fillId="0" borderId="0" xfId="0" applyNumberFormat="1" applyFont="1"/>
    <xf numFmtId="41" fontId="6" fillId="0" borderId="0" xfId="0" applyNumberFormat="1" applyFont="1"/>
    <xf numFmtId="10" fontId="0" fillId="0" borderId="0" xfId="1" applyNumberFormat="1" applyFont="1" applyFill="1" applyBorder="1"/>
    <xf numFmtId="10" fontId="0" fillId="0" borderId="8" xfId="1" applyNumberFormat="1" applyFont="1" applyFill="1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10" fontId="6" fillId="0" borderId="0" xfId="1" applyNumberFormat="1" applyFont="1" applyBorder="1"/>
    <xf numFmtId="10" fontId="6" fillId="0" borderId="8" xfId="1" applyNumberFormat="1" applyFont="1" applyBorder="1"/>
    <xf numFmtId="10" fontId="6" fillId="0" borderId="1" xfId="1" applyNumberFormat="1" applyFont="1" applyBorder="1"/>
    <xf numFmtId="10" fontId="6" fillId="0" borderId="10" xfId="1" applyNumberFormat="1" applyFont="1" applyBorder="1"/>
    <xf numFmtId="0" fontId="7" fillId="0" borderId="0" xfId="0" applyFont="1" applyAlignment="1">
      <alignment horizontal="left" indent="1"/>
    </xf>
    <xf numFmtId="41" fontId="2" fillId="0" borderId="0" xfId="0" applyNumberFormat="1" applyFont="1"/>
    <xf numFmtId="3" fontId="2" fillId="0" borderId="0" xfId="0" applyNumberFormat="1" applyFont="1"/>
    <xf numFmtId="41" fontId="0" fillId="0" borderId="1" xfId="0" applyNumberFormat="1" applyBorder="1"/>
    <xf numFmtId="3" fontId="0" fillId="0" borderId="1" xfId="0" applyNumberFormat="1" applyBorder="1"/>
    <xf numFmtId="41" fontId="2" fillId="0" borderId="2" xfId="0" applyNumberFormat="1" applyFont="1" applyBorder="1"/>
    <xf numFmtId="169" fontId="3" fillId="0" borderId="2" xfId="0" applyNumberFormat="1" applyFont="1" applyBorder="1" applyAlignment="1">
      <alignment horizontal="right" vertical="top" wrapText="1"/>
    </xf>
    <xf numFmtId="166" fontId="5" fillId="0" borderId="0" xfId="0" applyNumberFormat="1" applyFont="1"/>
    <xf numFmtId="0" fontId="3" fillId="0" borderId="2" xfId="0" applyFont="1" applyBorder="1" applyAlignment="1">
      <alignment horizontal="right" vertical="top" wrapText="1"/>
    </xf>
    <xf numFmtId="9" fontId="2" fillId="0" borderId="0" xfId="0" applyNumberFormat="1" applyFont="1"/>
    <xf numFmtId="169" fontId="3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left" indent="2"/>
    </xf>
    <xf numFmtId="165" fontId="0" fillId="0" borderId="0" xfId="2" applyNumberFormat="1" applyFont="1"/>
    <xf numFmtId="41" fontId="7" fillId="0" borderId="0" xfId="0" applyNumberFormat="1" applyFont="1"/>
    <xf numFmtId="167" fontId="7" fillId="0" borderId="0" xfId="0" applyNumberFormat="1" applyFont="1"/>
    <xf numFmtId="168" fontId="2" fillId="0" borderId="0" xfId="0" applyNumberFormat="1" applyFont="1"/>
    <xf numFmtId="166" fontId="5" fillId="0" borderId="2" xfId="0" applyNumberFormat="1" applyFont="1" applyBorder="1" applyAlignment="1">
      <alignment horizontal="right" vertical="top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0" applyNumberFormat="1" applyFont="1"/>
    <xf numFmtId="44" fontId="2" fillId="0" borderId="0" xfId="0" applyNumberFormat="1" applyFont="1"/>
    <xf numFmtId="44" fontId="0" fillId="0" borderId="0" xfId="0" applyNumberFormat="1"/>
    <xf numFmtId="165" fontId="7" fillId="4" borderId="0" xfId="0" applyNumberFormat="1" applyFont="1" applyFill="1"/>
    <xf numFmtId="172" fontId="0" fillId="0" borderId="0" xfId="0" applyNumberFormat="1"/>
    <xf numFmtId="165" fontId="2" fillId="0" borderId="0" xfId="0" applyNumberFormat="1" applyFont="1"/>
    <xf numFmtId="2" fontId="7" fillId="4" borderId="0" xfId="0" applyNumberFormat="1" applyFont="1" applyFill="1"/>
    <xf numFmtId="172" fontId="7" fillId="4" borderId="0" xfId="0" applyNumberFormat="1" applyFont="1" applyFill="1"/>
    <xf numFmtId="0" fontId="7" fillId="4" borderId="3" xfId="0" applyFont="1" applyFill="1" applyBorder="1"/>
    <xf numFmtId="172" fontId="7" fillId="4" borderId="3" xfId="0" applyNumberFormat="1" applyFont="1" applyFill="1" applyBorder="1"/>
    <xf numFmtId="0" fontId="0" fillId="0" borderId="3" xfId="0" applyBorder="1"/>
    <xf numFmtId="165" fontId="0" fillId="4" borderId="0" xfId="0" applyNumberFormat="1" applyFill="1"/>
    <xf numFmtId="0" fontId="0" fillId="0" borderId="0" xfId="0" applyFont="1"/>
    <xf numFmtId="3" fontId="2" fillId="0" borderId="0" xfId="0" applyNumberFormat="1" applyFont="1" applyFill="1" applyBorder="1"/>
    <xf numFmtId="165" fontId="0" fillId="0" borderId="0" xfId="0" applyNumberFormat="1" applyFill="1" applyBorder="1"/>
    <xf numFmtId="172" fontId="7" fillId="0" borderId="0" xfId="0" applyNumberFormat="1" applyFont="1" applyFill="1" applyBorder="1"/>
    <xf numFmtId="165" fontId="2" fillId="0" borderId="0" xfId="0" applyNumberFormat="1" applyFont="1" applyFill="1" applyBorder="1"/>
    <xf numFmtId="173" fontId="0" fillId="0" borderId="0" xfId="0" applyNumberFormat="1"/>
    <xf numFmtId="17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564E-DD3E-4F46-A788-5F305C14AA03}">
  <dimension ref="B3:E11"/>
  <sheetViews>
    <sheetView workbookViewId="0">
      <selection activeCell="A15" sqref="A15"/>
    </sheetView>
  </sheetViews>
  <sheetFormatPr defaultRowHeight="12.75" x14ac:dyDescent="0.2"/>
  <cols>
    <col min="2" max="2" width="11" bestFit="1" customWidth="1"/>
  </cols>
  <sheetData>
    <row r="3" spans="2:5" x14ac:dyDescent="0.2">
      <c r="B3" s="1" t="s">
        <v>0</v>
      </c>
      <c r="E3" s="1"/>
    </row>
    <row r="5" spans="2:5" x14ac:dyDescent="0.2">
      <c r="B5" s="1" t="s">
        <v>8</v>
      </c>
      <c r="C5" s="3" t="s">
        <v>1</v>
      </c>
    </row>
    <row r="6" spans="2:5" x14ac:dyDescent="0.2">
      <c r="B6" s="1" t="s">
        <v>2</v>
      </c>
      <c r="C6">
        <v>95.4</v>
      </c>
    </row>
    <row r="7" spans="2:5" x14ac:dyDescent="0.2">
      <c r="B7" s="1" t="s">
        <v>3</v>
      </c>
      <c r="C7" s="2">
        <v>1550.2328950000001</v>
      </c>
    </row>
    <row r="8" spans="2:5" x14ac:dyDescent="0.2">
      <c r="B8" s="1" t="s">
        <v>4</v>
      </c>
      <c r="C8" s="2">
        <f>C7*C6</f>
        <v>147892.21818300002</v>
      </c>
    </row>
    <row r="9" spans="2:5" x14ac:dyDescent="0.2">
      <c r="B9" s="1" t="s">
        <v>6</v>
      </c>
      <c r="C9" s="2">
        <v>3207</v>
      </c>
    </row>
    <row r="10" spans="2:5" x14ac:dyDescent="0.2">
      <c r="B10" s="1" t="s">
        <v>7</v>
      </c>
      <c r="C10" s="2">
        <f>5637+2611+34875</f>
        <v>43123</v>
      </c>
    </row>
    <row r="11" spans="2:5" x14ac:dyDescent="0.2">
      <c r="B11" s="1" t="s">
        <v>5</v>
      </c>
      <c r="C11" s="2">
        <f>C8-C9+C10</f>
        <v>187808.21818300002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ED53-4F32-43B3-8311-648CE944B66D}">
  <dimension ref="B3:T116"/>
  <sheetViews>
    <sheetView showGridLines="0" zoomScale="90" zoomScaleNormal="90" workbookViewId="0">
      <selection activeCell="B1" sqref="B1"/>
    </sheetView>
  </sheetViews>
  <sheetFormatPr defaultRowHeight="12.75" x14ac:dyDescent="0.2"/>
  <cols>
    <col min="1" max="1" width="2.7109375" customWidth="1"/>
    <col min="2" max="2" width="40.5703125" bestFit="1" customWidth="1"/>
    <col min="3" max="4" width="13" bestFit="1" customWidth="1"/>
    <col min="5" max="5" width="11.85546875" customWidth="1"/>
    <col min="6" max="10" width="13" bestFit="1" customWidth="1"/>
    <col min="11" max="12" width="12.85546875" bestFit="1" customWidth="1"/>
    <col min="13" max="13" width="14.5703125" bestFit="1" customWidth="1"/>
    <col min="14" max="20" width="11.85546875" bestFit="1" customWidth="1"/>
  </cols>
  <sheetData>
    <row r="3" spans="2:20" x14ac:dyDescent="0.2">
      <c r="C3" s="84" t="s">
        <v>226</v>
      </c>
      <c r="D3" s="85"/>
      <c r="E3" s="85"/>
      <c r="F3" s="85"/>
      <c r="H3" s="84" t="s">
        <v>231</v>
      </c>
      <c r="I3" s="85"/>
      <c r="J3" s="85"/>
      <c r="K3" s="85"/>
    </row>
    <row r="4" spans="2:20" x14ac:dyDescent="0.2">
      <c r="C4" t="s">
        <v>227</v>
      </c>
      <c r="F4" s="21">
        <f>+_xlfn.RRI(9,C58,L58)</f>
        <v>0.13716762638383506</v>
      </c>
      <c r="H4" t="s">
        <v>232</v>
      </c>
      <c r="K4" s="110">
        <f>+_xlfn.RRI(9,C73,L73)</f>
        <v>-4.0231299071516791E-2</v>
      </c>
    </row>
    <row r="5" spans="2:20" x14ac:dyDescent="0.2">
      <c r="C5" s="15" t="s">
        <v>228</v>
      </c>
      <c r="D5" s="14"/>
      <c r="E5" s="15"/>
      <c r="F5" s="110">
        <f>+_xlfn.RRI(9,C60,L60)</f>
        <v>8.0176699368712523E-2</v>
      </c>
      <c r="H5" t="s">
        <v>236</v>
      </c>
      <c r="K5" s="110">
        <f>+_xlfn.RRI(5,G75,L75)</f>
        <v>0.21198434319945636</v>
      </c>
    </row>
    <row r="6" spans="2:20" x14ac:dyDescent="0.2">
      <c r="C6" s="14" t="s">
        <v>229</v>
      </c>
      <c r="D6" s="14"/>
      <c r="E6" s="14"/>
      <c r="F6" s="110">
        <f>+_xlfn.RRI(9,C62,L62)</f>
        <v>6.580840484470718E-3</v>
      </c>
    </row>
    <row r="7" spans="2:20" x14ac:dyDescent="0.2">
      <c r="C7" t="s">
        <v>230</v>
      </c>
      <c r="F7" s="110">
        <f>+_xlfn.RRI(9,C65,L65)</f>
        <v>6.60058417586602E-2</v>
      </c>
    </row>
    <row r="8" spans="2:20" x14ac:dyDescent="0.2">
      <c r="C8" t="s">
        <v>242</v>
      </c>
      <c r="F8" s="74">
        <f>+AVERAGE(G68:L68)</f>
        <v>9.1608333333333345</v>
      </c>
    </row>
    <row r="13" spans="2:20" x14ac:dyDescent="0.2">
      <c r="B13" s="1" t="s">
        <v>256</v>
      </c>
      <c r="L13" s="21"/>
    </row>
    <row r="14" spans="2:20" x14ac:dyDescent="0.2">
      <c r="B14" s="1" t="s">
        <v>248</v>
      </c>
      <c r="C14" s="100">
        <f>C42/C16</f>
        <v>3109893.9929328626</v>
      </c>
      <c r="D14" s="100">
        <f>D42/D16</f>
        <v>2992846.153846154</v>
      </c>
      <c r="E14" s="100">
        <f>E42/E16</f>
        <v>2962482.5174825178</v>
      </c>
      <c r="F14" s="100">
        <v>2878400</v>
      </c>
      <c r="G14" s="100">
        <v>2800000</v>
      </c>
      <c r="H14" s="100">
        <v>2757700</v>
      </c>
      <c r="I14" s="100">
        <v>2703600</v>
      </c>
      <c r="J14" s="100">
        <v>2561000</v>
      </c>
      <c r="K14" s="100">
        <v>2620000</v>
      </c>
      <c r="L14" s="100">
        <v>2626000</v>
      </c>
      <c r="M14" s="100">
        <f>L14*(1+M15)</f>
        <v>2626000</v>
      </c>
      <c r="N14" s="100">
        <f t="shared" ref="N14:S14" si="0">M14*(1+N15)</f>
        <v>2626000</v>
      </c>
      <c r="O14" s="100">
        <f t="shared" si="0"/>
        <v>2626000</v>
      </c>
      <c r="P14" s="100">
        <f t="shared" si="0"/>
        <v>2626000</v>
      </c>
      <c r="Q14" s="100">
        <f t="shared" si="0"/>
        <v>2626000</v>
      </c>
      <c r="R14" s="100">
        <f t="shared" si="0"/>
        <v>2626000</v>
      </c>
      <c r="S14" s="100">
        <f t="shared" si="0"/>
        <v>2626000</v>
      </c>
      <c r="T14" s="133"/>
    </row>
    <row r="15" spans="2:20" x14ac:dyDescent="0.2">
      <c r="B15" s="13" t="s">
        <v>190</v>
      </c>
      <c r="D15" s="123">
        <f>D14/C14-1</f>
        <v>-3.7637244019473437E-2</v>
      </c>
      <c r="E15" s="123">
        <f t="shared" ref="E15:L15" si="1">E14/D14-1</f>
        <v>-1.014540501008232E-2</v>
      </c>
      <c r="F15" s="123">
        <f t="shared" si="1"/>
        <v>-2.8382451874845227E-2</v>
      </c>
      <c r="G15" s="123">
        <f t="shared" si="1"/>
        <v>-2.7237354085603127E-2</v>
      </c>
      <c r="H15" s="123">
        <f t="shared" si="1"/>
        <v>-1.5107142857142875E-2</v>
      </c>
      <c r="I15" s="123">
        <f t="shared" si="1"/>
        <v>-1.9617797439895557E-2</v>
      </c>
      <c r="J15" s="123">
        <f t="shared" si="1"/>
        <v>-5.2744488829708502E-2</v>
      </c>
      <c r="K15" s="123">
        <f t="shared" si="1"/>
        <v>2.3037875829754029E-2</v>
      </c>
      <c r="L15" s="123">
        <f t="shared" si="1"/>
        <v>2.2900763358779663E-3</v>
      </c>
      <c r="M15" s="131"/>
      <c r="N15" s="131"/>
      <c r="O15" s="131"/>
      <c r="P15" s="131"/>
      <c r="Q15" s="131"/>
      <c r="R15" s="131"/>
      <c r="S15" s="131"/>
      <c r="T15" s="134"/>
    </row>
    <row r="16" spans="2:20" x14ac:dyDescent="0.2">
      <c r="B16" t="s">
        <v>247</v>
      </c>
      <c r="C16" s="15">
        <v>0.28299999999999997</v>
      </c>
      <c r="D16" s="15">
        <v>0.28599999999999998</v>
      </c>
      <c r="E16" s="15">
        <v>0.28599999999999998</v>
      </c>
      <c r="F16" s="21">
        <f>F42/F14</f>
        <v>0.2824298221234019</v>
      </c>
      <c r="G16" s="21">
        <f>G42/G14</f>
        <v>0.27208428571428572</v>
      </c>
      <c r="H16" s="21">
        <f t="shared" ref="H16:J16" si="2">H42/H14</f>
        <v>0.26845378395039343</v>
      </c>
      <c r="I16" s="21">
        <f t="shared" si="2"/>
        <v>0.26139554667850273</v>
      </c>
      <c r="J16" s="21">
        <f>J42/J14</f>
        <v>0.24541897696212417</v>
      </c>
      <c r="K16" s="21">
        <f>K42/K14</f>
        <v>0.23850190839694657</v>
      </c>
      <c r="L16" s="21">
        <f>L42/L14</f>
        <v>0.23682711348057883</v>
      </c>
      <c r="M16" s="21">
        <f>L16+(M17/100)</f>
        <v>0.2316967927561987</v>
      </c>
      <c r="N16" s="21">
        <f t="shared" ref="N16:S16" si="3">M16+(N17/100)</f>
        <v>0.22656647203181857</v>
      </c>
      <c r="O16" s="21">
        <f t="shared" si="3"/>
        <v>0.22143615130743843</v>
      </c>
      <c r="P16" s="21">
        <f t="shared" si="3"/>
        <v>0.2163058305830583</v>
      </c>
      <c r="Q16" s="21">
        <f t="shared" si="3"/>
        <v>0.21117550985867817</v>
      </c>
      <c r="R16" s="21">
        <f t="shared" si="3"/>
        <v>0.20604518913429803</v>
      </c>
      <c r="S16" s="21">
        <f t="shared" si="3"/>
        <v>0.2009148684099179</v>
      </c>
      <c r="T16" s="134"/>
    </row>
    <row r="17" spans="2:20" x14ac:dyDescent="0.2">
      <c r="B17" s="13" t="s">
        <v>249</v>
      </c>
      <c r="D17" s="126">
        <f>(D16-C16)*100</f>
        <v>0.30000000000000027</v>
      </c>
      <c r="E17" s="126">
        <f t="shared" ref="E17:L17" si="4">(E16-D16)*100</f>
        <v>0</v>
      </c>
      <c r="F17" s="126">
        <f t="shared" si="4"/>
        <v>-0.35701778765980796</v>
      </c>
      <c r="G17" s="126">
        <f t="shared" si="4"/>
        <v>-1.0345536409116174</v>
      </c>
      <c r="H17" s="126">
        <f t="shared" si="4"/>
        <v>-0.3630501763892291</v>
      </c>
      <c r="I17" s="126">
        <f t="shared" si="4"/>
        <v>-0.70582372718906994</v>
      </c>
      <c r="J17" s="126">
        <f t="shared" si="4"/>
        <v>-1.5976569716378564</v>
      </c>
      <c r="K17" s="126">
        <f t="shared" si="4"/>
        <v>-0.69170685651775976</v>
      </c>
      <c r="L17" s="126">
        <f t="shared" si="4"/>
        <v>-0.16747949163677389</v>
      </c>
      <c r="M17" s="126">
        <f>AVERAGE(D17:L17)</f>
        <v>-0.51303207243801263</v>
      </c>
      <c r="N17" s="127">
        <f>$M$17</f>
        <v>-0.51303207243801263</v>
      </c>
      <c r="O17" s="127">
        <f t="shared" ref="O17:S17" si="5">$M$17</f>
        <v>-0.51303207243801263</v>
      </c>
      <c r="P17" s="127">
        <f t="shared" si="5"/>
        <v>-0.51303207243801263</v>
      </c>
      <c r="Q17" s="127">
        <f t="shared" si="5"/>
        <v>-0.51303207243801263</v>
      </c>
      <c r="R17" s="127">
        <f t="shared" si="5"/>
        <v>-0.51303207243801263</v>
      </c>
      <c r="S17" s="127">
        <f t="shared" si="5"/>
        <v>-0.51303207243801263</v>
      </c>
      <c r="T17" s="135"/>
    </row>
    <row r="18" spans="2:20" x14ac:dyDescent="0.2">
      <c r="B18" t="s">
        <v>246</v>
      </c>
      <c r="C18" s="21">
        <f t="shared" ref="C18:F18" si="6">C44/C14</f>
        <v>0</v>
      </c>
      <c r="D18" s="21">
        <f t="shared" si="6"/>
        <v>0</v>
      </c>
      <c r="E18" s="21">
        <f t="shared" si="6"/>
        <v>0</v>
      </c>
      <c r="F18" s="21">
        <f>F44/F14</f>
        <v>2.5687882156753754E-3</v>
      </c>
      <c r="G18" s="21">
        <f>G44/G14</f>
        <v>1.2937857142857143E-2</v>
      </c>
      <c r="H18" s="21">
        <f t="shared" ref="H18:J18" si="7">H44/H14</f>
        <v>1.5002357036660986E-2</v>
      </c>
      <c r="I18" s="21">
        <f t="shared" si="7"/>
        <v>2.2063914780292942E-2</v>
      </c>
      <c r="J18" s="21">
        <f>J44/J14</f>
        <v>2.9719250292854354E-2</v>
      </c>
      <c r="K18" s="21">
        <f>K44/K14</f>
        <v>3.6250381679389314E-2</v>
      </c>
      <c r="L18" s="21">
        <f>L44/L14</f>
        <v>4.1572353389185072E-2</v>
      </c>
      <c r="M18" s="21">
        <f>L18+(M19/100)</f>
        <v>4.751126101621151E-2</v>
      </c>
      <c r="N18" s="21">
        <f t="shared" ref="N18:S18" si="8">M18+(N19/100)</f>
        <v>5.3450168643237948E-2</v>
      </c>
      <c r="O18" s="21">
        <f t="shared" si="8"/>
        <v>5.9389076270264386E-2</v>
      </c>
      <c r="P18" s="21">
        <f t="shared" si="8"/>
        <v>6.5327983897290831E-2</v>
      </c>
      <c r="Q18" s="21">
        <f t="shared" si="8"/>
        <v>7.1266891524317269E-2</v>
      </c>
      <c r="R18" s="21">
        <f t="shared" si="8"/>
        <v>7.7205799151343707E-2</v>
      </c>
      <c r="S18" s="21">
        <f t="shared" si="8"/>
        <v>8.3144706778370145E-2</v>
      </c>
      <c r="T18" s="134"/>
    </row>
    <row r="19" spans="2:20" ht="13.5" thickBot="1" x14ac:dyDescent="0.25">
      <c r="B19" s="13" t="s">
        <v>249</v>
      </c>
      <c r="C19" s="130"/>
      <c r="D19" s="128"/>
      <c r="E19" s="128"/>
      <c r="F19" s="129">
        <f>(F18-E18)*100</f>
        <v>0.25687882156753755</v>
      </c>
      <c r="G19" s="129">
        <f t="shared" ref="G19:L19" si="9">(G18-F18)*100</f>
        <v>1.0369068927181768</v>
      </c>
      <c r="H19" s="129">
        <f t="shared" si="9"/>
        <v>0.20644998938038425</v>
      </c>
      <c r="I19" s="129">
        <f t="shared" si="9"/>
        <v>0.70615577436319554</v>
      </c>
      <c r="J19" s="129">
        <f t="shared" si="9"/>
        <v>0.76553355125614131</v>
      </c>
      <c r="K19" s="129">
        <f t="shared" si="9"/>
        <v>0.65311313865349596</v>
      </c>
      <c r="L19" s="129">
        <f t="shared" si="9"/>
        <v>0.53219717097957586</v>
      </c>
      <c r="M19" s="129">
        <f>AVERAGE(F19:L19)</f>
        <v>0.59389076270264396</v>
      </c>
      <c r="N19" s="129">
        <f>$M$19</f>
        <v>0.59389076270264396</v>
      </c>
      <c r="O19" s="129">
        <f t="shared" ref="O19:S19" si="10">$M$19</f>
        <v>0.59389076270264396</v>
      </c>
      <c r="P19" s="129">
        <f t="shared" si="10"/>
        <v>0.59389076270264396</v>
      </c>
      <c r="Q19" s="129">
        <f t="shared" si="10"/>
        <v>0.59389076270264396</v>
      </c>
      <c r="R19" s="129">
        <f t="shared" si="10"/>
        <v>0.59389076270264396</v>
      </c>
      <c r="S19" s="129">
        <f t="shared" si="10"/>
        <v>0.59389076270264396</v>
      </c>
      <c r="T19" s="135"/>
    </row>
    <row r="20" spans="2:20" x14ac:dyDescent="0.2">
      <c r="B20" s="1" t="s">
        <v>250</v>
      </c>
      <c r="D20" s="76">
        <f>D16+D18</f>
        <v>0.28599999999999998</v>
      </c>
      <c r="E20" s="76">
        <f t="shared" ref="E20:L20" si="11">E16+E18</f>
        <v>0.28599999999999998</v>
      </c>
      <c r="F20" s="76">
        <f t="shared" si="11"/>
        <v>0.28499861033907725</v>
      </c>
      <c r="G20" s="76">
        <f t="shared" si="11"/>
        <v>0.28502214285714289</v>
      </c>
      <c r="H20" s="76">
        <f t="shared" si="11"/>
        <v>0.28345614098705441</v>
      </c>
      <c r="I20" s="76">
        <f t="shared" si="11"/>
        <v>0.28345946145879569</v>
      </c>
      <c r="J20" s="76">
        <f t="shared" si="11"/>
        <v>0.2751382272549785</v>
      </c>
      <c r="K20" s="76">
        <f t="shared" si="11"/>
        <v>0.27475229007633589</v>
      </c>
      <c r="L20" s="76">
        <f t="shared" si="11"/>
        <v>0.27839946686976391</v>
      </c>
      <c r="M20" s="125">
        <f>M16+M18</f>
        <v>0.2792080537724102</v>
      </c>
      <c r="N20" s="125">
        <f t="shared" ref="N20:S20" si="12">N16+N18</f>
        <v>0.28001664067505649</v>
      </c>
      <c r="O20" s="125">
        <f t="shared" si="12"/>
        <v>0.28082522757770284</v>
      </c>
      <c r="P20" s="125">
        <f t="shared" si="12"/>
        <v>0.28163381448034913</v>
      </c>
      <c r="Q20" s="125">
        <f t="shared" si="12"/>
        <v>0.28244240138299542</v>
      </c>
      <c r="R20" s="125">
        <f t="shared" si="12"/>
        <v>0.28325098828564177</v>
      </c>
      <c r="S20" s="125">
        <f t="shared" si="12"/>
        <v>0.28405957518828806</v>
      </c>
      <c r="T20" s="136"/>
    </row>
    <row r="23" spans="2:20" x14ac:dyDescent="0.2">
      <c r="B23" s="1" t="s">
        <v>251</v>
      </c>
    </row>
    <row r="24" spans="2:20" x14ac:dyDescent="0.2">
      <c r="B24" s="1" t="s">
        <v>248</v>
      </c>
    </row>
    <row r="25" spans="2:20" x14ac:dyDescent="0.2">
      <c r="B25" s="1" t="s">
        <v>255</v>
      </c>
      <c r="M25">
        <f>M16*M14</f>
        <v>608435.77777777775</v>
      </c>
    </row>
    <row r="26" spans="2:20" x14ac:dyDescent="0.2">
      <c r="B26" s="132" t="s">
        <v>252</v>
      </c>
      <c r="J26" s="15">
        <v>0.748</v>
      </c>
      <c r="K26" s="15">
        <v>0.64200000000000002</v>
      </c>
    </row>
    <row r="27" spans="2:20" x14ac:dyDescent="0.2">
      <c r="B27" s="132" t="s">
        <v>253</v>
      </c>
      <c r="J27" s="15">
        <v>8.6999999999999994E-2</v>
      </c>
      <c r="K27" s="14">
        <v>0.09</v>
      </c>
      <c r="M27">
        <f>M25/L42-1</f>
        <v>-2.1662725390607984E-2</v>
      </c>
    </row>
    <row r="28" spans="2:20" x14ac:dyDescent="0.2">
      <c r="B28" s="132" t="s">
        <v>254</v>
      </c>
      <c r="J28" s="15">
        <v>0.40899999999999997</v>
      </c>
      <c r="K28" s="15">
        <v>0.40500000000000003</v>
      </c>
    </row>
    <row r="29" spans="2:20" x14ac:dyDescent="0.2">
      <c r="B29" s="1" t="s">
        <v>204</v>
      </c>
    </row>
    <row r="30" spans="2:20" x14ac:dyDescent="0.2">
      <c r="B30" s="132" t="s">
        <v>18</v>
      </c>
      <c r="J30" s="14">
        <v>0.6</v>
      </c>
      <c r="K30" s="15">
        <v>0.59399999999999997</v>
      </c>
    </row>
    <row r="31" spans="2:20" x14ac:dyDescent="0.2">
      <c r="B31" s="132" t="s">
        <v>252</v>
      </c>
      <c r="J31" s="14">
        <v>0.16</v>
      </c>
      <c r="K31" s="15">
        <v>0.152</v>
      </c>
    </row>
    <row r="37" spans="2:20" x14ac:dyDescent="0.2">
      <c r="C37" s="120"/>
      <c r="D37" s="120"/>
      <c r="E37" s="120"/>
      <c r="F37" s="120"/>
      <c r="G37" s="120"/>
      <c r="H37" s="120"/>
      <c r="I37" s="120"/>
      <c r="J37" s="120"/>
      <c r="K37" s="120"/>
      <c r="L37" s="120"/>
    </row>
    <row r="38" spans="2:20" x14ac:dyDescent="0.2">
      <c r="C38" s="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</row>
    <row r="39" spans="2:20" x14ac:dyDescent="0.2">
      <c r="C39" s="116" t="s">
        <v>144</v>
      </c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5" t="s">
        <v>88</v>
      </c>
      <c r="O39" s="115"/>
      <c r="P39" s="115"/>
      <c r="Q39" s="115"/>
      <c r="R39" s="115"/>
      <c r="S39" s="115"/>
      <c r="T39" s="115"/>
    </row>
    <row r="40" spans="2:20" ht="13.5" thickBot="1" x14ac:dyDescent="0.25">
      <c r="B40" s="8" t="s">
        <v>183</v>
      </c>
      <c r="C40" s="104">
        <v>2013</v>
      </c>
      <c r="D40" s="104">
        <f>C40+1</f>
        <v>2014</v>
      </c>
      <c r="E40" s="104">
        <f t="shared" ref="E40:L40" si="13">D40+1</f>
        <v>2015</v>
      </c>
      <c r="F40" s="104">
        <f t="shared" si="13"/>
        <v>2016</v>
      </c>
      <c r="G40" s="104">
        <f t="shared" si="13"/>
        <v>2017</v>
      </c>
      <c r="H40" s="104">
        <f t="shared" si="13"/>
        <v>2018</v>
      </c>
      <c r="I40" s="104">
        <f t="shared" si="13"/>
        <v>2019</v>
      </c>
      <c r="J40" s="104">
        <f t="shared" si="13"/>
        <v>2020</v>
      </c>
      <c r="K40" s="104">
        <f t="shared" si="13"/>
        <v>2021</v>
      </c>
      <c r="L40" s="104">
        <f t="shared" si="13"/>
        <v>2022</v>
      </c>
      <c r="M40" s="106" t="s">
        <v>185</v>
      </c>
      <c r="N40" s="114">
        <v>2023</v>
      </c>
      <c r="O40" s="53">
        <v>2024</v>
      </c>
      <c r="P40" s="53">
        <v>2025</v>
      </c>
      <c r="Q40" s="53">
        <v>2026</v>
      </c>
      <c r="R40" s="53">
        <v>2027</v>
      </c>
      <c r="S40" s="53">
        <v>2028</v>
      </c>
      <c r="T40" s="53">
        <v>2029</v>
      </c>
    </row>
    <row r="41" spans="2:20" x14ac:dyDescent="0.2">
      <c r="B41" s="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7"/>
      <c r="N41" s="17"/>
      <c r="O41" s="105"/>
    </row>
    <row r="42" spans="2:20" x14ac:dyDescent="0.2">
      <c r="B42" t="s">
        <v>216</v>
      </c>
      <c r="C42" s="34">
        <v>880100</v>
      </c>
      <c r="D42" s="34">
        <v>855954</v>
      </c>
      <c r="E42" s="34">
        <v>847270</v>
      </c>
      <c r="F42" s="34">
        <v>812946</v>
      </c>
      <c r="G42" s="34">
        <v>761836</v>
      </c>
      <c r="H42" s="34">
        <v>740315</v>
      </c>
      <c r="I42" s="34">
        <v>706709</v>
      </c>
      <c r="J42" s="34">
        <v>628518</v>
      </c>
      <c r="K42" s="2">
        <v>624875</v>
      </c>
      <c r="L42" s="2">
        <v>621908</v>
      </c>
      <c r="N42" s="2">
        <f>M14*M16</f>
        <v>608435.77777777775</v>
      </c>
      <c r="O42" s="2">
        <f t="shared" ref="O42:T42" si="14">N14*N16</f>
        <v>594963.5555555555</v>
      </c>
      <c r="P42" s="2">
        <f t="shared" si="14"/>
        <v>581491.33333333337</v>
      </c>
      <c r="Q42" s="2">
        <f t="shared" si="14"/>
        <v>568019.11111111112</v>
      </c>
      <c r="R42" s="2">
        <f t="shared" si="14"/>
        <v>554546.88888888888</v>
      </c>
      <c r="S42" s="2">
        <f t="shared" si="14"/>
        <v>541074.66666666663</v>
      </c>
      <c r="T42" s="2">
        <f t="shared" si="14"/>
        <v>527602.44444444438</v>
      </c>
    </row>
    <row r="43" spans="2:20" x14ac:dyDescent="0.2">
      <c r="B43" s="13" t="s">
        <v>187</v>
      </c>
      <c r="C43" s="34"/>
      <c r="D43" s="21">
        <f>D42/C42-1</f>
        <v>-2.743551869105787E-2</v>
      </c>
      <c r="E43" s="21">
        <f t="shared" ref="E43:L43" si="15">E42/D42-1</f>
        <v>-1.014540501008232E-2</v>
      </c>
      <c r="F43" s="21">
        <f t="shared" si="15"/>
        <v>-4.0511289199428702E-2</v>
      </c>
      <c r="G43" s="21">
        <f t="shared" si="15"/>
        <v>-6.2870104533388482E-2</v>
      </c>
      <c r="H43" s="21">
        <f t="shared" si="15"/>
        <v>-2.8248861959791927E-2</v>
      </c>
      <c r="I43" s="21">
        <f t="shared" si="15"/>
        <v>-4.5394190310881211E-2</v>
      </c>
      <c r="J43" s="21">
        <f t="shared" si="15"/>
        <v>-0.11064101348645627</v>
      </c>
      <c r="K43" s="21">
        <f t="shared" si="15"/>
        <v>-5.7961744930137282E-3</v>
      </c>
      <c r="L43" s="21">
        <f t="shared" si="15"/>
        <v>-4.7481496299259796E-3</v>
      </c>
    </row>
    <row r="44" spans="2:20" x14ac:dyDescent="0.2">
      <c r="B44" t="s">
        <v>217</v>
      </c>
      <c r="C44" s="34">
        <v>0</v>
      </c>
      <c r="D44" s="34">
        <v>0</v>
      </c>
      <c r="E44" s="34">
        <v>0</v>
      </c>
      <c r="F44" s="34">
        <v>7394</v>
      </c>
      <c r="G44" s="34">
        <v>36226</v>
      </c>
      <c r="H44" s="34">
        <v>41372</v>
      </c>
      <c r="I44" s="34">
        <v>59652</v>
      </c>
      <c r="J44" s="34">
        <v>76111</v>
      </c>
      <c r="K44" s="34">
        <v>94976</v>
      </c>
      <c r="L44" s="34">
        <v>109169</v>
      </c>
      <c r="N44" s="2">
        <f>M14*M18</f>
        <v>124764.57142857142</v>
      </c>
      <c r="O44" s="2">
        <f t="shared" ref="O44:T44" si="16">N14*N18</f>
        <v>140360.14285714284</v>
      </c>
      <c r="P44" s="2">
        <f t="shared" si="16"/>
        <v>155955.71428571429</v>
      </c>
      <c r="Q44" s="2">
        <f t="shared" si="16"/>
        <v>171551.28571428571</v>
      </c>
      <c r="R44" s="2">
        <f t="shared" si="16"/>
        <v>187146.85714285716</v>
      </c>
      <c r="S44" s="2">
        <f t="shared" si="16"/>
        <v>202742.42857142858</v>
      </c>
      <c r="T44" s="2">
        <f t="shared" si="16"/>
        <v>218338</v>
      </c>
    </row>
    <row r="45" spans="2:20" x14ac:dyDescent="0.2">
      <c r="B45" s="13" t="s">
        <v>187</v>
      </c>
      <c r="C45" s="34"/>
      <c r="D45" s="34"/>
      <c r="E45" s="111"/>
      <c r="F45" s="111"/>
      <c r="G45" s="88">
        <f>+G44/F44-1</f>
        <v>3.8993778739518525</v>
      </c>
      <c r="H45" s="88">
        <f t="shared" ref="H45:L45" si="17">+H44/G44-1</f>
        <v>0.14205266935350291</v>
      </c>
      <c r="I45" s="88">
        <f t="shared" si="17"/>
        <v>0.44184472590157586</v>
      </c>
      <c r="J45" s="88">
        <f t="shared" si="17"/>
        <v>0.27591698518071484</v>
      </c>
      <c r="K45" s="88">
        <f t="shared" si="17"/>
        <v>0.24786167571047546</v>
      </c>
      <c r="L45" s="88">
        <f t="shared" si="17"/>
        <v>0.14943775269541781</v>
      </c>
    </row>
    <row r="46" spans="2:20" x14ac:dyDescent="0.2">
      <c r="B46" t="s">
        <v>218</v>
      </c>
      <c r="C46" s="34">
        <v>0</v>
      </c>
      <c r="D46" s="34">
        <v>0</v>
      </c>
      <c r="E46" s="34">
        <v>0</v>
      </c>
      <c r="F46">
        <v>7.8</v>
      </c>
      <c r="G46">
        <v>13.2</v>
      </c>
      <c r="H46">
        <v>25.2</v>
      </c>
      <c r="I46">
        <v>62.8</v>
      </c>
      <c r="J46">
        <v>114.1</v>
      </c>
      <c r="K46">
        <v>173.9</v>
      </c>
      <c r="L46" s="2"/>
      <c r="M46">
        <v>80.8</v>
      </c>
    </row>
    <row r="47" spans="2:20" x14ac:dyDescent="0.2">
      <c r="B47" s="13" t="s">
        <v>187</v>
      </c>
      <c r="C47" s="34"/>
      <c r="D47" s="34"/>
      <c r="E47" s="111"/>
      <c r="F47" s="111"/>
      <c r="G47" s="88">
        <f>+G46/F46-1</f>
        <v>0.69230769230769229</v>
      </c>
      <c r="H47" s="88">
        <f t="shared" ref="H47:L47" si="18">+H46/G46-1</f>
        <v>0.90909090909090917</v>
      </c>
      <c r="I47" s="88">
        <f t="shared" si="18"/>
        <v>1.4920634920634921</v>
      </c>
      <c r="J47" s="88">
        <f t="shared" si="18"/>
        <v>0.81687898089171984</v>
      </c>
      <c r="K47" s="88">
        <f t="shared" si="18"/>
        <v>0.5241016652059598</v>
      </c>
      <c r="L47" s="88">
        <f t="shared" si="18"/>
        <v>-1</v>
      </c>
    </row>
    <row r="48" spans="2:20" ht="12.75" customHeight="1" x14ac:dyDescent="0.2">
      <c r="B48" t="s">
        <v>219</v>
      </c>
      <c r="C48" s="34">
        <v>0</v>
      </c>
      <c r="D48" s="34">
        <v>238.1</v>
      </c>
      <c r="E48" s="34">
        <v>237.9</v>
      </c>
      <c r="F48" s="34">
        <v>241.3</v>
      </c>
      <c r="G48" s="34">
        <v>247.6</v>
      </c>
      <c r="H48" s="34">
        <v>263.39999999999998</v>
      </c>
      <c r="I48" s="34">
        <v>268.89999999999998</v>
      </c>
      <c r="J48" s="34">
        <v>243.6</v>
      </c>
      <c r="K48" s="34">
        <v>253.3</v>
      </c>
      <c r="L48" s="34"/>
      <c r="M48">
        <v>52.5</v>
      </c>
    </row>
    <row r="49" spans="2:15" x14ac:dyDescent="0.2">
      <c r="B49" s="13" t="s">
        <v>187</v>
      </c>
      <c r="C49" s="34"/>
      <c r="D49" s="14"/>
      <c r="E49" s="88">
        <f t="shared" ref="E49:F49" si="19">+E48/D48-1</f>
        <v>-8.3998320033595864E-4</v>
      </c>
      <c r="F49" s="88">
        <f t="shared" si="19"/>
        <v>1.429171920975203E-2</v>
      </c>
      <c r="G49" s="88">
        <f>+G48/F48-1</f>
        <v>2.6108578532946458E-2</v>
      </c>
      <c r="H49" s="88">
        <f t="shared" ref="H49:L49" si="20">+H48/G48-1</f>
        <v>6.3812600969305189E-2</v>
      </c>
      <c r="I49" s="88">
        <f t="shared" si="20"/>
        <v>2.0880789673500377E-2</v>
      </c>
      <c r="J49" s="88">
        <f t="shared" si="20"/>
        <v>-9.4087021197471143E-2</v>
      </c>
      <c r="K49" s="88">
        <f t="shared" si="20"/>
        <v>3.9819376026272613E-2</v>
      </c>
      <c r="L49" s="88">
        <f t="shared" si="20"/>
        <v>-1</v>
      </c>
      <c r="O49" s="34"/>
    </row>
    <row r="50" spans="2:15" x14ac:dyDescent="0.2">
      <c r="B50" t="s">
        <v>220</v>
      </c>
      <c r="C50" s="34">
        <v>0</v>
      </c>
      <c r="D50">
        <v>132.6</v>
      </c>
      <c r="E50">
        <v>132.1</v>
      </c>
      <c r="F50">
        <v>131.4</v>
      </c>
      <c r="G50">
        <v>127.4</v>
      </c>
      <c r="H50">
        <v>126.3</v>
      </c>
      <c r="I50">
        <v>124</v>
      </c>
      <c r="J50">
        <v>133.30000000000001</v>
      </c>
      <c r="K50">
        <v>129.6</v>
      </c>
      <c r="L50" s="34"/>
      <c r="M50">
        <v>35.200000000000003</v>
      </c>
    </row>
    <row r="51" spans="2:15" x14ac:dyDescent="0.2">
      <c r="B51" s="13" t="s">
        <v>187</v>
      </c>
      <c r="C51" s="34"/>
      <c r="D51" s="14"/>
      <c r="E51" s="88">
        <f t="shared" ref="E51:F51" si="21">+E50/D50-1</f>
        <v>-3.7707390648566985E-3</v>
      </c>
      <c r="F51" s="88">
        <f t="shared" si="21"/>
        <v>-5.2990158970476209E-3</v>
      </c>
      <c r="G51" s="88">
        <f>+G50/F50-1</f>
        <v>-3.0441400304414001E-2</v>
      </c>
      <c r="H51" s="88">
        <f t="shared" ref="H51:L51" si="22">+H50/G50-1</f>
        <v>-8.6342229199373177E-3</v>
      </c>
      <c r="I51" s="88">
        <f t="shared" si="22"/>
        <v>-1.82106096595408E-2</v>
      </c>
      <c r="J51" s="88">
        <f t="shared" si="22"/>
        <v>7.5000000000000178E-2</v>
      </c>
      <c r="K51" s="88">
        <f t="shared" si="22"/>
        <v>-2.775693923480882E-2</v>
      </c>
      <c r="L51" s="88">
        <f t="shared" si="22"/>
        <v>-1</v>
      </c>
    </row>
    <row r="52" spans="2:15" x14ac:dyDescent="0.2">
      <c r="B52" t="s">
        <v>221</v>
      </c>
      <c r="C52" s="34">
        <v>0</v>
      </c>
      <c r="D52" s="34">
        <v>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>
        <v>1.3</v>
      </c>
    </row>
    <row r="53" spans="2:15" x14ac:dyDescent="0.2">
      <c r="B53" s="13" t="s">
        <v>187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</row>
    <row r="54" spans="2:15" x14ac:dyDescent="0.2">
      <c r="B54" t="s">
        <v>222</v>
      </c>
      <c r="C54" s="34">
        <v>0</v>
      </c>
      <c r="D54">
        <v>1125</v>
      </c>
      <c r="E54">
        <v>1256</v>
      </c>
      <c r="F54">
        <v>367</v>
      </c>
      <c r="G54">
        <v>389</v>
      </c>
      <c r="H54">
        <v>1703</v>
      </c>
      <c r="I54">
        <v>1692</v>
      </c>
      <c r="L54" s="34"/>
      <c r="M54">
        <v>476.8</v>
      </c>
    </row>
    <row r="55" spans="2:15" x14ac:dyDescent="0.2">
      <c r="B55" s="13" t="s">
        <v>187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</row>
    <row r="56" spans="2:15" x14ac:dyDescent="0.2">
      <c r="B56" s="13"/>
      <c r="C56" s="34"/>
      <c r="D56" s="34"/>
      <c r="E56" s="34"/>
      <c r="F56" s="34"/>
      <c r="G56" s="34"/>
      <c r="H56" s="34"/>
      <c r="I56" s="34"/>
      <c r="J56" s="34"/>
      <c r="K56" s="2"/>
      <c r="L56" s="2"/>
      <c r="M56">
        <f>+M50+M48+M46</f>
        <v>168.5</v>
      </c>
    </row>
    <row r="57" spans="2:15" x14ac:dyDescent="0.2">
      <c r="B57" s="8" t="s">
        <v>237</v>
      </c>
      <c r="C57" s="34"/>
      <c r="D57" s="34"/>
      <c r="E57" s="34"/>
      <c r="F57" s="34"/>
      <c r="G57" s="34"/>
      <c r="H57" s="34"/>
      <c r="I57" s="34"/>
      <c r="J57" s="34"/>
      <c r="K57" s="2"/>
      <c r="L57" s="2"/>
    </row>
    <row r="58" spans="2:15" x14ac:dyDescent="0.2">
      <c r="B58" s="13" t="s">
        <v>223</v>
      </c>
      <c r="C58" s="34">
        <v>4868</v>
      </c>
      <c r="D58" s="34">
        <v>5001</v>
      </c>
      <c r="E58" s="34">
        <v>5090</v>
      </c>
      <c r="F58" s="34">
        <v>5277</v>
      </c>
      <c r="G58" s="34">
        <v>5483</v>
      </c>
      <c r="H58" s="34">
        <v>6127</v>
      </c>
      <c r="I58" s="34">
        <v>7484</v>
      </c>
      <c r="J58" s="34">
        <v>10651</v>
      </c>
      <c r="K58" s="2">
        <v>12120</v>
      </c>
      <c r="L58" s="2">
        <v>15480</v>
      </c>
      <c r="M58" s="107"/>
      <c r="N58" s="100"/>
      <c r="O58" s="2"/>
    </row>
    <row r="59" spans="2:15" x14ac:dyDescent="0.2">
      <c r="B59" s="109" t="s">
        <v>187</v>
      </c>
      <c r="C59" s="34"/>
      <c r="D59" s="88">
        <f>+D58/C58-1</f>
        <v>2.7321281840591682E-2</v>
      </c>
      <c r="E59" s="88">
        <f t="shared" ref="E59:L59" si="23">+E58/D58-1</f>
        <v>1.7796440711857597E-2</v>
      </c>
      <c r="F59" s="88">
        <f t="shared" si="23"/>
        <v>3.6738703339882051E-2</v>
      </c>
      <c r="G59" s="88">
        <f t="shared" si="23"/>
        <v>3.9037331817320498E-2</v>
      </c>
      <c r="H59" s="88">
        <f t="shared" si="23"/>
        <v>0.11745394856830194</v>
      </c>
      <c r="I59" s="88">
        <f t="shared" si="23"/>
        <v>0.2214787008323813</v>
      </c>
      <c r="J59" s="88">
        <f t="shared" si="23"/>
        <v>0.42316942811330849</v>
      </c>
      <c r="K59" s="88">
        <f t="shared" si="23"/>
        <v>0.13792132194160178</v>
      </c>
      <c r="L59" s="88">
        <f t="shared" si="23"/>
        <v>0.27722772277227725</v>
      </c>
      <c r="M59" s="107"/>
      <c r="N59" s="100"/>
      <c r="O59" s="2"/>
    </row>
    <row r="60" spans="2:15" x14ac:dyDescent="0.2">
      <c r="B60" s="13" t="s">
        <v>224</v>
      </c>
      <c r="C60" s="34">
        <v>2564</v>
      </c>
      <c r="D60" s="34">
        <v>2832</v>
      </c>
      <c r="E60" s="34">
        <v>3829</v>
      </c>
      <c r="F60" s="34">
        <v>4283</v>
      </c>
      <c r="G60" s="34">
        <v>4634</v>
      </c>
      <c r="H60" s="34">
        <v>5240</v>
      </c>
      <c r="I60" s="34">
        <v>5679</v>
      </c>
      <c r="J60" s="34">
        <v>4533</v>
      </c>
      <c r="K60" s="2">
        <v>4688</v>
      </c>
      <c r="L60" s="2">
        <v>5133</v>
      </c>
      <c r="M60" s="40"/>
      <c r="N60" s="100"/>
      <c r="O60" s="2"/>
    </row>
    <row r="61" spans="2:15" x14ac:dyDescent="0.2">
      <c r="B61" s="109" t="s">
        <v>187</v>
      </c>
      <c r="C61" s="34"/>
      <c r="D61" s="88">
        <f>+D60/C60-1</f>
        <v>0.10452418096723859</v>
      </c>
      <c r="E61" s="88">
        <f t="shared" ref="E61:L61" si="24">+E60/D60-1</f>
        <v>0.35204802259887003</v>
      </c>
      <c r="F61" s="88">
        <f t="shared" si="24"/>
        <v>0.11856881692347865</v>
      </c>
      <c r="G61" s="88">
        <f t="shared" si="24"/>
        <v>8.1951902871818749E-2</v>
      </c>
      <c r="H61" s="88">
        <f t="shared" si="24"/>
        <v>0.13077255071212779</v>
      </c>
      <c r="I61" s="88">
        <f t="shared" si="24"/>
        <v>8.3778625954198382E-2</v>
      </c>
      <c r="J61" s="88">
        <f t="shared" si="24"/>
        <v>-0.20179609086106709</v>
      </c>
      <c r="K61" s="88">
        <f t="shared" si="24"/>
        <v>3.4193690712552405E-2</v>
      </c>
      <c r="L61" s="88">
        <f t="shared" si="24"/>
        <v>9.4923208191126207E-2</v>
      </c>
      <c r="M61" s="43"/>
      <c r="N61" s="100"/>
      <c r="O61" s="2"/>
    </row>
    <row r="62" spans="2:15" x14ac:dyDescent="0.2">
      <c r="B62" s="13" t="s">
        <v>215</v>
      </c>
      <c r="C62" s="34">
        <v>1332</v>
      </c>
      <c r="D62" s="34">
        <v>1295</v>
      </c>
      <c r="E62" s="34">
        <v>1295</v>
      </c>
      <c r="F62" s="34">
        <v>1314</v>
      </c>
      <c r="G62" s="34">
        <v>1291</v>
      </c>
      <c r="H62" s="34">
        <v>1246</v>
      </c>
      <c r="I62" s="34">
        <v>1200</v>
      </c>
      <c r="J62" s="34">
        <v>1149</v>
      </c>
      <c r="K62" s="2">
        <v>1338</v>
      </c>
      <c r="L62" s="2">
        <v>1413</v>
      </c>
      <c r="M62" s="43"/>
      <c r="N62" s="100"/>
      <c r="O62" s="2"/>
    </row>
    <row r="63" spans="2:15" x14ac:dyDescent="0.2">
      <c r="B63" s="109" t="s">
        <v>187</v>
      </c>
      <c r="C63" s="34"/>
      <c r="D63" s="88">
        <f>+D62/C62-1</f>
        <v>-2.777777777777779E-2</v>
      </c>
      <c r="E63" s="88">
        <f t="shared" ref="E63:L63" si="25">+E62/D62-1</f>
        <v>0</v>
      </c>
      <c r="F63" s="88">
        <f t="shared" si="25"/>
        <v>1.4671814671814776E-2</v>
      </c>
      <c r="G63" s="88">
        <f t="shared" si="25"/>
        <v>-1.7503805175038023E-2</v>
      </c>
      <c r="H63" s="88">
        <f t="shared" si="25"/>
        <v>-3.4856700232377968E-2</v>
      </c>
      <c r="I63" s="88">
        <f t="shared" si="25"/>
        <v>-3.6918138041733495E-2</v>
      </c>
      <c r="J63" s="88">
        <f t="shared" si="25"/>
        <v>-4.2499999999999982E-2</v>
      </c>
      <c r="K63" s="88">
        <f t="shared" si="25"/>
        <v>0.164490861618799</v>
      </c>
      <c r="L63" s="88">
        <f t="shared" si="25"/>
        <v>5.6053811659192876E-2</v>
      </c>
      <c r="M63" s="43"/>
      <c r="N63" s="100"/>
      <c r="O63" s="2"/>
    </row>
    <row r="64" spans="2:15" x14ac:dyDescent="0.2">
      <c r="B64" s="13" t="s">
        <v>19</v>
      </c>
      <c r="C64" s="34">
        <v>3847</v>
      </c>
      <c r="D64" s="34">
        <v>4178</v>
      </c>
      <c r="E64" s="34">
        <v>4272</v>
      </c>
      <c r="F64" s="34">
        <v>4676</v>
      </c>
      <c r="G64" s="34">
        <v>4693</v>
      </c>
      <c r="H64" s="34">
        <v>353</v>
      </c>
      <c r="I64" s="34">
        <v>376</v>
      </c>
      <c r="J64" s="34">
        <v>366</v>
      </c>
      <c r="K64" s="2">
        <v>344</v>
      </c>
      <c r="L64" s="2">
        <v>391</v>
      </c>
      <c r="M64" s="43"/>
      <c r="N64" s="100"/>
      <c r="O64" s="2"/>
    </row>
    <row r="65" spans="2:20" x14ac:dyDescent="0.2">
      <c r="B65" s="8" t="s">
        <v>240</v>
      </c>
      <c r="C65" s="99">
        <f>SUM(C58:C64)</f>
        <v>12611</v>
      </c>
      <c r="D65" s="99">
        <f t="shared" ref="D65:L65" si="26">SUM(D58:D64)</f>
        <v>13306.10406768503</v>
      </c>
      <c r="E65" s="99">
        <f t="shared" si="26"/>
        <v>14486.369844463312</v>
      </c>
      <c r="F65" s="99">
        <f t="shared" si="26"/>
        <v>15550.169979334936</v>
      </c>
      <c r="G65" s="99">
        <f t="shared" si="26"/>
        <v>16101.103485429514</v>
      </c>
      <c r="H65" s="99">
        <f t="shared" si="26"/>
        <v>12966.213369799048</v>
      </c>
      <c r="I65" s="99">
        <f t="shared" si="26"/>
        <v>14739.268339188746</v>
      </c>
      <c r="J65" s="99">
        <f t="shared" si="26"/>
        <v>16699.178873337252</v>
      </c>
      <c r="K65" s="99">
        <f t="shared" si="26"/>
        <v>18490.336605874272</v>
      </c>
      <c r="L65" s="99">
        <f t="shared" si="26"/>
        <v>22417.42820474262</v>
      </c>
      <c r="M65" s="43"/>
      <c r="N65" s="100"/>
      <c r="O65" s="2"/>
    </row>
    <row r="66" spans="2:20" x14ac:dyDescent="0.2">
      <c r="B66" s="6"/>
      <c r="C66" s="34"/>
      <c r="D66" s="88">
        <f>+D65/C65-1</f>
        <v>5.5118869850529606E-2</v>
      </c>
      <c r="E66" s="88">
        <f t="shared" ref="E66:L66" si="27">+E65/D65-1</f>
        <v>8.8701078149888701E-2</v>
      </c>
      <c r="F66" s="88">
        <f t="shared" si="27"/>
        <v>7.3434555813042923E-2</v>
      </c>
      <c r="G66" s="88">
        <f t="shared" si="27"/>
        <v>3.5429420181691151E-2</v>
      </c>
      <c r="H66" s="88">
        <f t="shared" si="27"/>
        <v>-0.19470032712151342</v>
      </c>
      <c r="I66" s="88">
        <f t="shared" si="27"/>
        <v>0.13674423818441106</v>
      </c>
      <c r="J66" s="88">
        <f t="shared" si="27"/>
        <v>0.13297203694551785</v>
      </c>
      <c r="K66" s="88">
        <f t="shared" si="27"/>
        <v>0.10726022795030188</v>
      </c>
      <c r="L66" s="88">
        <f t="shared" si="27"/>
        <v>0.21238616054294734</v>
      </c>
      <c r="M66" s="7"/>
      <c r="N66" s="100"/>
      <c r="O66" s="2"/>
    </row>
    <row r="67" spans="2:20" x14ac:dyDescent="0.2">
      <c r="B67" s="6"/>
      <c r="C67" s="34"/>
      <c r="D67" s="88"/>
      <c r="E67" s="88"/>
      <c r="F67" s="88"/>
      <c r="G67" s="88"/>
      <c r="H67" s="88"/>
      <c r="I67" s="88"/>
      <c r="J67" s="88"/>
      <c r="K67" s="88"/>
      <c r="L67" s="88"/>
      <c r="M67" s="7"/>
      <c r="N67" s="100"/>
      <c r="O67" s="2"/>
    </row>
    <row r="68" spans="2:20" x14ac:dyDescent="0.2">
      <c r="B68" s="6" t="s">
        <v>239</v>
      </c>
      <c r="C68" s="74"/>
      <c r="D68" s="112"/>
      <c r="E68" s="112"/>
      <c r="F68" s="112"/>
      <c r="G68" s="112">
        <v>8.8940000000000001</v>
      </c>
      <c r="H68" s="112">
        <v>8.7029999999999994</v>
      </c>
      <c r="I68" s="112">
        <v>9.4570000000000007</v>
      </c>
      <c r="J68" s="112">
        <v>9.2050000000000001</v>
      </c>
      <c r="K68" s="112">
        <v>8.5839999999999996</v>
      </c>
      <c r="L68" s="112">
        <v>10.122</v>
      </c>
      <c r="M68" s="7"/>
      <c r="N68" s="100"/>
      <c r="O68" s="2"/>
    </row>
    <row r="69" spans="2:20" x14ac:dyDescent="0.2">
      <c r="B69" s="8" t="s">
        <v>241</v>
      </c>
      <c r="C69" s="34"/>
      <c r="D69" s="88"/>
      <c r="E69" s="88"/>
      <c r="F69" s="88"/>
      <c r="G69" s="99">
        <f>+G65/G68</f>
        <v>1810.3332005205209</v>
      </c>
      <c r="H69" s="99">
        <f t="shared" ref="H69:L69" si="28">+H65/H68</f>
        <v>1489.8556095368322</v>
      </c>
      <c r="I69" s="99">
        <f t="shared" si="28"/>
        <v>1558.5564491052919</v>
      </c>
      <c r="J69" s="99">
        <f t="shared" si="28"/>
        <v>1814.1421915629824</v>
      </c>
      <c r="K69" s="99">
        <f t="shared" si="28"/>
        <v>2154.0466689042723</v>
      </c>
      <c r="L69" s="99">
        <f t="shared" si="28"/>
        <v>2214.7231974651868</v>
      </c>
      <c r="M69" s="7"/>
      <c r="N69" s="100"/>
      <c r="O69" s="2"/>
    </row>
    <row r="70" spans="2:20" x14ac:dyDescent="0.2">
      <c r="B70" s="6"/>
      <c r="C70" s="34"/>
      <c r="D70" s="88"/>
      <c r="E70" s="88"/>
      <c r="F70" s="88"/>
      <c r="G70" s="88"/>
      <c r="H70" s="88"/>
      <c r="I70" s="88"/>
      <c r="J70" s="88"/>
      <c r="K70" s="88"/>
      <c r="L70" s="88"/>
      <c r="M70" s="7"/>
      <c r="N70" s="100"/>
      <c r="O70" s="2"/>
    </row>
    <row r="71" spans="2:20" x14ac:dyDescent="0.2">
      <c r="B71" s="6"/>
      <c r="C71" s="34"/>
      <c r="D71" s="88"/>
      <c r="E71" s="88"/>
      <c r="F71" s="88"/>
      <c r="G71" s="88"/>
      <c r="H71" s="88"/>
      <c r="I71" s="88"/>
      <c r="J71" s="88"/>
      <c r="K71" s="88"/>
      <c r="L71" s="88"/>
      <c r="M71" s="7"/>
      <c r="N71" s="100"/>
      <c r="O71" s="2"/>
    </row>
    <row r="72" spans="2:20" x14ac:dyDescent="0.2">
      <c r="B72" s="8" t="s">
        <v>238</v>
      </c>
      <c r="C72" s="99"/>
      <c r="D72" s="99"/>
      <c r="E72" s="99"/>
      <c r="F72" s="99"/>
      <c r="G72" s="99"/>
      <c r="H72" s="99"/>
      <c r="I72" s="99"/>
      <c r="J72" s="99"/>
      <c r="K72" s="100"/>
      <c r="L72" s="100"/>
      <c r="M72" s="107"/>
      <c r="N72" s="100"/>
      <c r="O72" s="2"/>
    </row>
    <row r="73" spans="2:20" x14ac:dyDescent="0.2">
      <c r="B73" s="13" t="s">
        <v>233</v>
      </c>
      <c r="C73" s="34">
        <v>31217</v>
      </c>
      <c r="D73" s="34">
        <v>29767</v>
      </c>
      <c r="E73" s="34">
        <v>26794</v>
      </c>
      <c r="F73" s="34">
        <v>26685</v>
      </c>
      <c r="G73" s="34">
        <v>24955</v>
      </c>
      <c r="H73" s="2">
        <v>25529</v>
      </c>
      <c r="I73" s="2">
        <v>24218</v>
      </c>
      <c r="J73" s="2">
        <v>21867</v>
      </c>
      <c r="K73" s="2">
        <v>22190</v>
      </c>
      <c r="L73" s="54">
        <v>21572</v>
      </c>
      <c r="N73" s="54">
        <f>+L73*(1+N74)</f>
        <v>21032.7</v>
      </c>
      <c r="O73" s="54">
        <f t="shared" ref="O73:T75" si="29">+N73*(1+O74)</f>
        <v>20506.8825</v>
      </c>
      <c r="P73" s="54">
        <f t="shared" si="29"/>
        <v>19994.210437499998</v>
      </c>
      <c r="Q73" s="54">
        <f t="shared" si="29"/>
        <v>19494.355176562498</v>
      </c>
      <c r="R73" s="54">
        <f t="shared" si="29"/>
        <v>19006.996297148435</v>
      </c>
      <c r="S73" s="54">
        <f t="shared" si="29"/>
        <v>18531.821389719724</v>
      </c>
      <c r="T73" s="54">
        <f t="shared" si="29"/>
        <v>18068.525854976731</v>
      </c>
    </row>
    <row r="74" spans="2:20" x14ac:dyDescent="0.2">
      <c r="B74" s="109" t="s">
        <v>187</v>
      </c>
      <c r="C74" s="34"/>
      <c r="D74" s="14">
        <f>+D73/C73-1</f>
        <v>-4.6449050197008068E-2</v>
      </c>
      <c r="E74" s="14">
        <f t="shared" ref="E74:L76" si="30">+E73/D73-1</f>
        <v>-9.9875701279940832E-2</v>
      </c>
      <c r="F74" s="14">
        <f t="shared" si="30"/>
        <v>-4.068074942151223E-3</v>
      </c>
      <c r="G74" s="14">
        <f t="shared" si="30"/>
        <v>-6.4830429080007468E-2</v>
      </c>
      <c r="H74" s="14">
        <f t="shared" si="30"/>
        <v>2.300140252454419E-2</v>
      </c>
      <c r="I74" s="14">
        <f t="shared" si="30"/>
        <v>-5.1353362842257777E-2</v>
      </c>
      <c r="J74" s="14">
        <f t="shared" si="30"/>
        <v>-9.7076554628788503E-2</v>
      </c>
      <c r="K74" s="14">
        <f t="shared" si="30"/>
        <v>1.4771116293958997E-2</v>
      </c>
      <c r="L74" s="14">
        <f t="shared" si="30"/>
        <v>-2.7850383055430417E-2</v>
      </c>
      <c r="N74" s="14">
        <v>-2.5000000000000001E-2</v>
      </c>
      <c r="O74" s="14">
        <v>-2.5000000000000001E-2</v>
      </c>
      <c r="P74" s="14">
        <v>-2.5000000000000001E-2</v>
      </c>
      <c r="Q74" s="14">
        <v>-2.5000000000000001E-2</v>
      </c>
      <c r="R74" s="14">
        <v>-2.5000000000000001E-2</v>
      </c>
      <c r="S74" s="14">
        <v>-2.5000000000000001E-2</v>
      </c>
      <c r="T74" s="14">
        <v>-2.5000000000000001E-2</v>
      </c>
    </row>
    <row r="75" spans="2:20" x14ac:dyDescent="0.2">
      <c r="B75" s="13" t="s">
        <v>234</v>
      </c>
      <c r="C75" s="34">
        <v>0</v>
      </c>
      <c r="D75" s="34">
        <v>0</v>
      </c>
      <c r="E75" s="34">
        <v>0</v>
      </c>
      <c r="F75" s="34">
        <v>0</v>
      </c>
      <c r="G75" s="34">
        <v>3793</v>
      </c>
      <c r="H75" s="34">
        <v>4096</v>
      </c>
      <c r="I75" s="34">
        <v>5587</v>
      </c>
      <c r="J75" s="34">
        <v>6827</v>
      </c>
      <c r="K75" s="2">
        <v>9115</v>
      </c>
      <c r="L75" s="2">
        <v>9919</v>
      </c>
      <c r="N75" s="54">
        <f>+L75*(1+N76)</f>
        <v>12051.585000000001</v>
      </c>
      <c r="O75" s="54">
        <f t="shared" si="29"/>
        <v>14220.8703</v>
      </c>
      <c r="P75" s="54">
        <f t="shared" ref="P75" si="31">+O75*(1+P76)</f>
        <v>16282.8964935</v>
      </c>
      <c r="Q75" s="54">
        <f t="shared" ref="Q75" si="32">+P75*(1+Q76)</f>
        <v>18074.015107784999</v>
      </c>
      <c r="R75" s="54">
        <f t="shared" ref="R75" si="33">+Q75*(1+R76)</f>
        <v>19429.566240868873</v>
      </c>
      <c r="S75" s="54">
        <f t="shared" ref="S75" si="34">+R75*(1+S76)</f>
        <v>20206.74889050363</v>
      </c>
      <c r="T75" s="54">
        <f t="shared" ref="T75" si="35">+S75*(1+T76)</f>
        <v>20408.816379408665</v>
      </c>
    </row>
    <row r="76" spans="2:20" x14ac:dyDescent="0.2">
      <c r="B76" s="109" t="s">
        <v>187</v>
      </c>
      <c r="C76" s="34"/>
      <c r="D76" s="34"/>
      <c r="E76" s="34"/>
      <c r="F76" s="34"/>
      <c r="G76" s="34"/>
      <c r="H76" s="14">
        <f t="shared" si="30"/>
        <v>7.9883996836277449E-2</v>
      </c>
      <c r="I76" s="14">
        <f t="shared" ref="I76" si="36">+I75/H75-1</f>
        <v>0.364013671875</v>
      </c>
      <c r="J76" s="14">
        <f t="shared" ref="J76" si="37">+J75/I75-1</f>
        <v>0.22194379810273857</v>
      </c>
      <c r="K76" s="14">
        <f t="shared" ref="K76" si="38">+K75/J75-1</f>
        <v>0.33513988574776632</v>
      </c>
      <c r="L76" s="14">
        <v>0.25</v>
      </c>
      <c r="N76" s="14">
        <f>+L76-0.035</f>
        <v>0.215</v>
      </c>
      <c r="O76" s="14">
        <f t="shared" ref="O76:S76" si="39">+N76-0.035</f>
        <v>0.18</v>
      </c>
      <c r="P76" s="14">
        <f t="shared" si="39"/>
        <v>0.14499999999999999</v>
      </c>
      <c r="Q76" s="14">
        <f t="shared" si="39"/>
        <v>0.10999999999999999</v>
      </c>
      <c r="R76" s="14">
        <f t="shared" si="39"/>
        <v>7.4999999999999983E-2</v>
      </c>
      <c r="S76" s="14">
        <f t="shared" si="39"/>
        <v>3.999999999999998E-2</v>
      </c>
      <c r="T76" s="14">
        <v>0.01</v>
      </c>
    </row>
    <row r="77" spans="2:20" x14ac:dyDescent="0.2">
      <c r="B77" s="13" t="s">
        <v>235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2">
        <v>101</v>
      </c>
      <c r="L77" s="2">
        <v>271</v>
      </c>
      <c r="N77" s="54">
        <f>+L77*(1+N78)</f>
        <v>406.5</v>
      </c>
      <c r="O77" s="54">
        <f t="shared" ref="O77:T77" si="40">+N77*(1+O78)</f>
        <v>609.75</v>
      </c>
      <c r="P77" s="54">
        <f t="shared" si="40"/>
        <v>762.1875</v>
      </c>
      <c r="Q77" s="54">
        <f t="shared" si="40"/>
        <v>838.40625000000011</v>
      </c>
      <c r="R77" s="54">
        <f t="shared" si="40"/>
        <v>880.32656250000014</v>
      </c>
      <c r="S77" s="54">
        <f t="shared" si="40"/>
        <v>889.12982812500013</v>
      </c>
      <c r="T77" s="54">
        <f t="shared" si="40"/>
        <v>898.02112640625012</v>
      </c>
    </row>
    <row r="78" spans="2:20" x14ac:dyDescent="0.2">
      <c r="B78" s="13"/>
      <c r="C78" s="34"/>
      <c r="D78" s="34"/>
      <c r="E78" s="34"/>
      <c r="F78" s="34"/>
      <c r="G78" s="34"/>
      <c r="H78" s="34"/>
      <c r="I78" s="34"/>
      <c r="J78" s="34"/>
      <c r="K78" s="2"/>
      <c r="L78" s="14">
        <f>+L77/K77-1</f>
        <v>1.6831683168316833</v>
      </c>
      <c r="N78" s="14">
        <v>0.5</v>
      </c>
      <c r="O78" s="107">
        <v>0.5</v>
      </c>
      <c r="P78" s="107">
        <v>0.25</v>
      </c>
      <c r="Q78" s="107">
        <v>0.1</v>
      </c>
      <c r="R78" s="107">
        <v>0.05</v>
      </c>
      <c r="S78" s="107">
        <v>0.01</v>
      </c>
      <c r="T78" s="107">
        <v>0.01</v>
      </c>
    </row>
    <row r="79" spans="2:20" x14ac:dyDescent="0.2">
      <c r="B79" s="8" t="s">
        <v>225</v>
      </c>
      <c r="C79" s="99">
        <f>+C77+C75+C73</f>
        <v>31217</v>
      </c>
      <c r="D79" s="99">
        <f t="shared" ref="D79:M79" si="41">+D77+D75+D73</f>
        <v>29767</v>
      </c>
      <c r="E79" s="99">
        <f t="shared" si="41"/>
        <v>26794</v>
      </c>
      <c r="F79" s="99">
        <f t="shared" si="41"/>
        <v>26685</v>
      </c>
      <c r="G79" s="99">
        <f t="shared" si="41"/>
        <v>28748</v>
      </c>
      <c r="H79" s="99">
        <f t="shared" si="41"/>
        <v>29625</v>
      </c>
      <c r="I79" s="99">
        <f t="shared" si="41"/>
        <v>29805</v>
      </c>
      <c r="J79" s="99">
        <f t="shared" si="41"/>
        <v>28694</v>
      </c>
      <c r="K79" s="99">
        <f t="shared" si="41"/>
        <v>31406</v>
      </c>
      <c r="L79" s="99">
        <f t="shared" si="41"/>
        <v>31762</v>
      </c>
      <c r="N79" s="99">
        <f>+N77+N75+N73</f>
        <v>33490.785000000003</v>
      </c>
      <c r="O79" s="99">
        <f>+O73+O75+O77</f>
        <v>35337.502800000002</v>
      </c>
      <c r="P79" s="99">
        <f t="shared" ref="P79:T79" si="42">+P73+P75+P77</f>
        <v>37039.294431000002</v>
      </c>
      <c r="Q79" s="99">
        <f t="shared" si="42"/>
        <v>38406.776534347497</v>
      </c>
      <c r="R79" s="99">
        <f t="shared" si="42"/>
        <v>39316.889100517306</v>
      </c>
      <c r="S79" s="99">
        <f t="shared" si="42"/>
        <v>39627.700108348356</v>
      </c>
      <c r="T79" s="99">
        <f t="shared" si="42"/>
        <v>39375.363360791649</v>
      </c>
    </row>
    <row r="80" spans="2:20" x14ac:dyDescent="0.2">
      <c r="B80" s="1"/>
      <c r="C80" s="34"/>
      <c r="D80" s="34"/>
      <c r="E80" s="34"/>
      <c r="F80" s="99"/>
      <c r="G80" s="99"/>
      <c r="H80" s="99"/>
      <c r="I80" s="99"/>
      <c r="J80" s="99"/>
      <c r="K80" s="99"/>
      <c r="L80" s="14"/>
      <c r="N80" s="99"/>
      <c r="O80" s="113"/>
      <c r="P80" s="2"/>
    </row>
    <row r="81" spans="2:20" x14ac:dyDescent="0.2">
      <c r="C81" s="34"/>
      <c r="F81" s="21"/>
      <c r="G81" s="111"/>
      <c r="H81" s="111"/>
      <c r="I81" s="111"/>
      <c r="J81" s="111"/>
      <c r="K81" s="111"/>
      <c r="L81" s="111"/>
      <c r="N81" s="111"/>
      <c r="O81" s="14"/>
      <c r="P81" s="21"/>
    </row>
    <row r="84" spans="2:20" x14ac:dyDescent="0.2">
      <c r="B84" s="1" t="s">
        <v>245</v>
      </c>
      <c r="C84" s="121">
        <f>+C73/C42</f>
        <v>3.5469832973525739E-2</v>
      </c>
      <c r="D84" s="121">
        <f>+D73/D42</f>
        <v>3.4776401535596538E-2</v>
      </c>
      <c r="E84" s="121">
        <f>+E73/E42</f>
        <v>3.1623921536228124E-2</v>
      </c>
      <c r="F84" s="121">
        <f>+F73/F42</f>
        <v>3.282505849096988E-2</v>
      </c>
      <c r="G84" s="121">
        <f>+G73/G42</f>
        <v>3.2756393764537248E-2</v>
      </c>
      <c r="H84" s="121">
        <f>+H73/H42</f>
        <v>3.4483969661562981E-2</v>
      </c>
      <c r="I84" s="121">
        <f>+I73/I42</f>
        <v>3.4268701827767867E-2</v>
      </c>
      <c r="J84" s="121">
        <f>+J73/J42</f>
        <v>3.4791366357049443E-2</v>
      </c>
      <c r="K84" s="121">
        <f>+K73/K42</f>
        <v>3.5511102220444089E-2</v>
      </c>
      <c r="L84" s="121">
        <f>+L73/L42</f>
        <v>3.4686802549573251E-2</v>
      </c>
      <c r="N84" s="121">
        <f>AVERAGE(C84:L84)</f>
        <v>3.4119355091725513E-2</v>
      </c>
      <c r="O84" s="121">
        <f>$N$84</f>
        <v>3.4119355091725513E-2</v>
      </c>
      <c r="P84" s="121">
        <f>$N$84</f>
        <v>3.4119355091725513E-2</v>
      </c>
      <c r="Q84" s="121">
        <f>$N$84</f>
        <v>3.4119355091725513E-2</v>
      </c>
      <c r="R84" s="121">
        <f>$N$84</f>
        <v>3.4119355091725513E-2</v>
      </c>
      <c r="S84" s="121">
        <f>$N$84</f>
        <v>3.4119355091725513E-2</v>
      </c>
      <c r="T84" s="121">
        <f>$N$84</f>
        <v>3.4119355091725513E-2</v>
      </c>
    </row>
    <row r="85" spans="2:20" x14ac:dyDescent="0.2">
      <c r="B85" s="1"/>
      <c r="K85" s="2"/>
      <c r="L85" s="2"/>
      <c r="O85" s="2"/>
      <c r="P85" s="15"/>
    </row>
    <row r="86" spans="2:20" x14ac:dyDescent="0.2">
      <c r="B86" s="1" t="s">
        <v>257</v>
      </c>
      <c r="C86" s="138">
        <f>C84*C42</f>
        <v>31217.000000000004</v>
      </c>
      <c r="D86" s="138">
        <f>D84*D42</f>
        <v>29767</v>
      </c>
      <c r="E86" s="138">
        <f>E84*E42</f>
        <v>26794.000000000004</v>
      </c>
      <c r="F86" s="138">
        <f>F84*F42</f>
        <v>26685</v>
      </c>
      <c r="G86" s="138">
        <f>G84*G42</f>
        <v>24955</v>
      </c>
      <c r="H86" s="138">
        <f>H84*H42</f>
        <v>25529</v>
      </c>
      <c r="I86" s="138">
        <f>I84*I42</f>
        <v>24218</v>
      </c>
      <c r="J86" s="138">
        <f>J84*J42</f>
        <v>21867</v>
      </c>
      <c r="K86" s="138">
        <f>K84*K42</f>
        <v>22190</v>
      </c>
      <c r="L86" s="138">
        <f>L84*L42</f>
        <v>21572</v>
      </c>
      <c r="N86" s="34">
        <f>N84*N42</f>
        <v>20759.436352510194</v>
      </c>
      <c r="O86" s="34">
        <f>O84*O42</f>
        <v>20299.772818635556</v>
      </c>
      <c r="P86" s="34">
        <f>P84*P42</f>
        <v>19840.109284760925</v>
      </c>
      <c r="Q86" s="34">
        <f>Q84*Q42</f>
        <v>19380.445750886291</v>
      </c>
      <c r="R86" s="34">
        <f>R84*R42</f>
        <v>18920.782217011652</v>
      </c>
      <c r="S86" s="34">
        <f>S84*S42</f>
        <v>18461.118683137018</v>
      </c>
      <c r="T86" s="34">
        <f>T84*T42</f>
        <v>18001.45514926238</v>
      </c>
    </row>
    <row r="87" spans="2:20" x14ac:dyDescent="0.2">
      <c r="B87" s="1"/>
      <c r="K87" s="2"/>
      <c r="L87" s="2"/>
    </row>
    <row r="88" spans="2:20" x14ac:dyDescent="0.2">
      <c r="B88" s="1" t="s">
        <v>260</v>
      </c>
      <c r="G88" s="124">
        <f>G75/G44</f>
        <v>0.104703803897753</v>
      </c>
      <c r="H88" s="124">
        <f>H75/H44</f>
        <v>9.9004157401140866E-2</v>
      </c>
      <c r="I88" s="124">
        <f>I75/I44</f>
        <v>9.3659894052169249E-2</v>
      </c>
      <c r="J88" s="124">
        <f>J75/J44</f>
        <v>8.9697941164877615E-2</v>
      </c>
      <c r="K88" s="124">
        <f>K75/K44</f>
        <v>9.5971613881401616E-2</v>
      </c>
      <c r="L88" s="124">
        <f>L75/L44</f>
        <v>9.0859126675155041E-2</v>
      </c>
      <c r="N88" s="124">
        <f>AVERAGE(G88:L88)</f>
        <v>9.5649422845416221E-2</v>
      </c>
      <c r="O88" s="124">
        <f>N88</f>
        <v>9.5649422845416221E-2</v>
      </c>
      <c r="P88" s="124">
        <f t="shared" ref="P88:T88" si="43">O88</f>
        <v>9.5649422845416221E-2</v>
      </c>
      <c r="Q88" s="124">
        <f t="shared" si="43"/>
        <v>9.5649422845416221E-2</v>
      </c>
      <c r="R88" s="124">
        <f t="shared" si="43"/>
        <v>9.5649422845416221E-2</v>
      </c>
      <c r="S88" s="124">
        <f t="shared" si="43"/>
        <v>9.5649422845416221E-2</v>
      </c>
      <c r="T88" s="124">
        <f t="shared" si="43"/>
        <v>9.5649422845416221E-2</v>
      </c>
    </row>
    <row r="89" spans="2:20" x14ac:dyDescent="0.2">
      <c r="B89" s="1"/>
      <c r="G89" s="124"/>
      <c r="H89" s="124"/>
      <c r="I89" s="124"/>
      <c r="J89" s="124"/>
      <c r="K89" s="124"/>
      <c r="L89" s="124"/>
      <c r="N89" s="124"/>
      <c r="O89" s="124"/>
      <c r="P89" s="124"/>
      <c r="Q89" s="124"/>
      <c r="R89" s="124"/>
      <c r="S89" s="124"/>
      <c r="T89" s="124"/>
    </row>
    <row r="90" spans="2:20" x14ac:dyDescent="0.2">
      <c r="B90" s="8" t="s">
        <v>259</v>
      </c>
      <c r="G90" s="137">
        <f>G88*G44</f>
        <v>3793</v>
      </c>
      <c r="H90" s="137">
        <f>H88*H44</f>
        <v>4096</v>
      </c>
      <c r="I90" s="137">
        <f>I88*I44</f>
        <v>5587</v>
      </c>
      <c r="J90" s="137">
        <f>J88*J44</f>
        <v>6827</v>
      </c>
      <c r="K90" s="137">
        <f>K88*K44</f>
        <v>9115</v>
      </c>
      <c r="L90" s="137">
        <f>L88*L44</f>
        <v>9919</v>
      </c>
      <c r="N90" s="34">
        <f>N88*N44</f>
        <v>11933.659248698563</v>
      </c>
      <c r="O90" s="34">
        <f>O88*O44</f>
        <v>13425.366654785883</v>
      </c>
      <c r="P90" s="34">
        <f>P88*P44</f>
        <v>14917.074060873205</v>
      </c>
      <c r="Q90" s="34">
        <f>Q88*Q44</f>
        <v>16408.781466960525</v>
      </c>
      <c r="R90" s="34">
        <f>R88*R44</f>
        <v>17900.488873047849</v>
      </c>
      <c r="S90" s="34">
        <f>S88*S44</f>
        <v>19392.196279135169</v>
      </c>
      <c r="T90" s="34">
        <f>T88*T44</f>
        <v>20883.903685222485</v>
      </c>
    </row>
    <row r="91" spans="2:20" x14ac:dyDescent="0.2">
      <c r="B91" s="1"/>
      <c r="M91" s="122"/>
      <c r="N91" s="1"/>
    </row>
    <row r="92" spans="2:20" x14ac:dyDescent="0.2">
      <c r="B92" s="1" t="s">
        <v>258</v>
      </c>
      <c r="G92" s="122">
        <f>G90+G86</f>
        <v>28748</v>
      </c>
      <c r="H92" s="122">
        <f>H90+H86</f>
        <v>29625</v>
      </c>
      <c r="I92" s="122">
        <f>I90+I86</f>
        <v>29805</v>
      </c>
      <c r="J92" s="122">
        <f>J90+J86</f>
        <v>28694</v>
      </c>
      <c r="K92" s="122">
        <f>K90+K86</f>
        <v>31305</v>
      </c>
      <c r="L92" s="122">
        <f>L90+L86</f>
        <v>31491</v>
      </c>
      <c r="M92" s="122"/>
      <c r="N92" s="34">
        <f>N90+N86</f>
        <v>32693.095601208755</v>
      </c>
      <c r="O92" s="34">
        <f t="shared" ref="O92:T92" si="44">O90+O86</f>
        <v>33725.139473421441</v>
      </c>
      <c r="P92" s="34">
        <f t="shared" si="44"/>
        <v>34757.183345634126</v>
      </c>
      <c r="Q92" s="34">
        <f t="shared" si="44"/>
        <v>35789.227217846812</v>
      </c>
      <c r="R92" s="34">
        <f t="shared" si="44"/>
        <v>36821.271090059498</v>
      </c>
      <c r="S92" s="34">
        <f t="shared" si="44"/>
        <v>37853.314962272183</v>
      </c>
      <c r="T92" s="34">
        <f t="shared" si="44"/>
        <v>38885.358834484869</v>
      </c>
    </row>
    <row r="95" spans="2:20" x14ac:dyDescent="0.2">
      <c r="B95" s="1"/>
    </row>
    <row r="96" spans="2:20" x14ac:dyDescent="0.2">
      <c r="B96" s="1"/>
    </row>
    <row r="97" spans="2:13" x14ac:dyDescent="0.2">
      <c r="I97" s="34"/>
    </row>
    <row r="98" spans="2:13" x14ac:dyDescent="0.2">
      <c r="I98" s="55"/>
    </row>
    <row r="100" spans="2:13" x14ac:dyDescent="0.2">
      <c r="B100" s="1"/>
    </row>
    <row r="101" spans="2:13" x14ac:dyDescent="0.2">
      <c r="B101" s="1"/>
    </row>
    <row r="102" spans="2:13" x14ac:dyDescent="0.2">
      <c r="B102" s="1"/>
    </row>
    <row r="104" spans="2:13" x14ac:dyDescent="0.2">
      <c r="B104" s="1"/>
    </row>
    <row r="108" spans="2:13" x14ac:dyDescent="0.2">
      <c r="C108" s="1" t="s">
        <v>197</v>
      </c>
    </row>
    <row r="109" spans="2:13" ht="13.5" thickBot="1" x14ac:dyDescent="0.25">
      <c r="C109" s="1"/>
      <c r="D109" s="16">
        <v>2013</v>
      </c>
      <c r="E109" s="16">
        <v>2014</v>
      </c>
      <c r="F109" s="16">
        <v>2015</v>
      </c>
      <c r="G109" s="16">
        <v>2016</v>
      </c>
      <c r="H109" s="16">
        <v>2017</v>
      </c>
      <c r="I109" s="16">
        <v>2018</v>
      </c>
      <c r="J109" s="16">
        <v>2019</v>
      </c>
      <c r="K109" s="16">
        <v>2020</v>
      </c>
      <c r="L109" s="16">
        <v>2021</v>
      </c>
      <c r="M109" s="16">
        <v>2022</v>
      </c>
    </row>
    <row r="110" spans="2:13" x14ac:dyDescent="0.2">
      <c r="C110" t="s">
        <v>193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s="2">
        <v>2561000</v>
      </c>
      <c r="L110" s="2">
        <v>2620000</v>
      </c>
      <c r="M110">
        <v>2626000</v>
      </c>
    </row>
    <row r="111" spans="2:13" x14ac:dyDescent="0.2">
      <c r="C111" s="98" t="s">
        <v>190</v>
      </c>
      <c r="L111" s="88"/>
    </row>
    <row r="112" spans="2:13" x14ac:dyDescent="0.2">
      <c r="C112" t="s">
        <v>191</v>
      </c>
      <c r="D112" s="15">
        <v>0.28299999999999997</v>
      </c>
      <c r="E112" s="15">
        <v>0.28499999999999998</v>
      </c>
      <c r="F112" s="15">
        <v>0.28699999999999998</v>
      </c>
      <c r="K112" s="15">
        <v>0.246</v>
      </c>
      <c r="L112" s="15">
        <v>0.23699999999999999</v>
      </c>
      <c r="M112" s="15">
        <v>0.23599999999999999</v>
      </c>
    </row>
    <row r="113" spans="3:13" x14ac:dyDescent="0.2">
      <c r="C113" s="98" t="s">
        <v>190</v>
      </c>
      <c r="L113" s="2"/>
    </row>
    <row r="114" spans="3:13" x14ac:dyDescent="0.2">
      <c r="C114" t="s">
        <v>192</v>
      </c>
      <c r="D114">
        <v>0</v>
      </c>
      <c r="E114">
        <v>0</v>
      </c>
      <c r="F114">
        <v>0</v>
      </c>
      <c r="K114" s="14">
        <v>0.03</v>
      </c>
      <c r="L114" s="15">
        <v>3.5000000000000003E-2</v>
      </c>
      <c r="M114" s="15">
        <v>4.1000000000000002E-2</v>
      </c>
    </row>
    <row r="115" spans="3:13" x14ac:dyDescent="0.2">
      <c r="C115" s="98" t="s">
        <v>190</v>
      </c>
    </row>
    <row r="116" spans="3:13" x14ac:dyDescent="0.2">
      <c r="C116" t="s">
        <v>194</v>
      </c>
      <c r="K116" s="15">
        <v>0.27600000000000002</v>
      </c>
      <c r="L116" s="15">
        <v>0.27200000000000002</v>
      </c>
      <c r="M116" s="15">
        <v>0.27600000000000002</v>
      </c>
    </row>
  </sheetData>
  <mergeCells count="2">
    <mergeCell ref="N39:T39"/>
    <mergeCell ref="C39:M39"/>
  </mergeCells>
  <pageMargins left="0.7" right="0.7" top="0.75" bottom="0.75" header="0.3" footer="0.3"/>
  <pageSetup orientation="portrait" r:id="rId1"/>
  <ignoredErrors>
    <ignoredError sqref="F18:L18 M17:S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DAE2-431D-4F32-97EB-BDAE20EC81E7}">
  <dimension ref="A1:W171"/>
  <sheetViews>
    <sheetView topLeftCell="B19" zoomScale="110" zoomScaleNormal="110" workbookViewId="0">
      <selection activeCell="B1" sqref="B1"/>
    </sheetView>
  </sheetViews>
  <sheetFormatPr defaultRowHeight="12.75" x14ac:dyDescent="0.2"/>
  <cols>
    <col min="1" max="1" width="2.7109375" customWidth="1"/>
    <col min="2" max="2" width="43.7109375" customWidth="1"/>
    <col min="3" max="3" width="11.7109375" customWidth="1"/>
    <col min="4" max="4" width="10.7109375" customWidth="1"/>
    <col min="5" max="5" width="11" customWidth="1"/>
    <col min="6" max="6" width="11.5703125" customWidth="1"/>
    <col min="7" max="7" width="10.140625" customWidth="1"/>
    <col min="8" max="8" width="10.28515625" customWidth="1"/>
    <col min="9" max="9" width="10.42578125" customWidth="1"/>
    <col min="10" max="10" width="10.7109375" customWidth="1"/>
    <col min="11" max="11" width="11" customWidth="1"/>
    <col min="12" max="12" width="10.28515625" customWidth="1"/>
    <col min="13" max="13" width="2.7109375" customWidth="1"/>
    <col min="14" max="20" width="10.28515625" bestFit="1" customWidth="1"/>
  </cols>
  <sheetData>
    <row r="1" spans="1:15" x14ac:dyDescent="0.2">
      <c r="A1" s="1" t="s">
        <v>141</v>
      </c>
    </row>
    <row r="2" spans="1:15" x14ac:dyDescent="0.2">
      <c r="A2" s="1"/>
    </row>
    <row r="3" spans="1:15" x14ac:dyDescent="0.2">
      <c r="A3" s="1"/>
    </row>
    <row r="4" spans="1:15" x14ac:dyDescent="0.2">
      <c r="A4" s="1"/>
      <c r="B4" s="1" t="s">
        <v>175</v>
      </c>
    </row>
    <row r="5" spans="1:15" x14ac:dyDescent="0.2">
      <c r="A5" s="1"/>
    </row>
    <row r="6" spans="1:15" ht="13.5" thickBot="1" x14ac:dyDescent="0.25">
      <c r="A6" s="1"/>
      <c r="B6" s="8" t="s">
        <v>183</v>
      </c>
      <c r="C6" s="104">
        <v>2013</v>
      </c>
      <c r="D6" s="104">
        <f>C6+1</f>
        <v>2014</v>
      </c>
      <c r="E6" s="104">
        <f t="shared" ref="E6:L6" si="0">D6+1</f>
        <v>2015</v>
      </c>
      <c r="F6" s="104">
        <f t="shared" si="0"/>
        <v>2016</v>
      </c>
      <c r="G6" s="104">
        <f t="shared" si="0"/>
        <v>2017</v>
      </c>
      <c r="H6" s="104">
        <f t="shared" si="0"/>
        <v>2018</v>
      </c>
      <c r="I6" s="104">
        <f t="shared" si="0"/>
        <v>2019</v>
      </c>
      <c r="J6" s="104">
        <f t="shared" si="0"/>
        <v>2020</v>
      </c>
      <c r="K6" s="104">
        <f t="shared" si="0"/>
        <v>2021</v>
      </c>
      <c r="L6" s="104">
        <f t="shared" si="0"/>
        <v>2022</v>
      </c>
      <c r="N6" s="17" t="s">
        <v>185</v>
      </c>
      <c r="O6" s="53">
        <v>2023</v>
      </c>
    </row>
    <row r="7" spans="1:15" x14ac:dyDescent="0.2">
      <c r="A7" s="1"/>
      <c r="B7" s="1" t="s">
        <v>16</v>
      </c>
    </row>
    <row r="8" spans="1:15" x14ac:dyDescent="0.2">
      <c r="A8" s="1"/>
      <c r="B8" s="13" t="s">
        <v>177</v>
      </c>
      <c r="C8" s="34">
        <v>301600</v>
      </c>
      <c r="D8" s="34">
        <v>282997</v>
      </c>
      <c r="E8" s="34">
        <v>285583</v>
      </c>
      <c r="F8" s="34">
        <v>281720</v>
      </c>
      <c r="G8" s="34">
        <v>270366</v>
      </c>
      <c r="H8" s="34">
        <v>264423</v>
      </c>
      <c r="I8" s="34">
        <v>262908</v>
      </c>
      <c r="J8" s="34">
        <v>233158</v>
      </c>
      <c r="K8" s="2">
        <v>239905</v>
      </c>
      <c r="L8" s="2">
        <v>244649</v>
      </c>
    </row>
    <row r="9" spans="1:15" x14ac:dyDescent="0.2">
      <c r="A9" s="1"/>
      <c r="B9" s="13" t="s">
        <v>178</v>
      </c>
      <c r="C9" s="34">
        <v>93700</v>
      </c>
      <c r="D9" s="34">
        <v>94168</v>
      </c>
      <c r="E9" s="34">
        <v>97884</v>
      </c>
      <c r="F9" s="34">
        <v>96770</v>
      </c>
      <c r="G9" s="34">
        <v>90817</v>
      </c>
      <c r="H9" s="34">
        <v>89789</v>
      </c>
      <c r="I9" s="34">
        <v>92873</v>
      </c>
      <c r="J9" s="34">
        <v>91098</v>
      </c>
      <c r="K9" s="2">
        <v>84342</v>
      </c>
      <c r="L9" s="2">
        <v>82588</v>
      </c>
    </row>
    <row r="10" spans="1:15" x14ac:dyDescent="0.2">
      <c r="A10" s="1"/>
      <c r="B10" s="13" t="s">
        <v>179</v>
      </c>
      <c r="C10" s="34">
        <v>35500</v>
      </c>
      <c r="D10" s="34">
        <v>42144</v>
      </c>
      <c r="E10" s="34">
        <v>41397</v>
      </c>
      <c r="F10" s="34">
        <v>46291</v>
      </c>
      <c r="G10" s="34">
        <v>55075</v>
      </c>
      <c r="H10" s="34">
        <v>59452</v>
      </c>
      <c r="I10" s="34">
        <v>57185</v>
      </c>
      <c r="J10" s="34">
        <v>52139</v>
      </c>
      <c r="K10" s="2">
        <v>58800</v>
      </c>
      <c r="L10" s="2">
        <v>67054</v>
      </c>
    </row>
    <row r="11" spans="1:15" x14ac:dyDescent="0.2">
      <c r="A11" s="1"/>
      <c r="B11" s="13" t="s">
        <v>180</v>
      </c>
      <c r="C11" s="34">
        <v>43400</v>
      </c>
      <c r="D11" s="34">
        <v>47199</v>
      </c>
      <c r="E11" s="34">
        <v>44879</v>
      </c>
      <c r="F11" s="34">
        <v>45671</v>
      </c>
      <c r="G11" s="34">
        <v>43965</v>
      </c>
      <c r="H11" s="34">
        <v>41697</v>
      </c>
      <c r="I11" s="34">
        <v>38723</v>
      </c>
      <c r="J11" s="34">
        <v>34737</v>
      </c>
      <c r="K11" s="2">
        <v>41621</v>
      </c>
      <c r="L11" s="2">
        <v>43999</v>
      </c>
    </row>
    <row r="12" spans="1:15" x14ac:dyDescent="0.2">
      <c r="A12" s="1"/>
      <c r="B12" s="13" t="s">
        <v>181</v>
      </c>
      <c r="C12" s="34">
        <v>38000</v>
      </c>
      <c r="D12" s="34">
        <v>31948</v>
      </c>
      <c r="E12" s="34">
        <v>35815</v>
      </c>
      <c r="F12" s="34">
        <v>35914</v>
      </c>
      <c r="G12" s="34">
        <v>48522</v>
      </c>
      <c r="H12" s="34">
        <v>49864</v>
      </c>
      <c r="I12" s="34">
        <v>49164</v>
      </c>
      <c r="J12" s="34">
        <v>45645</v>
      </c>
      <c r="K12" s="2">
        <v>42395</v>
      </c>
      <c r="L12" s="2">
        <v>39620</v>
      </c>
    </row>
    <row r="13" spans="1:15" x14ac:dyDescent="0.2">
      <c r="A13" s="1"/>
      <c r="B13" s="13" t="s">
        <v>195</v>
      </c>
      <c r="C13" s="34">
        <v>32100</v>
      </c>
      <c r="D13" s="34">
        <v>28473</v>
      </c>
      <c r="E13" s="34">
        <v>28828</v>
      </c>
      <c r="F13" s="34">
        <v>27571</v>
      </c>
      <c r="G13" s="34">
        <v>24373</v>
      </c>
      <c r="H13" s="34">
        <v>23021</v>
      </c>
      <c r="I13" s="34">
        <v>19602</v>
      </c>
      <c r="J13" s="34">
        <v>15489</v>
      </c>
      <c r="K13" s="34">
        <v>0</v>
      </c>
      <c r="L13" s="21"/>
    </row>
    <row r="14" spans="1:15" x14ac:dyDescent="0.2">
      <c r="A14" s="1"/>
      <c r="B14" s="13" t="s">
        <v>196</v>
      </c>
      <c r="C14" s="34">
        <v>46800</v>
      </c>
      <c r="D14" s="34">
        <v>43585</v>
      </c>
      <c r="E14" s="34">
        <v>43608</v>
      </c>
      <c r="F14" s="34">
        <v>44567</v>
      </c>
      <c r="G14" s="34">
        <v>37897</v>
      </c>
      <c r="H14" s="34">
        <v>32173</v>
      </c>
      <c r="I14" s="34">
        <v>28025</v>
      </c>
      <c r="J14" s="34">
        <v>24113</v>
      </c>
      <c r="K14" s="34">
        <v>0</v>
      </c>
      <c r="L14" s="34">
        <v>0</v>
      </c>
    </row>
    <row r="15" spans="1:15" x14ac:dyDescent="0.2">
      <c r="A15" s="1"/>
      <c r="B15" s="13" t="s">
        <v>198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39522</v>
      </c>
      <c r="I15" s="34">
        <v>35133</v>
      </c>
      <c r="J15" s="34">
        <v>32862</v>
      </c>
      <c r="K15" s="34">
        <v>0</v>
      </c>
      <c r="L15" s="34">
        <v>0</v>
      </c>
    </row>
    <row r="16" spans="1:15" x14ac:dyDescent="0.2">
      <c r="A16" s="1"/>
      <c r="B16" s="13" t="s">
        <v>199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29195</v>
      </c>
      <c r="I16" s="34">
        <v>32435</v>
      </c>
      <c r="J16" s="34">
        <v>24754</v>
      </c>
      <c r="K16" s="34">
        <v>0</v>
      </c>
      <c r="L16" s="34">
        <v>0</v>
      </c>
    </row>
    <row r="17" spans="1:15" x14ac:dyDescent="0.2">
      <c r="A17" s="1"/>
      <c r="B17" s="13" t="s">
        <v>200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16596</v>
      </c>
      <c r="I17" s="34">
        <v>12831</v>
      </c>
      <c r="J17" s="34">
        <v>0</v>
      </c>
      <c r="K17" s="34">
        <v>0</v>
      </c>
      <c r="L17" s="34">
        <v>0</v>
      </c>
    </row>
    <row r="18" spans="1:15" x14ac:dyDescent="0.2">
      <c r="A18" s="1"/>
      <c r="B18" s="13" t="s">
        <v>201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8980</v>
      </c>
      <c r="K18" s="34">
        <v>0</v>
      </c>
      <c r="L18" s="34">
        <v>0</v>
      </c>
    </row>
    <row r="19" spans="1:15" x14ac:dyDescent="0.2">
      <c r="A19" s="1"/>
      <c r="B19" s="13" t="s">
        <v>182</v>
      </c>
      <c r="C19" s="101">
        <v>289000</v>
      </c>
      <c r="D19" s="101">
        <v>285440</v>
      </c>
      <c r="E19" s="101">
        <v>269276</v>
      </c>
      <c r="F19" s="101">
        <v>234442</v>
      </c>
      <c r="G19" s="101">
        <v>190821</v>
      </c>
      <c r="H19" s="101">
        <v>94583</v>
      </c>
      <c r="I19" s="101">
        <v>77830</v>
      </c>
      <c r="J19" s="101">
        <v>65543</v>
      </c>
      <c r="K19" s="102">
        <v>157812</v>
      </c>
      <c r="L19" s="102">
        <v>143998</v>
      </c>
    </row>
    <row r="20" spans="1:15" x14ac:dyDescent="0.2">
      <c r="A20" s="1"/>
      <c r="B20" s="8" t="s">
        <v>184</v>
      </c>
      <c r="C20" s="99">
        <f t="shared" ref="C20:L20" si="1">SUM(C8:C19)</f>
        <v>880100</v>
      </c>
      <c r="D20" s="99">
        <f t="shared" si="1"/>
        <v>855954</v>
      </c>
      <c r="E20" s="99">
        <f t="shared" si="1"/>
        <v>847270</v>
      </c>
      <c r="F20" s="99">
        <f t="shared" si="1"/>
        <v>812946</v>
      </c>
      <c r="G20" s="99">
        <f t="shared" si="1"/>
        <v>761836</v>
      </c>
      <c r="H20" s="99">
        <f t="shared" si="1"/>
        <v>740315</v>
      </c>
      <c r="I20" s="99">
        <f t="shared" si="1"/>
        <v>706709</v>
      </c>
      <c r="J20" s="99">
        <f t="shared" si="1"/>
        <v>628518</v>
      </c>
      <c r="K20" s="100">
        <f t="shared" si="1"/>
        <v>624875</v>
      </c>
      <c r="L20" s="100">
        <f t="shared" si="1"/>
        <v>621908</v>
      </c>
      <c r="O20" s="2"/>
    </row>
    <row r="21" spans="1:15" x14ac:dyDescent="0.2">
      <c r="A21" s="1"/>
      <c r="B21" s="13" t="s">
        <v>187</v>
      </c>
      <c r="C21" s="34"/>
      <c r="D21" s="21">
        <f>D20/C20-1</f>
        <v>-2.743551869105787E-2</v>
      </c>
      <c r="E21" s="21">
        <f t="shared" ref="E21:L21" si="2">E20/D20-1</f>
        <v>-1.014540501008232E-2</v>
      </c>
      <c r="F21" s="21">
        <f t="shared" si="2"/>
        <v>-4.0511289199428702E-2</v>
      </c>
      <c r="G21" s="21">
        <f t="shared" si="2"/>
        <v>-6.2870104533388482E-2</v>
      </c>
      <c r="H21" s="21">
        <f t="shared" si="2"/>
        <v>-2.8248861959791927E-2</v>
      </c>
      <c r="I21" s="21">
        <f t="shared" si="2"/>
        <v>-4.5394190310881211E-2</v>
      </c>
      <c r="J21" s="21">
        <f t="shared" si="2"/>
        <v>-0.11064101348645627</v>
      </c>
      <c r="K21" s="21">
        <f t="shared" si="2"/>
        <v>-5.7961744930137282E-3</v>
      </c>
      <c r="L21" s="21">
        <f t="shared" si="2"/>
        <v>-4.7481496299259796E-3</v>
      </c>
      <c r="O21" s="88"/>
    </row>
    <row r="22" spans="1:15" x14ac:dyDescent="0.2">
      <c r="A22" s="1"/>
      <c r="B22" s="1" t="s">
        <v>17</v>
      </c>
      <c r="C22" s="34">
        <v>0</v>
      </c>
      <c r="D22" s="34">
        <v>0</v>
      </c>
      <c r="E22" s="34">
        <v>0</v>
      </c>
      <c r="F22" s="99">
        <v>7394</v>
      </c>
      <c r="G22" s="99">
        <v>36226</v>
      </c>
      <c r="H22" s="99">
        <v>41372</v>
      </c>
      <c r="I22" s="99">
        <v>59652</v>
      </c>
      <c r="J22" s="99">
        <v>76111</v>
      </c>
      <c r="K22" s="99">
        <v>94976</v>
      </c>
      <c r="L22" s="99">
        <v>109169</v>
      </c>
      <c r="N22" s="2"/>
      <c r="O22" s="2"/>
    </row>
    <row r="23" spans="1:15" x14ac:dyDescent="0.2">
      <c r="A23" s="1"/>
      <c r="B23" s="13" t="s">
        <v>187</v>
      </c>
      <c r="C23" s="34"/>
      <c r="F23" s="21"/>
      <c r="G23" s="14">
        <f>G22/F22-1</f>
        <v>3.8993778739518525</v>
      </c>
      <c r="H23" s="14">
        <f t="shared" ref="H23:L23" si="3">H22/G22-1</f>
        <v>0.14205266935350291</v>
      </c>
      <c r="I23" s="14">
        <f t="shared" si="3"/>
        <v>0.44184472590157586</v>
      </c>
      <c r="J23" s="14">
        <f t="shared" si="3"/>
        <v>0.27591698518071484</v>
      </c>
      <c r="K23" s="14">
        <f t="shared" si="3"/>
        <v>0.24786167571047546</v>
      </c>
      <c r="L23" s="14">
        <f t="shared" si="3"/>
        <v>0.14943775269541781</v>
      </c>
      <c r="N23" s="2"/>
      <c r="O23" s="21"/>
    </row>
    <row r="24" spans="1:15" ht="13.5" thickBot="1" x14ac:dyDescent="0.25">
      <c r="A24" s="1"/>
      <c r="B24" s="1" t="s">
        <v>186</v>
      </c>
      <c r="C24" s="103">
        <f>C20+C22</f>
        <v>880100</v>
      </c>
      <c r="D24" s="103">
        <f t="shared" ref="D24:L24" si="4">D20+D22</f>
        <v>855954</v>
      </c>
      <c r="E24" s="103">
        <f t="shared" si="4"/>
        <v>847270</v>
      </c>
      <c r="F24" s="103">
        <f t="shared" si="4"/>
        <v>820340</v>
      </c>
      <c r="G24" s="103">
        <f t="shared" si="4"/>
        <v>798062</v>
      </c>
      <c r="H24" s="103">
        <f t="shared" si="4"/>
        <v>781687</v>
      </c>
      <c r="I24" s="103">
        <f t="shared" si="4"/>
        <v>766361</v>
      </c>
      <c r="J24" s="103">
        <f t="shared" si="4"/>
        <v>704629</v>
      </c>
      <c r="K24" s="103">
        <f t="shared" si="4"/>
        <v>719851</v>
      </c>
      <c r="L24" s="103">
        <f t="shared" si="4"/>
        <v>731077</v>
      </c>
      <c r="N24" s="2"/>
      <c r="O24" s="2"/>
    </row>
    <row r="25" spans="1:15" x14ac:dyDescent="0.2">
      <c r="A25" s="1"/>
      <c r="B25" s="1"/>
      <c r="K25" s="2"/>
      <c r="L25" s="2"/>
      <c r="N25" s="2"/>
      <c r="O25" s="15"/>
    </row>
    <row r="26" spans="1:15" x14ac:dyDescent="0.2">
      <c r="A26" s="1"/>
      <c r="B26" s="1"/>
      <c r="K26" s="2"/>
      <c r="L26" s="2"/>
    </row>
    <row r="27" spans="1:15" x14ac:dyDescent="0.2">
      <c r="A27" s="1"/>
      <c r="B27" s="1"/>
      <c r="K27" s="2"/>
      <c r="L27" s="2"/>
    </row>
    <row r="28" spans="1:15" x14ac:dyDescent="0.2">
      <c r="A28" s="1"/>
      <c r="B28" s="1" t="s">
        <v>202</v>
      </c>
    </row>
    <row r="29" spans="1:15" x14ac:dyDescent="0.2">
      <c r="A29" s="1"/>
      <c r="B29" s="13"/>
    </row>
    <row r="30" spans="1:15" x14ac:dyDescent="0.2">
      <c r="A30" s="1"/>
      <c r="B30" s="1" t="s">
        <v>203</v>
      </c>
      <c r="N30" s="1"/>
    </row>
    <row r="31" spans="1:15" x14ac:dyDescent="0.2">
      <c r="A31" s="1"/>
      <c r="B31" t="s">
        <v>213</v>
      </c>
      <c r="J31">
        <v>133.30000000000001</v>
      </c>
      <c r="K31">
        <v>129.6</v>
      </c>
    </row>
    <row r="32" spans="1:15" x14ac:dyDescent="0.2">
      <c r="A32" s="1"/>
      <c r="B32" t="s">
        <v>214</v>
      </c>
      <c r="J32">
        <v>114.1</v>
      </c>
      <c r="K32">
        <v>173.9</v>
      </c>
    </row>
    <row r="33" spans="1:12" x14ac:dyDescent="0.2">
      <c r="A33" s="1"/>
      <c r="B33" t="s">
        <v>212</v>
      </c>
      <c r="J33">
        <v>5687</v>
      </c>
      <c r="K33">
        <v>5244</v>
      </c>
      <c r="L33" s="2"/>
    </row>
    <row r="34" spans="1:12" x14ac:dyDescent="0.2">
      <c r="A34" s="1"/>
      <c r="B34" s="1" t="s">
        <v>207</v>
      </c>
    </row>
    <row r="35" spans="1:12" x14ac:dyDescent="0.2">
      <c r="A35" s="1"/>
      <c r="B35" s="1"/>
    </row>
    <row r="36" spans="1:12" x14ac:dyDescent="0.2">
      <c r="A36" s="1"/>
      <c r="B36" s="1" t="s">
        <v>204</v>
      </c>
    </row>
    <row r="37" spans="1:12" x14ac:dyDescent="0.2">
      <c r="A37" s="1"/>
      <c r="B37" t="s">
        <v>18</v>
      </c>
      <c r="J37">
        <v>243.6</v>
      </c>
      <c r="K37">
        <v>253.3</v>
      </c>
    </row>
    <row r="38" spans="1:12" x14ac:dyDescent="0.2">
      <c r="A38" s="1"/>
      <c r="B38" t="s">
        <v>205</v>
      </c>
      <c r="J38">
        <v>13.1</v>
      </c>
      <c r="K38">
        <v>20.3</v>
      </c>
    </row>
    <row r="39" spans="1:12" x14ac:dyDescent="0.2">
      <c r="A39" s="1"/>
      <c r="B39" t="s">
        <v>206</v>
      </c>
      <c r="J39">
        <v>4.4000000000000004</v>
      </c>
      <c r="K39">
        <v>3.5</v>
      </c>
    </row>
    <row r="40" spans="1:12" x14ac:dyDescent="0.2">
      <c r="A40" s="1"/>
      <c r="B40" s="1" t="s">
        <v>208</v>
      </c>
    </row>
    <row r="41" spans="1:12" x14ac:dyDescent="0.2">
      <c r="A41" s="1"/>
      <c r="B41" s="1"/>
    </row>
    <row r="42" spans="1:12" x14ac:dyDescent="0.2">
      <c r="A42" s="1"/>
      <c r="B42" s="1" t="s">
        <v>209</v>
      </c>
    </row>
    <row r="43" spans="1:12" x14ac:dyDescent="0.2">
      <c r="A43" s="1"/>
      <c r="B43" t="s">
        <v>210</v>
      </c>
      <c r="J43">
        <v>7.9</v>
      </c>
      <c r="K43">
        <v>8</v>
      </c>
    </row>
    <row r="44" spans="1:12" x14ac:dyDescent="0.2">
      <c r="A44" s="1"/>
      <c r="B44" s="1" t="s">
        <v>211</v>
      </c>
      <c r="J44">
        <f>SUM(J43)</f>
        <v>7.9</v>
      </c>
      <c r="K44">
        <f>SUM(K43)</f>
        <v>8</v>
      </c>
    </row>
    <row r="45" spans="1:12" x14ac:dyDescent="0.2">
      <c r="A45" s="1"/>
      <c r="B45" s="1"/>
    </row>
    <row r="46" spans="1:12" x14ac:dyDescent="0.2">
      <c r="A46" s="1"/>
      <c r="B46" s="1"/>
    </row>
    <row r="47" spans="1:12" x14ac:dyDescent="0.2">
      <c r="A47" s="1"/>
      <c r="B47" s="1"/>
    </row>
    <row r="48" spans="1:12" x14ac:dyDescent="0.2">
      <c r="A48" s="1"/>
      <c r="B48" s="1"/>
    </row>
    <row r="49" spans="1:21" x14ac:dyDescent="0.2">
      <c r="A49" s="1"/>
      <c r="B49" s="3"/>
    </row>
    <row r="50" spans="1:21" x14ac:dyDescent="0.2">
      <c r="A50" s="1"/>
      <c r="B50" s="3"/>
    </row>
    <row r="51" spans="1:21" x14ac:dyDescent="0.2">
      <c r="B51" s="3"/>
    </row>
    <row r="52" spans="1:21" x14ac:dyDescent="0.2">
      <c r="B52" s="3"/>
    </row>
    <row r="54" spans="1:21" x14ac:dyDescent="0.2">
      <c r="A54" t="s">
        <v>45</v>
      </c>
      <c r="B54" s="4" t="s">
        <v>58</v>
      </c>
      <c r="C54" s="117" t="s">
        <v>87</v>
      </c>
      <c r="D54" s="117"/>
      <c r="E54" s="117"/>
      <c r="F54" s="117"/>
      <c r="G54" s="117"/>
      <c r="H54" s="117"/>
      <c r="I54" s="117"/>
      <c r="J54" s="117"/>
      <c r="K54" s="117"/>
      <c r="L54" s="117"/>
      <c r="N54" s="118" t="s">
        <v>88</v>
      </c>
      <c r="O54" s="118"/>
      <c r="P54" s="118"/>
      <c r="Q54" s="118"/>
      <c r="R54" s="118"/>
      <c r="S54" s="118"/>
      <c r="T54" s="118"/>
    </row>
    <row r="55" spans="1:21" ht="14.25" customHeight="1" thickBot="1" x14ac:dyDescent="0.25">
      <c r="B55" s="5"/>
      <c r="C55" s="104">
        <v>2013</v>
      </c>
      <c r="D55" s="104">
        <f>C55+1</f>
        <v>2014</v>
      </c>
      <c r="E55" s="104">
        <f t="shared" ref="E55:L55" si="5">D55+1</f>
        <v>2015</v>
      </c>
      <c r="F55" s="104">
        <f t="shared" si="5"/>
        <v>2016</v>
      </c>
      <c r="G55" s="104">
        <f t="shared" si="5"/>
        <v>2017</v>
      </c>
      <c r="H55" s="104">
        <f t="shared" si="5"/>
        <v>2018</v>
      </c>
      <c r="I55" s="104">
        <f t="shared" si="5"/>
        <v>2019</v>
      </c>
      <c r="J55" s="104">
        <f t="shared" si="5"/>
        <v>2020</v>
      </c>
      <c r="K55" s="104">
        <f t="shared" si="5"/>
        <v>2021</v>
      </c>
      <c r="L55" s="104">
        <f t="shared" si="5"/>
        <v>2022</v>
      </c>
      <c r="N55" s="53">
        <v>2023</v>
      </c>
      <c r="O55" s="53">
        <f>N55+1</f>
        <v>2024</v>
      </c>
      <c r="P55" s="53">
        <f t="shared" ref="P55:T55" si="6">O55+1</f>
        <v>2025</v>
      </c>
      <c r="Q55" s="53">
        <f t="shared" si="6"/>
        <v>2026</v>
      </c>
      <c r="R55" s="53">
        <f t="shared" si="6"/>
        <v>2027</v>
      </c>
      <c r="S55" s="53">
        <f t="shared" si="6"/>
        <v>2028</v>
      </c>
      <c r="T55" s="53">
        <f t="shared" si="6"/>
        <v>2029</v>
      </c>
      <c r="U55" t="s">
        <v>45</v>
      </c>
    </row>
    <row r="56" spans="1:21" x14ac:dyDescent="0.2">
      <c r="B56" s="8" t="s">
        <v>9</v>
      </c>
      <c r="C56" s="24">
        <v>80029</v>
      </c>
      <c r="D56" s="24">
        <v>80106</v>
      </c>
      <c r="E56" s="24">
        <v>73908</v>
      </c>
      <c r="F56" s="24">
        <v>74953</v>
      </c>
      <c r="G56" s="24">
        <v>78098</v>
      </c>
      <c r="H56" s="24">
        <v>79823</v>
      </c>
      <c r="I56" s="24">
        <v>77921</v>
      </c>
      <c r="J56" s="24">
        <v>76047</v>
      </c>
      <c r="K56" s="24">
        <v>82223</v>
      </c>
      <c r="L56" s="24">
        <v>80669</v>
      </c>
      <c r="N56" s="56">
        <f>L56*(1+N73)</f>
        <v>81475.69</v>
      </c>
      <c r="O56" s="56">
        <f>N56*(1+O73)</f>
        <v>82290.44690000001</v>
      </c>
      <c r="P56" s="56">
        <f t="shared" ref="P56:T56" si="7">O56*(1+P73)</f>
        <v>83113.351369000011</v>
      </c>
      <c r="Q56" s="56">
        <f t="shared" si="7"/>
        <v>83944.484882690012</v>
      </c>
      <c r="R56" s="56">
        <f t="shared" si="7"/>
        <v>84783.92973151691</v>
      </c>
      <c r="S56" s="56">
        <f t="shared" si="7"/>
        <v>85631.769028832074</v>
      </c>
      <c r="T56" s="56">
        <f t="shared" si="7"/>
        <v>86488.086719120402</v>
      </c>
    </row>
    <row r="57" spans="1:21" x14ac:dyDescent="0.2">
      <c r="B57" s="13" t="s">
        <v>94</v>
      </c>
      <c r="C57" s="9">
        <v>48812</v>
      </c>
      <c r="D57" s="9">
        <v>50339</v>
      </c>
      <c r="E57" s="9">
        <v>47114</v>
      </c>
      <c r="F57" s="9">
        <v>48268</v>
      </c>
      <c r="G57" s="9">
        <v>49350</v>
      </c>
      <c r="H57" s="9">
        <v>50198</v>
      </c>
      <c r="I57" s="9">
        <v>48116</v>
      </c>
      <c r="J57" s="9">
        <v>47353</v>
      </c>
      <c r="K57" s="9">
        <v>50818</v>
      </c>
      <c r="L57" s="9">
        <v>48907</v>
      </c>
      <c r="N57" s="56">
        <f>N56*-N74</f>
        <v>-50881.894536713997</v>
      </c>
      <c r="O57" s="56">
        <f t="shared" ref="O57:T57" si="8">O56*-O74</f>
        <v>-51390.713482081141</v>
      </c>
      <c r="P57" s="56">
        <f t="shared" si="8"/>
        <v>-51904.62061690195</v>
      </c>
      <c r="Q57" s="56">
        <f t="shared" si="8"/>
        <v>-52423.666823070977</v>
      </c>
      <c r="R57" s="56">
        <f t="shared" si="8"/>
        <v>-52947.90349130168</v>
      </c>
      <c r="S57" s="56">
        <f t="shared" si="8"/>
        <v>-53477.382526214693</v>
      </c>
      <c r="T57" s="56">
        <f t="shared" si="8"/>
        <v>-54012.156351476842</v>
      </c>
    </row>
    <row r="58" spans="1:21" x14ac:dyDescent="0.2">
      <c r="B58" s="11" t="s">
        <v>10</v>
      </c>
      <c r="C58" s="22">
        <f>C56-C57</f>
        <v>31217</v>
      </c>
      <c r="D58" s="22">
        <f t="shared" ref="D58:G58" si="9">D56-D57</f>
        <v>29767</v>
      </c>
      <c r="E58" s="22">
        <f t="shared" si="9"/>
        <v>26794</v>
      </c>
      <c r="F58" s="22">
        <f t="shared" si="9"/>
        <v>26685</v>
      </c>
      <c r="G58" s="22">
        <f t="shared" si="9"/>
        <v>28748</v>
      </c>
      <c r="H58" s="23">
        <v>29625</v>
      </c>
      <c r="I58" s="23">
        <v>29805</v>
      </c>
      <c r="J58" s="23">
        <v>28694</v>
      </c>
      <c r="K58" s="23">
        <v>31405</v>
      </c>
      <c r="L58" s="23">
        <v>31762</v>
      </c>
      <c r="N58" s="57">
        <v>32529.630123202714</v>
      </c>
      <c r="O58" s="57">
        <v>33388.731207174067</v>
      </c>
      <c r="P58" s="57">
        <v>34238.428039552615</v>
      </c>
      <c r="Q58" s="57">
        <v>35078.793185327217</v>
      </c>
      <c r="R58" s="57">
        <v>35909.89871894307</v>
      </c>
      <c r="S58" s="57">
        <v>36731.816227393138</v>
      </c>
      <c r="T58" s="57">
        <v>37544.616813290719</v>
      </c>
    </row>
    <row r="59" spans="1:21" x14ac:dyDescent="0.2">
      <c r="B59" s="13" t="s">
        <v>93</v>
      </c>
      <c r="C59" s="9">
        <v>10410</v>
      </c>
      <c r="D59" s="9">
        <v>10436</v>
      </c>
      <c r="E59" s="9">
        <v>9365</v>
      </c>
      <c r="F59" s="9">
        <v>9391</v>
      </c>
      <c r="G59" s="9">
        <v>10432</v>
      </c>
      <c r="H59" s="9">
        <v>10758</v>
      </c>
      <c r="I59" s="9">
        <v>10513</v>
      </c>
      <c r="J59" s="9">
        <v>9569</v>
      </c>
      <c r="K59" s="9">
        <v>10030</v>
      </c>
      <c r="L59" s="9">
        <v>11402</v>
      </c>
      <c r="N59" s="56">
        <f>-N58*N75</f>
        <v>-11307.579899553068</v>
      </c>
      <c r="O59" s="56">
        <f t="shared" ref="O59:T59" si="10">-O58*O75</f>
        <v>-11606.21084346502</v>
      </c>
      <c r="P59" s="56">
        <f t="shared" si="10"/>
        <v>-11901.57278844036</v>
      </c>
      <c r="Q59" s="56">
        <f t="shared" si="10"/>
        <v>-12193.690958694868</v>
      </c>
      <c r="R59" s="56">
        <f t="shared" si="10"/>
        <v>-12482.590407927115</v>
      </c>
      <c r="S59" s="56">
        <f t="shared" si="10"/>
        <v>-12768.296020393072</v>
      </c>
      <c r="T59" s="56">
        <f t="shared" si="10"/>
        <v>-13050.832511974169</v>
      </c>
    </row>
    <row r="60" spans="1:21" x14ac:dyDescent="0.2">
      <c r="B60" s="11" t="s">
        <v>12</v>
      </c>
      <c r="C60" s="12">
        <v>20807</v>
      </c>
      <c r="D60" s="12">
        <v>19331</v>
      </c>
      <c r="E60" s="12">
        <v>17429</v>
      </c>
      <c r="F60" s="12">
        <v>17294</v>
      </c>
      <c r="G60" s="12">
        <v>18316</v>
      </c>
      <c r="H60" s="12">
        <v>18867</v>
      </c>
      <c r="I60" s="12">
        <v>19292</v>
      </c>
      <c r="J60" s="12">
        <v>19125</v>
      </c>
      <c r="K60" s="12">
        <v>21375</v>
      </c>
      <c r="L60" s="12">
        <v>20360</v>
      </c>
      <c r="N60" s="57">
        <f>N58+N59</f>
        <v>21222.050223649647</v>
      </c>
      <c r="O60" s="57">
        <f t="shared" ref="O60:T60" si="11">O58+O59</f>
        <v>21782.520363709045</v>
      </c>
      <c r="P60" s="57">
        <f t="shared" si="11"/>
        <v>22336.855251112254</v>
      </c>
      <c r="Q60" s="57">
        <f t="shared" si="11"/>
        <v>22885.102226632349</v>
      </c>
      <c r="R60" s="57">
        <f t="shared" si="11"/>
        <v>23427.308311015957</v>
      </c>
      <c r="S60" s="57">
        <f t="shared" si="11"/>
        <v>23963.520207000067</v>
      </c>
      <c r="T60" s="57">
        <f t="shared" si="11"/>
        <v>24493.784301316547</v>
      </c>
    </row>
    <row r="61" spans="1:21" x14ac:dyDescent="0.2">
      <c r="B61" s="13" t="s">
        <v>92</v>
      </c>
      <c r="C61" s="9">
        <v>6890</v>
      </c>
      <c r="D61" s="9">
        <v>7001</v>
      </c>
      <c r="E61" s="9">
        <v>6656</v>
      </c>
      <c r="F61" s="9">
        <v>6405</v>
      </c>
      <c r="G61" s="9">
        <v>6725</v>
      </c>
      <c r="H61" s="9">
        <v>7408</v>
      </c>
      <c r="I61" s="9">
        <v>8695</v>
      </c>
      <c r="J61" s="9">
        <v>7384</v>
      </c>
      <c r="K61" s="9">
        <v>8304</v>
      </c>
      <c r="L61" s="9">
        <v>8114</v>
      </c>
      <c r="N61" s="56">
        <f>N56*-N77</f>
        <v>-7643.8844384256872</v>
      </c>
      <c r="O61" s="56">
        <f t="shared" ref="O61:T61" si="12">O56*-O77</f>
        <v>-7720.3232828099453</v>
      </c>
      <c r="P61" s="56">
        <f t="shared" si="12"/>
        <v>-7797.5265156380447</v>
      </c>
      <c r="Q61" s="56">
        <f t="shared" si="12"/>
        <v>-7875.501780794425</v>
      </c>
      <c r="R61" s="56">
        <f t="shared" si="12"/>
        <v>-7954.2567986023696</v>
      </c>
      <c r="S61" s="56">
        <f t="shared" si="12"/>
        <v>-8033.7993665883923</v>
      </c>
      <c r="T61" s="56">
        <f t="shared" si="12"/>
        <v>-8114.1373602542772</v>
      </c>
    </row>
    <row r="62" spans="1:21" x14ac:dyDescent="0.2">
      <c r="B62" s="13" t="s">
        <v>105</v>
      </c>
      <c r="C62" s="9">
        <v>882</v>
      </c>
      <c r="D62" s="9">
        <v>889</v>
      </c>
      <c r="E62" s="9">
        <v>754</v>
      </c>
      <c r="F62" s="9">
        <v>743</v>
      </c>
      <c r="G62" s="9">
        <v>875</v>
      </c>
      <c r="H62" s="9">
        <v>989</v>
      </c>
      <c r="I62" s="9">
        <v>964</v>
      </c>
      <c r="J62" s="9">
        <v>981</v>
      </c>
      <c r="K62" s="9">
        <v>998</v>
      </c>
      <c r="L62" s="10">
        <v>1189</v>
      </c>
      <c r="N62" s="56">
        <f>N56*-N78</f>
        <v>-961.21535253362617</v>
      </c>
      <c r="O62" s="56">
        <f t="shared" ref="O62:T62" si="13">O56*-O78</f>
        <v>-970.82750605896251</v>
      </c>
      <c r="P62" s="56">
        <f t="shared" si="13"/>
        <v>-980.53578111955221</v>
      </c>
      <c r="Q62" s="56">
        <f t="shared" si="13"/>
        <v>-990.34113893074766</v>
      </c>
      <c r="R62" s="56">
        <f t="shared" si="13"/>
        <v>-1000.2445503200552</v>
      </c>
      <c r="S62" s="56">
        <f t="shared" si="13"/>
        <v>-1010.2469958232556</v>
      </c>
      <c r="T62" s="56">
        <f t="shared" si="13"/>
        <v>-1020.3494657814883</v>
      </c>
    </row>
    <row r="63" spans="1:21" x14ac:dyDescent="0.2">
      <c r="B63" s="11" t="s">
        <v>13</v>
      </c>
      <c r="C63" s="12">
        <v>13515</v>
      </c>
      <c r="D63" s="12">
        <v>11702</v>
      </c>
      <c r="E63" s="12">
        <v>10623</v>
      </c>
      <c r="F63" s="12">
        <v>10815</v>
      </c>
      <c r="G63" s="12">
        <v>11503</v>
      </c>
      <c r="H63" s="12">
        <v>11377</v>
      </c>
      <c r="I63" s="12">
        <v>10531</v>
      </c>
      <c r="J63" s="12">
        <v>11668</v>
      </c>
      <c r="K63" s="12">
        <v>12975</v>
      </c>
      <c r="L63" s="12">
        <v>12246</v>
      </c>
      <c r="N63" s="57">
        <f>N60+N61+N62</f>
        <v>12616.950432690333</v>
      </c>
      <c r="O63" s="57">
        <f t="shared" ref="O63:T63" si="14">O60+O61+O62</f>
        <v>13091.369574840137</v>
      </c>
      <c r="P63" s="57">
        <f t="shared" si="14"/>
        <v>13558.792954354658</v>
      </c>
      <c r="Q63" s="57">
        <f t="shared" si="14"/>
        <v>14019.259306907177</v>
      </c>
      <c r="R63" s="57">
        <f t="shared" si="14"/>
        <v>14472.806962093531</v>
      </c>
      <c r="S63" s="57">
        <f t="shared" si="14"/>
        <v>14919.47384458842</v>
      </c>
      <c r="T63" s="57">
        <f t="shared" si="14"/>
        <v>15359.297475280782</v>
      </c>
    </row>
    <row r="64" spans="1:21" x14ac:dyDescent="0.2">
      <c r="B64" s="13" t="s">
        <v>95</v>
      </c>
      <c r="C64" s="9">
        <v>-973</v>
      </c>
      <c r="D64" s="9">
        <v>-1052</v>
      </c>
      <c r="E64" s="9">
        <v>-1008</v>
      </c>
      <c r="F64" s="9">
        <v>-891</v>
      </c>
      <c r="G64" s="9">
        <v>-914</v>
      </c>
      <c r="H64" s="9">
        <v>-665</v>
      </c>
      <c r="I64" s="9">
        <v>-570</v>
      </c>
      <c r="J64" s="9">
        <v>-618</v>
      </c>
      <c r="K64" s="9">
        <v>-628</v>
      </c>
      <c r="L64" s="9">
        <v>-588</v>
      </c>
      <c r="N64" s="56">
        <f>-N79*N105</f>
        <v>574.25125203083996</v>
      </c>
      <c r="O64" s="56">
        <f t="shared" ref="O64:T64" si="15">-O79*O105</f>
        <v>581.78409822459548</v>
      </c>
      <c r="P64" s="56">
        <f t="shared" si="15"/>
        <v>589.32191034639038</v>
      </c>
      <c r="Q64" s="56">
        <f t="shared" si="15"/>
        <v>596.86538950064232</v>
      </c>
      <c r="R64" s="56">
        <f t="shared" si="15"/>
        <v>604.41523904742473</v>
      </c>
      <c r="S64" s="56">
        <f t="shared" si="15"/>
        <v>611.97216465629185</v>
      </c>
      <c r="T64" s="56">
        <f t="shared" si="15"/>
        <v>619.53687436044697</v>
      </c>
    </row>
    <row r="65" spans="1:23" x14ac:dyDescent="0.2">
      <c r="B65" s="8" t="s">
        <v>14</v>
      </c>
      <c r="C65" s="9">
        <v>12542</v>
      </c>
      <c r="D65" s="9">
        <v>10650</v>
      </c>
      <c r="E65" s="9">
        <v>9615</v>
      </c>
      <c r="F65" s="9">
        <v>9924</v>
      </c>
      <c r="G65" s="9">
        <v>10589</v>
      </c>
      <c r="H65" s="9">
        <v>10671</v>
      </c>
      <c r="I65" s="9">
        <v>9872</v>
      </c>
      <c r="J65" s="9">
        <v>10953</v>
      </c>
      <c r="K65" s="9">
        <v>12232</v>
      </c>
      <c r="L65" s="9">
        <v>11634</v>
      </c>
      <c r="N65" s="56">
        <f>N63+N64</f>
        <v>13191.201684721173</v>
      </c>
      <c r="O65" s="56">
        <f t="shared" ref="O65:T65" si="16">O63+O64</f>
        <v>13673.153673064733</v>
      </c>
      <c r="P65" s="56">
        <f t="shared" si="16"/>
        <v>14148.114864701049</v>
      </c>
      <c r="Q65" s="56">
        <f t="shared" si="16"/>
        <v>14616.12469640782</v>
      </c>
      <c r="R65" s="56">
        <f t="shared" si="16"/>
        <v>15077.222201140956</v>
      </c>
      <c r="S65" s="56">
        <f t="shared" si="16"/>
        <v>15531.446009244712</v>
      </c>
      <c r="T65" s="56">
        <f t="shared" si="16"/>
        <v>15978.834349641229</v>
      </c>
    </row>
    <row r="66" spans="1:23" x14ac:dyDescent="0.2">
      <c r="B66" s="13" t="s">
        <v>96</v>
      </c>
      <c r="C66" s="9">
        <v>3670</v>
      </c>
      <c r="D66" s="9">
        <v>3097</v>
      </c>
      <c r="E66" s="9">
        <v>2688</v>
      </c>
      <c r="F66" s="9">
        <v>2768</v>
      </c>
      <c r="G66" s="9">
        <v>4307</v>
      </c>
      <c r="H66" s="9">
        <v>2445</v>
      </c>
      <c r="I66" s="9">
        <v>2293</v>
      </c>
      <c r="J66" s="9">
        <v>2377</v>
      </c>
      <c r="K66" s="9">
        <v>2671</v>
      </c>
      <c r="L66" s="9">
        <v>2244</v>
      </c>
      <c r="N66" s="56">
        <f>N65*-N82</f>
        <v>-2762.5136462772334</v>
      </c>
      <c r="O66" s="56">
        <f t="shared" ref="O66:T66" si="17">O65*-O82</f>
        <v>-2863.4444770287364</v>
      </c>
      <c r="P66" s="56">
        <f t="shared" si="17"/>
        <v>-2962.9112886738917</v>
      </c>
      <c r="Q66" s="56">
        <f t="shared" si="17"/>
        <v>-3060.9223400991277</v>
      </c>
      <c r="R66" s="56">
        <f t="shared" si="17"/>
        <v>-3157.4858056221397</v>
      </c>
      <c r="S66" s="56">
        <f t="shared" si="17"/>
        <v>-3252.6097752453179</v>
      </c>
      <c r="T66" s="56">
        <f t="shared" si="17"/>
        <v>-3346.3022549048637</v>
      </c>
    </row>
    <row r="67" spans="1:23" x14ac:dyDescent="0.2">
      <c r="B67" s="13" t="s">
        <v>98</v>
      </c>
      <c r="C67" s="9">
        <v>-22</v>
      </c>
      <c r="D67" s="9">
        <v>105</v>
      </c>
      <c r="E67" s="9">
        <v>105</v>
      </c>
      <c r="F67" s="9">
        <v>94</v>
      </c>
      <c r="G67" s="9">
        <v>59</v>
      </c>
      <c r="H67" s="9">
        <v>60</v>
      </c>
      <c r="I67" s="9">
        <v>149</v>
      </c>
      <c r="J67" s="9">
        <v>16</v>
      </c>
      <c r="K67" s="9">
        <v>149</v>
      </c>
      <c r="L67" s="9">
        <v>137</v>
      </c>
      <c r="N67" s="56">
        <f>N80*N99</f>
        <v>102.75127698368691</v>
      </c>
      <c r="O67" s="56">
        <f t="shared" ref="O67:T67" si="18">O80*O99</f>
        <v>103.89772111065861</v>
      </c>
      <c r="P67" s="56">
        <f t="shared" si="18"/>
        <v>105.04414725664226</v>
      </c>
      <c r="Q67" s="56">
        <f t="shared" si="18"/>
        <v>106.19066155079284</v>
      </c>
      <c r="R67" s="56">
        <f t="shared" si="18"/>
        <v>107.33737040752771</v>
      </c>
      <c r="S67" s="56">
        <f t="shared" si="18"/>
        <v>108.48438053448194</v>
      </c>
      <c r="T67" s="56">
        <f t="shared" si="18"/>
        <v>109.63179894051139</v>
      </c>
      <c r="U67" s="9"/>
      <c r="V67" s="9"/>
      <c r="W67" s="9"/>
    </row>
    <row r="68" spans="1:23" x14ac:dyDescent="0.2">
      <c r="B68" s="8" t="s">
        <v>15</v>
      </c>
      <c r="C68" s="9">
        <v>8850</v>
      </c>
      <c r="D68" s="9">
        <v>7658</v>
      </c>
      <c r="E68" s="9">
        <v>7032</v>
      </c>
      <c r="F68" s="9">
        <v>7250</v>
      </c>
      <c r="G68" s="9">
        <v>6341</v>
      </c>
      <c r="H68" s="9">
        <v>8286</v>
      </c>
      <c r="I68" s="9">
        <v>7728</v>
      </c>
      <c r="J68" s="9">
        <v>8592</v>
      </c>
      <c r="K68" s="9">
        <v>9710</v>
      </c>
      <c r="L68" s="9">
        <v>9527</v>
      </c>
      <c r="N68" s="56">
        <f>N65+N66+N67</f>
        <v>10531.439315427626</v>
      </c>
      <c r="O68" s="56">
        <f t="shared" ref="O68:T68" si="19">O65+O66+O67</f>
        <v>10913.606917146657</v>
      </c>
      <c r="P68" s="56">
        <f t="shared" si="19"/>
        <v>11290.247723283799</v>
      </c>
      <c r="Q68" s="56">
        <f t="shared" si="19"/>
        <v>11661.393017859484</v>
      </c>
      <c r="R68" s="56">
        <f t="shared" si="19"/>
        <v>12027.073765926343</v>
      </c>
      <c r="S68" s="56">
        <f t="shared" si="19"/>
        <v>12387.320614533877</v>
      </c>
      <c r="T68" s="56">
        <f t="shared" si="19"/>
        <v>12742.163893676876</v>
      </c>
    </row>
    <row r="69" spans="1:23" x14ac:dyDescent="0.2">
      <c r="B69" s="13" t="s">
        <v>97</v>
      </c>
      <c r="C69" s="9">
        <v>-274</v>
      </c>
      <c r="D69" s="9">
        <v>-165</v>
      </c>
      <c r="E69" s="9">
        <v>-159</v>
      </c>
      <c r="F69" s="9">
        <v>-283</v>
      </c>
      <c r="G69" s="9">
        <v>-306</v>
      </c>
      <c r="H69" s="9">
        <v>-375</v>
      </c>
      <c r="I69" s="9">
        <v>-543</v>
      </c>
      <c r="J69" s="9">
        <v>-536</v>
      </c>
      <c r="K69" s="9">
        <v>-601</v>
      </c>
      <c r="L69" s="9">
        <v>-479</v>
      </c>
      <c r="N69" s="56">
        <f>N56*N81</f>
        <v>-385.30428097197773</v>
      </c>
      <c r="O69" s="56">
        <f t="shared" ref="O69:T69" si="20">O56*O81</f>
        <v>-389.15732378169753</v>
      </c>
      <c r="P69" s="56">
        <f t="shared" si="20"/>
        <v>-393.04889701951453</v>
      </c>
      <c r="Q69" s="56">
        <f t="shared" si="20"/>
        <v>-396.97938598970967</v>
      </c>
      <c r="R69" s="56">
        <f t="shared" si="20"/>
        <v>-400.94917984960676</v>
      </c>
      <c r="S69" s="56">
        <f t="shared" si="20"/>
        <v>-404.95867164810278</v>
      </c>
      <c r="T69" s="56">
        <f t="shared" si="20"/>
        <v>-409.00825836458387</v>
      </c>
    </row>
    <row r="70" spans="1:23" ht="13.5" thickBot="1" x14ac:dyDescent="0.25">
      <c r="A70" t="s">
        <v>45</v>
      </c>
      <c r="B70" s="8" t="s">
        <v>47</v>
      </c>
      <c r="C70" s="25">
        <v>8576</v>
      </c>
      <c r="D70" s="25">
        <v>7493</v>
      </c>
      <c r="E70" s="25">
        <v>6873</v>
      </c>
      <c r="F70" s="25">
        <v>6967</v>
      </c>
      <c r="G70" s="25">
        <v>6035</v>
      </c>
      <c r="H70" s="25">
        <v>7911</v>
      </c>
      <c r="I70" s="25">
        <v>7185</v>
      </c>
      <c r="J70" s="25">
        <v>8056</v>
      </c>
      <c r="K70" s="25">
        <v>9109</v>
      </c>
      <c r="L70" s="25">
        <v>9048</v>
      </c>
      <c r="N70" s="58">
        <f>N68+N69</f>
        <v>10146.135034455649</v>
      </c>
      <c r="O70" s="58">
        <f t="shared" ref="O70:T70" si="21">O68+O69</f>
        <v>10524.44959336496</v>
      </c>
      <c r="P70" s="58">
        <f t="shared" si="21"/>
        <v>10897.198826264284</v>
      </c>
      <c r="Q70" s="58">
        <f t="shared" si="21"/>
        <v>11264.413631869775</v>
      </c>
      <c r="R70" s="58">
        <f t="shared" si="21"/>
        <v>11626.124586076736</v>
      </c>
      <c r="S70" s="58">
        <f t="shared" si="21"/>
        <v>11982.361942885775</v>
      </c>
      <c r="T70" s="58">
        <f t="shared" si="21"/>
        <v>12333.155635312292</v>
      </c>
    </row>
    <row r="71" spans="1:23" x14ac:dyDescent="0.2">
      <c r="B71" s="8"/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23" x14ac:dyDescent="0.2">
      <c r="B72" s="8" t="s">
        <v>48</v>
      </c>
      <c r="C72" s="39"/>
      <c r="D72" s="39"/>
      <c r="E72" s="39"/>
      <c r="F72" s="39"/>
      <c r="G72" s="39"/>
      <c r="H72" s="39"/>
      <c r="I72" s="39"/>
      <c r="J72" s="39"/>
      <c r="K72" s="39"/>
      <c r="L72" s="39"/>
    </row>
    <row r="73" spans="1:23" x14ac:dyDescent="0.2">
      <c r="B73" s="46" t="s">
        <v>81</v>
      </c>
      <c r="C73" s="47"/>
      <c r="D73" s="48">
        <f>D56/C56-1</f>
        <v>9.6215122018272758E-4</v>
      </c>
      <c r="E73" s="48">
        <f t="shared" ref="E73:L73" si="22">E56/D56-1</f>
        <v>-7.737248146206277E-2</v>
      </c>
      <c r="F73" s="48">
        <f t="shared" si="22"/>
        <v>1.4139200086594084E-2</v>
      </c>
      <c r="G73" s="48">
        <f t="shared" si="22"/>
        <v>4.1959628033567675E-2</v>
      </c>
      <c r="H73" s="48">
        <f t="shared" si="22"/>
        <v>2.2087633486132852E-2</v>
      </c>
      <c r="I73" s="48">
        <f t="shared" si="22"/>
        <v>-2.3827718827906796E-2</v>
      </c>
      <c r="J73" s="48">
        <f t="shared" si="22"/>
        <v>-2.4049999358324414E-2</v>
      </c>
      <c r="K73" s="48">
        <f t="shared" si="22"/>
        <v>8.1212934106539292E-2</v>
      </c>
      <c r="L73" s="48">
        <f t="shared" si="22"/>
        <v>-1.8899821217907453E-2</v>
      </c>
      <c r="M73" s="59"/>
      <c r="N73" s="60">
        <v>0.01</v>
      </c>
      <c r="O73" s="60">
        <v>0.01</v>
      </c>
      <c r="P73" s="60">
        <v>0.01</v>
      </c>
      <c r="Q73" s="60">
        <v>0.01</v>
      </c>
      <c r="R73" s="60">
        <v>0.01</v>
      </c>
      <c r="S73" s="60">
        <v>0.01</v>
      </c>
      <c r="T73" s="61">
        <v>0.01</v>
      </c>
    </row>
    <row r="74" spans="1:23" x14ac:dyDescent="0.2">
      <c r="B74" s="49" t="s">
        <v>82</v>
      </c>
      <c r="C74" s="41">
        <f>C57/C56</f>
        <v>0.60992890077346962</v>
      </c>
      <c r="D74" s="41">
        <f t="shared" ref="D74:L74" si="23">D57/D56</f>
        <v>0.62840486355578862</v>
      </c>
      <c r="E74" s="41">
        <f t="shared" si="23"/>
        <v>0.63746820371272395</v>
      </c>
      <c r="F74" s="41">
        <f t="shared" si="23"/>
        <v>0.6439768921857697</v>
      </c>
      <c r="G74" s="41">
        <f t="shared" si="23"/>
        <v>0.63189838408153853</v>
      </c>
      <c r="H74" s="41">
        <f t="shared" si="23"/>
        <v>0.628866366836626</v>
      </c>
      <c r="I74" s="41">
        <f t="shared" si="23"/>
        <v>0.61749720871138714</v>
      </c>
      <c r="J74" s="41">
        <f t="shared" si="23"/>
        <v>0.62268071061317343</v>
      </c>
      <c r="K74" s="41">
        <f t="shared" si="23"/>
        <v>0.61805091032922665</v>
      </c>
      <c r="L74" s="41">
        <f t="shared" si="23"/>
        <v>0.60626758730119379</v>
      </c>
      <c r="N74" s="21">
        <f t="shared" ref="N74:N81" si="24">AVERAGE(C74:L74)</f>
        <v>0.62450400281008966</v>
      </c>
      <c r="O74" s="21">
        <f>N74</f>
        <v>0.62450400281008966</v>
      </c>
      <c r="P74" s="21">
        <f t="shared" ref="P74:T74" si="25">O74</f>
        <v>0.62450400281008966</v>
      </c>
      <c r="Q74" s="21">
        <f t="shared" si="25"/>
        <v>0.62450400281008966</v>
      </c>
      <c r="R74" s="21">
        <f t="shared" si="25"/>
        <v>0.62450400281008966</v>
      </c>
      <c r="S74" s="21">
        <f t="shared" si="25"/>
        <v>0.62450400281008966</v>
      </c>
      <c r="T74" s="62">
        <f t="shared" si="25"/>
        <v>0.62450400281008966</v>
      </c>
    </row>
    <row r="75" spans="1:23" x14ac:dyDescent="0.2">
      <c r="B75" s="49" t="s">
        <v>83</v>
      </c>
      <c r="C75" s="42">
        <f>+C59/C58</f>
        <v>0.33347214658679564</v>
      </c>
      <c r="D75" s="42">
        <f t="shared" ref="D75:L75" si="26">+D59/D58</f>
        <v>0.35058957906406424</v>
      </c>
      <c r="E75" s="42">
        <f t="shared" si="26"/>
        <v>0.34951854892886469</v>
      </c>
      <c r="F75" s="42">
        <f t="shared" si="26"/>
        <v>0.35192055461869964</v>
      </c>
      <c r="G75" s="42">
        <f t="shared" si="26"/>
        <v>0.36287741755948238</v>
      </c>
      <c r="H75" s="42">
        <f t="shared" si="26"/>
        <v>0.36313924050632912</v>
      </c>
      <c r="I75" s="42">
        <f t="shared" si="26"/>
        <v>0.35272605267572554</v>
      </c>
      <c r="J75" s="42">
        <f t="shared" si="26"/>
        <v>0.333484352129365</v>
      </c>
      <c r="K75" s="42">
        <f t="shared" si="26"/>
        <v>0.31937589555803214</v>
      </c>
      <c r="L75" s="42">
        <f t="shared" si="26"/>
        <v>0.35898243183678608</v>
      </c>
      <c r="N75" s="15">
        <f t="shared" si="24"/>
        <v>0.34760862194641445</v>
      </c>
      <c r="O75" s="15">
        <f>N75</f>
        <v>0.34760862194641445</v>
      </c>
      <c r="P75" s="15">
        <f t="shared" ref="P75:T75" si="27">O75</f>
        <v>0.34760862194641445</v>
      </c>
      <c r="Q75" s="15">
        <f t="shared" si="27"/>
        <v>0.34760862194641445</v>
      </c>
      <c r="R75" s="15">
        <f t="shared" si="27"/>
        <v>0.34760862194641445</v>
      </c>
      <c r="S75" s="15">
        <f t="shared" si="27"/>
        <v>0.34760862194641445</v>
      </c>
      <c r="T75" s="63">
        <f t="shared" si="27"/>
        <v>0.34760862194641445</v>
      </c>
    </row>
    <row r="76" spans="1:23" x14ac:dyDescent="0.2">
      <c r="B76" s="49" t="s">
        <v>103</v>
      </c>
      <c r="C76" s="42">
        <f>C62/C56</f>
        <v>1.1021004885728923E-2</v>
      </c>
      <c r="D76" s="42">
        <f t="shared" ref="D76:T76" si="28">D62/D56</f>
        <v>1.1097795421067086E-2</v>
      </c>
      <c r="E76" s="42">
        <f t="shared" si="28"/>
        <v>1.0201872598365535E-2</v>
      </c>
      <c r="F76" s="42">
        <f t="shared" si="28"/>
        <v>9.9128787373420676E-3</v>
      </c>
      <c r="G76" s="42">
        <f t="shared" si="28"/>
        <v>1.1203872058183309E-2</v>
      </c>
      <c r="H76" s="42">
        <f t="shared" si="28"/>
        <v>1.2389912681808501E-2</v>
      </c>
      <c r="I76" s="42">
        <f t="shared" si="28"/>
        <v>1.2371504472478536E-2</v>
      </c>
      <c r="J76" s="42">
        <f t="shared" si="28"/>
        <v>1.2899917156495326E-2</v>
      </c>
      <c r="K76" s="42">
        <f t="shared" si="28"/>
        <v>1.2137723021538985E-2</v>
      </c>
      <c r="L76" s="42">
        <f t="shared" si="28"/>
        <v>1.4739243079745628E-2</v>
      </c>
      <c r="M76" s="42"/>
      <c r="N76" s="15">
        <f t="shared" si="24"/>
        <v>1.179757241127539E-2</v>
      </c>
      <c r="O76" s="42">
        <f t="shared" si="28"/>
        <v>-1.179757241127539E-2</v>
      </c>
      <c r="P76" s="42">
        <f t="shared" si="28"/>
        <v>-1.179757241127539E-2</v>
      </c>
      <c r="Q76" s="42">
        <f t="shared" si="28"/>
        <v>-1.179757241127539E-2</v>
      </c>
      <c r="R76" s="42">
        <f t="shared" si="28"/>
        <v>-1.179757241127539E-2</v>
      </c>
      <c r="S76" s="42">
        <f t="shared" si="28"/>
        <v>-1.179757241127539E-2</v>
      </c>
      <c r="T76" s="42">
        <f t="shared" si="28"/>
        <v>-1.179757241127539E-2</v>
      </c>
      <c r="U76" s="49"/>
    </row>
    <row r="77" spans="1:23" x14ac:dyDescent="0.2">
      <c r="B77" s="49" t="s">
        <v>84</v>
      </c>
      <c r="C77" s="42">
        <f>C61/C56</f>
        <v>8.6093791000762226E-2</v>
      </c>
      <c r="D77" s="42">
        <f t="shared" ref="D77:L77" si="29">D61/D56</f>
        <v>8.7396699373330333E-2</v>
      </c>
      <c r="E77" s="42">
        <f t="shared" si="29"/>
        <v>9.0057909833847483E-2</v>
      </c>
      <c r="F77" s="42">
        <f t="shared" si="29"/>
        <v>8.5453550891892258E-2</v>
      </c>
      <c r="G77" s="42">
        <f t="shared" si="29"/>
        <v>8.610975953289457E-2</v>
      </c>
      <c r="H77" s="42">
        <f t="shared" si="29"/>
        <v>9.2805331796599971E-2</v>
      </c>
      <c r="I77" s="42">
        <f t="shared" si="29"/>
        <v>0.1115873769587146</v>
      </c>
      <c r="J77" s="42">
        <f t="shared" si="29"/>
        <v>9.7097847383854727E-2</v>
      </c>
      <c r="K77" s="42">
        <f t="shared" si="29"/>
        <v>0.10099363924935845</v>
      </c>
      <c r="L77" s="42">
        <f t="shared" si="29"/>
        <v>0.10058386740879396</v>
      </c>
      <c r="N77" s="15">
        <f t="shared" si="24"/>
        <v>9.3817977343004857E-2</v>
      </c>
      <c r="O77" s="15">
        <f t="shared" ref="O77:O82" si="30">N77</f>
        <v>9.3817977343004857E-2</v>
      </c>
      <c r="P77" s="15">
        <f t="shared" ref="P77:T77" si="31">O77</f>
        <v>9.3817977343004857E-2</v>
      </c>
      <c r="Q77" s="15">
        <f t="shared" si="31"/>
        <v>9.3817977343004857E-2</v>
      </c>
      <c r="R77" s="15">
        <f t="shared" si="31"/>
        <v>9.3817977343004857E-2</v>
      </c>
      <c r="S77" s="15">
        <f t="shared" si="31"/>
        <v>9.3817977343004857E-2</v>
      </c>
      <c r="T77" s="63">
        <f t="shared" si="31"/>
        <v>9.3817977343004857E-2</v>
      </c>
    </row>
    <row r="78" spans="1:23" x14ac:dyDescent="0.2">
      <c r="B78" s="49" t="s">
        <v>85</v>
      </c>
      <c r="C78" s="42">
        <f>C62/C56</f>
        <v>1.1021004885728923E-2</v>
      </c>
      <c r="D78" s="42">
        <f t="shared" ref="D78:L78" si="32">D62/D56</f>
        <v>1.1097795421067086E-2</v>
      </c>
      <c r="E78" s="42">
        <f t="shared" si="32"/>
        <v>1.0201872598365535E-2</v>
      </c>
      <c r="F78" s="42">
        <f t="shared" si="32"/>
        <v>9.9128787373420676E-3</v>
      </c>
      <c r="G78" s="42">
        <f t="shared" si="32"/>
        <v>1.1203872058183309E-2</v>
      </c>
      <c r="H78" s="42">
        <f t="shared" si="32"/>
        <v>1.2389912681808501E-2</v>
      </c>
      <c r="I78" s="42">
        <f t="shared" si="32"/>
        <v>1.2371504472478536E-2</v>
      </c>
      <c r="J78" s="42">
        <f t="shared" si="32"/>
        <v>1.2899917156495326E-2</v>
      </c>
      <c r="K78" s="42">
        <f t="shared" si="32"/>
        <v>1.2137723021538985E-2</v>
      </c>
      <c r="L78" s="42">
        <f t="shared" si="32"/>
        <v>1.4739243079745628E-2</v>
      </c>
      <c r="N78" s="15">
        <f t="shared" si="24"/>
        <v>1.179757241127539E-2</v>
      </c>
      <c r="O78" s="15">
        <f t="shared" si="30"/>
        <v>1.179757241127539E-2</v>
      </c>
      <c r="P78" s="15">
        <f t="shared" ref="P78:T82" si="33">O78</f>
        <v>1.179757241127539E-2</v>
      </c>
      <c r="Q78" s="15">
        <f t="shared" si="33"/>
        <v>1.179757241127539E-2</v>
      </c>
      <c r="R78" s="15">
        <f t="shared" si="33"/>
        <v>1.179757241127539E-2</v>
      </c>
      <c r="S78" s="15">
        <f t="shared" si="33"/>
        <v>1.179757241127539E-2</v>
      </c>
      <c r="T78" s="63">
        <f t="shared" si="33"/>
        <v>1.179757241127539E-2</v>
      </c>
    </row>
    <row r="79" spans="1:23" x14ac:dyDescent="0.2">
      <c r="B79" s="49" t="s">
        <v>89</v>
      </c>
      <c r="C79" s="42">
        <f>C64/C106</f>
        <v>-4.0502851434042378E-2</v>
      </c>
      <c r="D79" s="42">
        <f t="shared" ref="D79:L79" si="34">D64/D106</f>
        <v>-3.9065691262208026E-2</v>
      </c>
      <c r="E79" s="42">
        <f t="shared" si="34"/>
        <v>-3.9920792079207922E-2</v>
      </c>
      <c r="F79" s="42">
        <f t="shared" si="34"/>
        <v>-3.4466751769757456E-2</v>
      </c>
      <c r="G79" s="42">
        <f t="shared" si="34"/>
        <v>-2.9169592136337526E-2</v>
      </c>
      <c r="H79" s="42">
        <f t="shared" si="34"/>
        <v>-2.4652455977757181E-2</v>
      </c>
      <c r="I79" s="42">
        <f t="shared" si="34"/>
        <v>-2.1383553421368547E-2</v>
      </c>
      <c r="J79" s="42">
        <f t="shared" si="34"/>
        <v>-2.1939789832433967E-2</v>
      </c>
      <c r="K79" s="42">
        <f t="shared" si="34"/>
        <v>-2.5339950772707096E-2</v>
      </c>
      <c r="L79" s="42">
        <f t="shared" si="34"/>
        <v>-1.6860215053763439E-2</v>
      </c>
      <c r="N79" s="15">
        <f t="shared" si="24"/>
        <v>-2.9330164373958356E-2</v>
      </c>
      <c r="O79" s="15">
        <f t="shared" si="30"/>
        <v>-2.9330164373958356E-2</v>
      </c>
      <c r="P79" s="15">
        <f t="shared" si="33"/>
        <v>-2.9330164373958356E-2</v>
      </c>
      <c r="Q79" s="15">
        <f t="shared" si="33"/>
        <v>-2.9330164373958356E-2</v>
      </c>
      <c r="R79" s="15">
        <f t="shared" si="33"/>
        <v>-2.9330164373958356E-2</v>
      </c>
      <c r="S79" s="15">
        <f t="shared" si="33"/>
        <v>-2.9330164373958356E-2</v>
      </c>
      <c r="T79" s="63">
        <f t="shared" si="33"/>
        <v>-2.9330164373958356E-2</v>
      </c>
    </row>
    <row r="80" spans="1:23" x14ac:dyDescent="0.2">
      <c r="B80" s="49" t="s">
        <v>90</v>
      </c>
      <c r="C80" s="42">
        <f>C67/C99</f>
        <v>-5.7639907776147554E-4</v>
      </c>
      <c r="D80" s="42">
        <f t="shared" ref="D80:L80" si="35">D67/D99</f>
        <v>2.9840566118168642E-3</v>
      </c>
      <c r="E80" s="42">
        <f t="shared" si="35"/>
        <v>3.092237012604547E-3</v>
      </c>
      <c r="F80" s="42">
        <f t="shared" si="35"/>
        <v>2.5508127323546174E-3</v>
      </c>
      <c r="G80" s="42">
        <f t="shared" si="35"/>
        <v>1.3731148761869298E-3</v>
      </c>
      <c r="H80" s="42">
        <f t="shared" si="35"/>
        <v>1.5074998115625236E-3</v>
      </c>
      <c r="I80" s="42">
        <f t="shared" si="35"/>
        <v>3.4752186588921283E-3</v>
      </c>
      <c r="J80" s="42">
        <f t="shared" si="35"/>
        <v>3.5702331808546247E-4</v>
      </c>
      <c r="K80" s="42">
        <f t="shared" si="35"/>
        <v>3.6086219423589246E-3</v>
      </c>
      <c r="L80" s="42">
        <f t="shared" si="35"/>
        <v>2.2211053646990159E-3</v>
      </c>
      <c r="N80" s="15">
        <f t="shared" si="24"/>
        <v>2.0593291250799537E-3</v>
      </c>
      <c r="O80" s="15">
        <f t="shared" si="30"/>
        <v>2.0593291250799537E-3</v>
      </c>
      <c r="P80" s="15">
        <f t="shared" si="33"/>
        <v>2.0593291250799537E-3</v>
      </c>
      <c r="Q80" s="15">
        <f t="shared" si="33"/>
        <v>2.0593291250799537E-3</v>
      </c>
      <c r="R80" s="15">
        <f t="shared" si="33"/>
        <v>2.0593291250799537E-3</v>
      </c>
      <c r="S80" s="15">
        <f t="shared" si="33"/>
        <v>2.0593291250799537E-3</v>
      </c>
      <c r="T80" s="63">
        <f t="shared" si="33"/>
        <v>2.0593291250799537E-3</v>
      </c>
    </row>
    <row r="81" spans="1:21" x14ac:dyDescent="0.2">
      <c r="B81" s="49" t="s">
        <v>91</v>
      </c>
      <c r="C81" s="42">
        <f>C69/C56</f>
        <v>-3.4237588874033165E-3</v>
      </c>
      <c r="D81" s="42">
        <f t="shared" ref="D81:L81" si="36">D69/D56</f>
        <v>-2.0597708036851174E-3</v>
      </c>
      <c r="E81" s="42">
        <f t="shared" si="36"/>
        <v>-2.1513232667640849E-3</v>
      </c>
      <c r="F81" s="42">
        <f t="shared" si="36"/>
        <v>-3.7756994383146771E-3</v>
      </c>
      <c r="G81" s="42">
        <f t="shared" si="36"/>
        <v>-3.91815411406182E-3</v>
      </c>
      <c r="H81" s="42">
        <f t="shared" si="36"/>
        <v>-4.69789409067562E-3</v>
      </c>
      <c r="I81" s="42">
        <f t="shared" si="36"/>
        <v>-6.9685963989168515E-3</v>
      </c>
      <c r="J81" s="42">
        <f t="shared" si="36"/>
        <v>-7.0482727786763451E-3</v>
      </c>
      <c r="K81" s="42">
        <f t="shared" si="36"/>
        <v>-7.3093903165780865E-3</v>
      </c>
      <c r="L81" s="42">
        <f t="shared" si="36"/>
        <v>-5.9378447730850763E-3</v>
      </c>
      <c r="N81" s="15">
        <f t="shared" si="24"/>
        <v>-4.7290704868161006E-3</v>
      </c>
      <c r="O81" s="15">
        <f t="shared" si="30"/>
        <v>-4.7290704868161006E-3</v>
      </c>
      <c r="P81" s="15">
        <f t="shared" si="33"/>
        <v>-4.7290704868161006E-3</v>
      </c>
      <c r="Q81" s="15">
        <f t="shared" si="33"/>
        <v>-4.7290704868161006E-3</v>
      </c>
      <c r="R81" s="15">
        <f t="shared" si="33"/>
        <v>-4.7290704868161006E-3</v>
      </c>
      <c r="S81" s="15">
        <f t="shared" si="33"/>
        <v>-4.7290704868161006E-3</v>
      </c>
      <c r="T81" s="63">
        <f t="shared" si="33"/>
        <v>-4.7290704868161006E-3</v>
      </c>
    </row>
    <row r="82" spans="1:21" x14ac:dyDescent="0.2">
      <c r="B82" s="50" t="s">
        <v>86</v>
      </c>
      <c r="C82" s="51">
        <f>C66/C65</f>
        <v>0.29261680752671027</v>
      </c>
      <c r="D82" s="51">
        <f t="shared" ref="D82:L82" si="37">D66/D65</f>
        <v>0.29079812206572769</v>
      </c>
      <c r="E82" s="51">
        <f t="shared" si="37"/>
        <v>0.27956318252730111</v>
      </c>
      <c r="F82" s="51">
        <f t="shared" si="37"/>
        <v>0.27891979040709391</v>
      </c>
      <c r="G82" s="51">
        <f t="shared" si="37"/>
        <v>0.40674284634998581</v>
      </c>
      <c r="H82" s="51">
        <f t="shared" si="37"/>
        <v>0.2291256676974979</v>
      </c>
      <c r="I82" s="51">
        <f t="shared" si="37"/>
        <v>0.23227309562398704</v>
      </c>
      <c r="J82" s="51">
        <f t="shared" si="37"/>
        <v>0.2170181685383</v>
      </c>
      <c r="K82" s="51">
        <f t="shared" si="37"/>
        <v>0.2183616742969261</v>
      </c>
      <c r="L82" s="51">
        <f t="shared" si="37"/>
        <v>0.19288292934502321</v>
      </c>
      <c r="M82" s="64"/>
      <c r="N82" s="32">
        <f>AVERAGE(J82:L82)</f>
        <v>0.20942092406008314</v>
      </c>
      <c r="O82" s="32">
        <f t="shared" si="30"/>
        <v>0.20942092406008314</v>
      </c>
      <c r="P82" s="32">
        <f t="shared" si="33"/>
        <v>0.20942092406008314</v>
      </c>
      <c r="Q82" s="32">
        <f t="shared" si="33"/>
        <v>0.20942092406008314</v>
      </c>
      <c r="R82" s="32">
        <f t="shared" si="33"/>
        <v>0.20942092406008314</v>
      </c>
      <c r="S82" s="32">
        <f t="shared" si="33"/>
        <v>0.20942092406008314</v>
      </c>
      <c r="T82" s="33">
        <f t="shared" si="33"/>
        <v>0.20942092406008314</v>
      </c>
    </row>
    <row r="83" spans="1:21" x14ac:dyDescent="0.2">
      <c r="B83" s="6"/>
      <c r="C83" s="44"/>
      <c r="D83" s="44"/>
      <c r="E83" s="44"/>
      <c r="F83" s="44"/>
      <c r="G83" s="44"/>
      <c r="H83" s="44"/>
      <c r="I83" s="44"/>
      <c r="J83" s="44"/>
      <c r="K83" s="45"/>
      <c r="L83" s="45"/>
    </row>
    <row r="84" spans="1:21" x14ac:dyDescent="0.2">
      <c r="B84" s="6"/>
      <c r="C84" s="44"/>
      <c r="D84" s="44"/>
      <c r="E84" s="44"/>
      <c r="F84" s="44"/>
      <c r="G84" s="44"/>
      <c r="H84" s="44"/>
      <c r="I84" s="44"/>
      <c r="J84" s="44"/>
      <c r="K84" s="45"/>
      <c r="L84" s="45"/>
    </row>
    <row r="87" spans="1:21" x14ac:dyDescent="0.2">
      <c r="A87" t="s">
        <v>45</v>
      </c>
      <c r="B87" s="4" t="s">
        <v>57</v>
      </c>
      <c r="C87" s="117" t="s">
        <v>87</v>
      </c>
      <c r="D87" s="117"/>
      <c r="E87" s="117"/>
      <c r="F87" s="117"/>
      <c r="G87" s="117"/>
      <c r="H87" s="117"/>
      <c r="I87" s="117"/>
      <c r="J87" s="117"/>
      <c r="K87" s="117"/>
      <c r="L87" s="117"/>
      <c r="N87" s="118" t="s">
        <v>88</v>
      </c>
      <c r="O87" s="118"/>
      <c r="P87" s="118"/>
      <c r="Q87" s="118"/>
      <c r="R87" s="118"/>
      <c r="S87" s="118"/>
      <c r="T87" s="118"/>
    </row>
    <row r="88" spans="1:21" ht="13.5" thickBot="1" x14ac:dyDescent="0.25">
      <c r="B88" s="5"/>
      <c r="C88" s="104">
        <v>2013</v>
      </c>
      <c r="D88" s="104">
        <f>C88+1</f>
        <v>2014</v>
      </c>
      <c r="E88" s="104">
        <f t="shared" ref="E88:L88" si="38">D88+1</f>
        <v>2015</v>
      </c>
      <c r="F88" s="104">
        <f t="shared" si="38"/>
        <v>2016</v>
      </c>
      <c r="G88" s="104">
        <f t="shared" si="38"/>
        <v>2017</v>
      </c>
      <c r="H88" s="104">
        <f t="shared" si="38"/>
        <v>2018</v>
      </c>
      <c r="I88" s="104">
        <f t="shared" si="38"/>
        <v>2019</v>
      </c>
      <c r="J88" s="104">
        <f t="shared" si="38"/>
        <v>2020</v>
      </c>
      <c r="K88" s="104">
        <f t="shared" si="38"/>
        <v>2021</v>
      </c>
      <c r="L88" s="104">
        <f t="shared" si="38"/>
        <v>2022</v>
      </c>
      <c r="N88" s="53">
        <v>2023</v>
      </c>
      <c r="O88" s="53">
        <f>N88+1</f>
        <v>2024</v>
      </c>
      <c r="P88" s="53">
        <f t="shared" ref="P88:T88" si="39">O88+1</f>
        <v>2025</v>
      </c>
      <c r="Q88" s="53">
        <f t="shared" si="39"/>
        <v>2026</v>
      </c>
      <c r="R88" s="53">
        <f t="shared" si="39"/>
        <v>2027</v>
      </c>
      <c r="S88" s="53">
        <f t="shared" si="39"/>
        <v>2028</v>
      </c>
      <c r="T88" s="53">
        <f t="shared" si="39"/>
        <v>2029</v>
      </c>
      <c r="U88" t="s">
        <v>45</v>
      </c>
    </row>
    <row r="89" spans="1:21" x14ac:dyDescent="0.2">
      <c r="B89" s="5" t="s">
        <v>20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21" x14ac:dyDescent="0.2">
      <c r="B90" s="13" t="s">
        <v>21</v>
      </c>
      <c r="C90" s="9">
        <v>2154</v>
      </c>
      <c r="D90" s="9">
        <v>1682</v>
      </c>
      <c r="E90" s="9">
        <v>3417</v>
      </c>
      <c r="F90" s="9">
        <v>4239</v>
      </c>
      <c r="G90" s="9">
        <v>8447</v>
      </c>
      <c r="H90" s="9">
        <v>6593</v>
      </c>
      <c r="I90" s="9">
        <v>6861</v>
      </c>
      <c r="J90" s="9">
        <v>7280</v>
      </c>
      <c r="K90" s="9">
        <v>4496</v>
      </c>
      <c r="L90" s="9">
        <v>3207</v>
      </c>
      <c r="N90" s="9"/>
    </row>
    <row r="91" spans="1:21" x14ac:dyDescent="0.2">
      <c r="B91" s="13" t="s">
        <v>22</v>
      </c>
      <c r="C91" s="9">
        <v>3853</v>
      </c>
      <c r="D91" s="9">
        <v>4004</v>
      </c>
      <c r="E91" s="9">
        <v>2778</v>
      </c>
      <c r="F91" s="9">
        <v>3499</v>
      </c>
      <c r="G91" s="9">
        <v>3738</v>
      </c>
      <c r="H91" s="10">
        <v>3564</v>
      </c>
      <c r="I91" s="10">
        <v>3717</v>
      </c>
      <c r="J91" s="10">
        <v>3761</v>
      </c>
      <c r="K91" s="10">
        <v>3940</v>
      </c>
      <c r="L91" s="10">
        <v>4756</v>
      </c>
      <c r="N91" s="56">
        <f>(N123/365)*N56</f>
        <v>3902.2314002795242</v>
      </c>
      <c r="O91" s="56">
        <f t="shared" ref="O91:T91" si="40">(O123/365)*O56</f>
        <v>3941.2537142823198</v>
      </c>
      <c r="P91" s="56">
        <f t="shared" si="40"/>
        <v>3980.6662514251429</v>
      </c>
      <c r="Q91" s="56">
        <f t="shared" si="40"/>
        <v>4020.4729139393944</v>
      </c>
      <c r="R91" s="56">
        <f t="shared" si="40"/>
        <v>4060.6776430787882</v>
      </c>
      <c r="S91" s="56">
        <f t="shared" si="40"/>
        <v>4101.2844195095759</v>
      </c>
      <c r="T91" s="56">
        <f t="shared" si="40"/>
        <v>4142.2972637046723</v>
      </c>
    </row>
    <row r="92" spans="1:21" x14ac:dyDescent="0.2">
      <c r="B92" s="13" t="s">
        <v>23</v>
      </c>
      <c r="C92" s="9">
        <v>9846</v>
      </c>
      <c r="D92" s="9">
        <v>8592</v>
      </c>
      <c r="E92" s="9">
        <v>8473</v>
      </c>
      <c r="F92" s="9">
        <v>9017</v>
      </c>
      <c r="G92" s="9">
        <v>8806</v>
      </c>
      <c r="H92" s="9">
        <v>8804</v>
      </c>
      <c r="I92" s="9">
        <v>9235</v>
      </c>
      <c r="J92" s="9">
        <v>9591</v>
      </c>
      <c r="K92" s="9">
        <v>8720</v>
      </c>
      <c r="L92" s="9">
        <v>9886</v>
      </c>
      <c r="N92" s="54">
        <f>ABS((N124/365)*N59)</f>
        <v>10079.2610296487</v>
      </c>
      <c r="O92" s="54">
        <f t="shared" ref="O92:T92" si="41">ABS((O124/365)*O59)</f>
        <v>10345.452315667198</v>
      </c>
      <c r="P92" s="54">
        <f t="shared" si="41"/>
        <v>10608.729707299766</v>
      </c>
      <c r="Q92" s="54">
        <f t="shared" si="41"/>
        <v>10869.115688708123</v>
      </c>
      <c r="R92" s="54">
        <f t="shared" si="41"/>
        <v>11126.632592059712</v>
      </c>
      <c r="S92" s="54">
        <f t="shared" si="41"/>
        <v>11381.302598485565</v>
      </c>
      <c r="T92" s="54">
        <f t="shared" si="41"/>
        <v>11633.147739032358</v>
      </c>
    </row>
    <row r="93" spans="1:21" x14ac:dyDescent="0.2">
      <c r="B93" s="13" t="s">
        <v>25</v>
      </c>
      <c r="C93" s="9">
        <v>497</v>
      </c>
      <c r="D93" s="9">
        <v>673</v>
      </c>
      <c r="E93" s="9">
        <v>648</v>
      </c>
      <c r="F93" s="9">
        <v>853</v>
      </c>
      <c r="G93" s="9">
        <v>603</v>
      </c>
      <c r="H93" s="9">
        <v>481</v>
      </c>
      <c r="I93" s="9">
        <v>701</v>
      </c>
      <c r="J93" s="9">
        <v>860</v>
      </c>
      <c r="K93" s="9">
        <v>561</v>
      </c>
      <c r="L93" s="9">
        <v>1770</v>
      </c>
      <c r="N93" s="9">
        <f>N125*N56</f>
        <v>795.00840850364352</v>
      </c>
      <c r="O93" s="9">
        <f t="shared" ref="O93:T93" si="42">O125*O56</f>
        <v>802.95849258868009</v>
      </c>
      <c r="P93" s="9">
        <f t="shared" si="42"/>
        <v>810.98807751456684</v>
      </c>
      <c r="Q93" s="9">
        <f t="shared" si="42"/>
        <v>819.09795828971255</v>
      </c>
      <c r="R93" s="9">
        <f t="shared" si="42"/>
        <v>827.28893787260961</v>
      </c>
      <c r="S93" s="9">
        <f t="shared" si="42"/>
        <v>835.56182725133567</v>
      </c>
      <c r="T93" s="9">
        <f t="shared" si="42"/>
        <v>843.9174455238491</v>
      </c>
    </row>
    <row r="94" spans="1:21" x14ac:dyDescent="0.2">
      <c r="B94" s="18" t="s">
        <v>26</v>
      </c>
      <c r="C94" s="9">
        <v>16852</v>
      </c>
      <c r="D94" s="9">
        <v>15484</v>
      </c>
      <c r="E94" s="9">
        <v>15804</v>
      </c>
      <c r="F94" s="9">
        <v>17608</v>
      </c>
      <c r="G94" s="9">
        <v>21594</v>
      </c>
      <c r="H94" s="9">
        <v>19442</v>
      </c>
      <c r="I94" s="9">
        <v>20514</v>
      </c>
      <c r="J94" s="9">
        <v>21492</v>
      </c>
      <c r="K94" s="9">
        <v>17717</v>
      </c>
      <c r="L94" s="9">
        <v>19619</v>
      </c>
      <c r="N94" s="9">
        <f>SUM(N90:N93)</f>
        <v>14776.500838431868</v>
      </c>
      <c r="O94" s="9">
        <f t="shared" ref="O94:T94" si="43">SUM(O90:O93)</f>
        <v>15089.664522538198</v>
      </c>
      <c r="P94" s="9">
        <f t="shared" si="43"/>
        <v>15400.384036239475</v>
      </c>
      <c r="Q94" s="9">
        <f t="shared" si="43"/>
        <v>15708.686560937231</v>
      </c>
      <c r="R94" s="9">
        <f t="shared" si="43"/>
        <v>16014.599173011111</v>
      </c>
      <c r="S94" s="9">
        <f t="shared" si="43"/>
        <v>16318.148845246476</v>
      </c>
      <c r="T94" s="9">
        <f t="shared" si="43"/>
        <v>16619.362448260879</v>
      </c>
    </row>
    <row r="95" spans="1:21" x14ac:dyDescent="0.2">
      <c r="B95" s="13" t="s">
        <v>27</v>
      </c>
      <c r="C95" s="9">
        <v>6755</v>
      </c>
      <c r="D95" s="9">
        <v>6071</v>
      </c>
      <c r="E95" s="9">
        <v>5721</v>
      </c>
      <c r="F95" s="9">
        <v>6064</v>
      </c>
      <c r="G95" s="9">
        <v>7271</v>
      </c>
      <c r="H95" s="9">
        <v>7201</v>
      </c>
      <c r="I95" s="9">
        <v>6631</v>
      </c>
      <c r="J95" s="9">
        <v>6365</v>
      </c>
      <c r="K95" s="9">
        <v>6168</v>
      </c>
      <c r="L95" s="9">
        <v>6710</v>
      </c>
      <c r="N95" s="55">
        <f>L95-N146-N153</f>
        <v>6866.0038008910724</v>
      </c>
      <c r="O95" s="55">
        <f>N95-O146-O153</f>
        <v>7023.5676397910556</v>
      </c>
      <c r="P95" s="55">
        <f t="shared" ref="P95:T95" si="44">O95-P146-P153</f>
        <v>7182.7071170800391</v>
      </c>
      <c r="Q95" s="55">
        <f t="shared" si="44"/>
        <v>7343.4379891419121</v>
      </c>
      <c r="R95" s="55">
        <f t="shared" si="44"/>
        <v>7505.7761699244038</v>
      </c>
      <c r="S95" s="55">
        <f t="shared" si="44"/>
        <v>7669.7377325147199</v>
      </c>
      <c r="T95" s="55">
        <f t="shared" si="44"/>
        <v>7835.3389107309395</v>
      </c>
    </row>
    <row r="96" spans="1:21" x14ac:dyDescent="0.2">
      <c r="B96" s="13" t="s">
        <v>28</v>
      </c>
      <c r="C96" s="9">
        <v>8893</v>
      </c>
      <c r="D96" s="9">
        <v>8388</v>
      </c>
      <c r="E96" s="9">
        <v>7415</v>
      </c>
      <c r="F96" s="9">
        <v>7324</v>
      </c>
      <c r="G96" s="9">
        <v>7666</v>
      </c>
      <c r="H96" s="9">
        <v>7189</v>
      </c>
      <c r="I96" s="9">
        <v>5858</v>
      </c>
      <c r="J96" s="9">
        <v>5964</v>
      </c>
      <c r="K96" s="9">
        <v>6680</v>
      </c>
      <c r="L96" s="9">
        <v>19655</v>
      </c>
      <c r="N96" s="54">
        <f>$L$96</f>
        <v>19655</v>
      </c>
      <c r="O96" s="54">
        <f t="shared" ref="O96:T96" si="45">$L$96</f>
        <v>19655</v>
      </c>
      <c r="P96" s="54">
        <f t="shared" si="45"/>
        <v>19655</v>
      </c>
      <c r="Q96" s="54">
        <f t="shared" si="45"/>
        <v>19655</v>
      </c>
      <c r="R96" s="54">
        <f t="shared" si="45"/>
        <v>19655</v>
      </c>
      <c r="S96" s="54">
        <f t="shared" si="45"/>
        <v>19655</v>
      </c>
      <c r="T96" s="54">
        <f t="shared" si="45"/>
        <v>19655</v>
      </c>
    </row>
    <row r="97" spans="2:23" x14ac:dyDescent="0.2">
      <c r="B97" s="13" t="s">
        <v>24</v>
      </c>
      <c r="C97" s="9">
        <v>502</v>
      </c>
      <c r="D97" s="9">
        <v>533</v>
      </c>
      <c r="E97" s="9">
        <v>488</v>
      </c>
      <c r="F97" s="9">
        <v>859</v>
      </c>
      <c r="G97" s="9">
        <v>1007</v>
      </c>
      <c r="H97" s="9">
        <v>977</v>
      </c>
      <c r="I97" s="9">
        <v>1153</v>
      </c>
      <c r="J97" s="9">
        <v>1410</v>
      </c>
      <c r="K97" s="9">
        <v>895</v>
      </c>
      <c r="L97" s="9">
        <v>603</v>
      </c>
      <c r="N97" s="55">
        <f>N126*N56</f>
        <v>878.48385173596182</v>
      </c>
      <c r="O97" s="55">
        <f t="shared" ref="O97:T97" si="46">O126*O56</f>
        <v>887.26869025332155</v>
      </c>
      <c r="P97" s="55">
        <f t="shared" si="46"/>
        <v>896.1413771558548</v>
      </c>
      <c r="Q97" s="55">
        <f t="shared" si="46"/>
        <v>905.10279092741337</v>
      </c>
      <c r="R97" s="55">
        <f t="shared" si="46"/>
        <v>914.15381883668749</v>
      </c>
      <c r="S97" s="55">
        <f t="shared" si="46"/>
        <v>923.29535702505427</v>
      </c>
      <c r="T97" s="55">
        <f t="shared" si="46"/>
        <v>932.5283105953049</v>
      </c>
    </row>
    <row r="98" spans="2:23" x14ac:dyDescent="0.2">
      <c r="B98" s="13" t="s">
        <v>29</v>
      </c>
      <c r="C98" s="9">
        <v>5668</v>
      </c>
      <c r="D98" s="9">
        <v>5244</v>
      </c>
      <c r="E98" s="9">
        <v>5016</v>
      </c>
      <c r="F98" s="9">
        <v>4996</v>
      </c>
      <c r="G98" s="9">
        <v>5430</v>
      </c>
      <c r="H98" s="9">
        <v>4992</v>
      </c>
      <c r="I98" s="9">
        <v>8719</v>
      </c>
      <c r="J98" s="9">
        <v>9584</v>
      </c>
      <c r="K98" s="9">
        <v>9830</v>
      </c>
      <c r="L98" s="9">
        <v>15094</v>
      </c>
      <c r="N98" s="9">
        <f>N127*N56</f>
        <v>7719.5215234938114</v>
      </c>
      <c r="O98" s="9">
        <f t="shared" ref="O98:T98" si="47">O127*O56</f>
        <v>7796.71673872875</v>
      </c>
      <c r="P98" s="9">
        <f t="shared" si="47"/>
        <v>7874.6839061160381</v>
      </c>
      <c r="Q98" s="9">
        <f t="shared" si="47"/>
        <v>7953.4307451771983</v>
      </c>
      <c r="R98" s="9">
        <f t="shared" si="47"/>
        <v>8032.9650526289697</v>
      </c>
      <c r="S98" s="9">
        <f t="shared" si="47"/>
        <v>8113.2947031552594</v>
      </c>
      <c r="T98" s="9">
        <f t="shared" si="47"/>
        <v>8194.4276501868117</v>
      </c>
      <c r="U98" s="9"/>
      <c r="V98" s="9"/>
      <c r="W98" s="9"/>
    </row>
    <row r="99" spans="2:23" ht="13.5" thickBot="1" x14ac:dyDescent="0.25">
      <c r="B99" s="18" t="s">
        <v>30</v>
      </c>
      <c r="C99" s="20">
        <v>38168</v>
      </c>
      <c r="D99" s="20">
        <v>35187</v>
      </c>
      <c r="E99" s="20">
        <v>33956</v>
      </c>
      <c r="F99" s="20">
        <v>36851</v>
      </c>
      <c r="G99" s="20">
        <v>42968</v>
      </c>
      <c r="H99" s="20">
        <v>39801</v>
      </c>
      <c r="I99" s="20">
        <v>42875</v>
      </c>
      <c r="J99" s="20">
        <v>44815</v>
      </c>
      <c r="K99" s="20">
        <v>41290</v>
      </c>
      <c r="L99" s="20">
        <v>61681</v>
      </c>
      <c r="N99" s="20">
        <f>SUM(N95:N98)+N94</f>
        <v>49895.51001455271</v>
      </c>
      <c r="O99" s="20">
        <f t="shared" ref="O99:T99" si="48">SUM(O95:O98)+O94</f>
        <v>50452.217591311331</v>
      </c>
      <c r="P99" s="20">
        <f t="shared" si="48"/>
        <v>51008.916436591411</v>
      </c>
      <c r="Q99" s="20">
        <f t="shared" si="48"/>
        <v>51565.658086183757</v>
      </c>
      <c r="R99" s="20">
        <f t="shared" si="48"/>
        <v>52122.494214401173</v>
      </c>
      <c r="S99" s="20">
        <f t="shared" si="48"/>
        <v>52679.476637941509</v>
      </c>
      <c r="T99" s="20">
        <f t="shared" si="48"/>
        <v>53236.657319773942</v>
      </c>
    </row>
    <row r="100" spans="2:23" x14ac:dyDescent="0.2">
      <c r="B100" s="18"/>
      <c r="C100" s="9"/>
      <c r="D100" s="9"/>
      <c r="E100" s="9"/>
      <c r="F100" s="9"/>
      <c r="G100" s="9"/>
      <c r="H100" s="9"/>
      <c r="I100" s="9"/>
      <c r="J100" s="9"/>
      <c r="K100" s="9"/>
      <c r="L100" s="9"/>
    </row>
    <row r="101" spans="2:23" x14ac:dyDescent="0.2">
      <c r="B101" s="18" t="s">
        <v>31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</row>
    <row r="102" spans="2:23" x14ac:dyDescent="0.2">
      <c r="B102" s="13" t="s">
        <v>53</v>
      </c>
      <c r="C102" s="9">
        <v>3655</v>
      </c>
      <c r="D102" s="9">
        <v>2526</v>
      </c>
      <c r="E102" s="9">
        <v>3230</v>
      </c>
      <c r="F102" s="9">
        <v>3216</v>
      </c>
      <c r="G102" s="9">
        <v>3005</v>
      </c>
      <c r="H102" s="9">
        <v>4784</v>
      </c>
      <c r="I102" s="9">
        <v>4389</v>
      </c>
      <c r="J102" s="9">
        <v>3368</v>
      </c>
      <c r="K102" s="9">
        <v>3023</v>
      </c>
      <c r="L102" s="9">
        <v>8248</v>
      </c>
      <c r="N102" s="54">
        <f>N106*N129</f>
        <v>4691.6005202284405</v>
      </c>
      <c r="O102" s="54">
        <f t="shared" ref="O102:T102" si="49">O106*O129</f>
        <v>4743.9469048224473</v>
      </c>
      <c r="P102" s="54">
        <f t="shared" si="49"/>
        <v>4796.2924684085265</v>
      </c>
      <c r="Q102" s="54">
        <f t="shared" si="49"/>
        <v>4848.6420568203584</v>
      </c>
      <c r="R102" s="54">
        <f t="shared" si="49"/>
        <v>4901.000528916642</v>
      </c>
      <c r="S102" s="54">
        <f t="shared" si="49"/>
        <v>4953.3727569443308</v>
      </c>
      <c r="T102" s="54">
        <f t="shared" si="49"/>
        <v>5005.7636269040486</v>
      </c>
    </row>
    <row r="103" spans="2:23" x14ac:dyDescent="0.2">
      <c r="B103" s="13" t="s">
        <v>32</v>
      </c>
      <c r="C103" s="9">
        <v>1274</v>
      </c>
      <c r="D103" s="9">
        <v>1242</v>
      </c>
      <c r="E103" s="9">
        <v>1289</v>
      </c>
      <c r="F103" s="9">
        <v>1666</v>
      </c>
      <c r="G103" s="9">
        <v>2242</v>
      </c>
      <c r="H103" s="9">
        <v>2068</v>
      </c>
      <c r="I103" s="9">
        <v>2299</v>
      </c>
      <c r="J103" s="9">
        <v>2780</v>
      </c>
      <c r="K103" s="9">
        <v>3331</v>
      </c>
      <c r="L103" s="9">
        <v>4076</v>
      </c>
      <c r="N103" s="54">
        <f>ABS((N128/365)*N59)</f>
        <v>3388.8476048297666</v>
      </c>
      <c r="O103" s="54">
        <f t="shared" ref="O103:T103" si="50">ABS((O128/365)*O59)</f>
        <v>3478.3463983818751</v>
      </c>
      <c r="P103" s="54">
        <f t="shared" si="50"/>
        <v>3566.8654828083409</v>
      </c>
      <c r="Q103" s="54">
        <f t="shared" si="50"/>
        <v>3654.4124177305844</v>
      </c>
      <c r="R103" s="54">
        <f t="shared" si="50"/>
        <v>3740.9947116665339</v>
      </c>
      <c r="S103" s="54">
        <f t="shared" si="50"/>
        <v>3826.6198223526808</v>
      </c>
      <c r="T103" s="54">
        <f t="shared" si="50"/>
        <v>3911.295157064174</v>
      </c>
    </row>
    <row r="104" spans="2:23" x14ac:dyDescent="0.2">
      <c r="B104" s="19" t="s">
        <v>33</v>
      </c>
      <c r="C104" s="9">
        <v>10833</v>
      </c>
      <c r="D104" s="9">
        <v>10108</v>
      </c>
      <c r="E104" s="9">
        <v>9691</v>
      </c>
      <c r="F104" s="9">
        <v>10753</v>
      </c>
      <c r="G104" s="9">
        <v>9903</v>
      </c>
      <c r="H104" s="9">
        <v>9763</v>
      </c>
      <c r="I104" s="9">
        <v>11349</v>
      </c>
      <c r="J104" s="9">
        <v>12376</v>
      </c>
      <c r="K104" s="9">
        <v>11876</v>
      </c>
      <c r="L104" s="9">
        <v>13972</v>
      </c>
      <c r="N104" s="54">
        <f>N129*N56</f>
        <v>11498.414260749143</v>
      </c>
      <c r="O104" s="54">
        <f t="shared" ref="O104:T104" si="51">O129*O56</f>
        <v>11613.398403356636</v>
      </c>
      <c r="P104" s="54">
        <f t="shared" si="51"/>
        <v>11729.532387390202</v>
      </c>
      <c r="Q104" s="54">
        <f t="shared" si="51"/>
        <v>11846.827711264104</v>
      </c>
      <c r="R104" s="54">
        <f t="shared" si="51"/>
        <v>11965.295988376745</v>
      </c>
      <c r="S104" s="54">
        <f t="shared" si="51"/>
        <v>12084.948948260511</v>
      </c>
      <c r="T104" s="54">
        <f t="shared" si="51"/>
        <v>12205.798437743118</v>
      </c>
    </row>
    <row r="105" spans="2:23" x14ac:dyDescent="0.2">
      <c r="B105" s="18" t="s">
        <v>34</v>
      </c>
      <c r="C105" s="9">
        <v>17066</v>
      </c>
      <c r="D105" s="9">
        <v>15112</v>
      </c>
      <c r="E105" s="9">
        <v>15386</v>
      </c>
      <c r="F105" s="9">
        <v>16467</v>
      </c>
      <c r="G105" s="9">
        <v>15962</v>
      </c>
      <c r="H105" s="9">
        <v>17191</v>
      </c>
      <c r="I105" s="9">
        <v>18833</v>
      </c>
      <c r="J105" s="9">
        <v>19615</v>
      </c>
      <c r="K105" s="9">
        <v>19255</v>
      </c>
      <c r="L105" s="9">
        <v>27336</v>
      </c>
      <c r="N105" s="54">
        <f>SUM(N102:N104)</f>
        <v>19578.862385807348</v>
      </c>
      <c r="O105" s="54">
        <f t="shared" ref="O105:T105" si="52">SUM(O102:O104)</f>
        <v>19835.69170656096</v>
      </c>
      <c r="P105" s="54">
        <f t="shared" si="52"/>
        <v>20092.69033860707</v>
      </c>
      <c r="Q105" s="54">
        <f t="shared" si="52"/>
        <v>20349.882185815048</v>
      </c>
      <c r="R105" s="54">
        <f t="shared" si="52"/>
        <v>20607.291228959919</v>
      </c>
      <c r="S105" s="54">
        <f t="shared" si="52"/>
        <v>20864.941527557523</v>
      </c>
      <c r="T105" s="54">
        <f t="shared" si="52"/>
        <v>21122.85722171134</v>
      </c>
    </row>
    <row r="106" spans="2:23" x14ac:dyDescent="0.2">
      <c r="B106" s="13" t="s">
        <v>35</v>
      </c>
      <c r="C106" s="9">
        <v>24023</v>
      </c>
      <c r="D106" s="9">
        <v>26929</v>
      </c>
      <c r="E106" s="9">
        <v>25250</v>
      </c>
      <c r="F106" s="9">
        <v>25851</v>
      </c>
      <c r="G106" s="9">
        <v>31334</v>
      </c>
      <c r="H106" s="9">
        <v>26975</v>
      </c>
      <c r="I106" s="9">
        <v>26656</v>
      </c>
      <c r="J106" s="9">
        <v>28168</v>
      </c>
      <c r="K106" s="9">
        <v>24783</v>
      </c>
      <c r="L106" s="9">
        <v>34875</v>
      </c>
      <c r="N106" s="54">
        <f>N99*N132</f>
        <v>33243.835273427241</v>
      </c>
      <c r="O106" s="54">
        <f t="shared" ref="O106:T106" si="53">O99*O132</f>
        <v>33614.752315298036</v>
      </c>
      <c r="P106" s="54">
        <f t="shared" si="53"/>
        <v>33985.663539654706</v>
      </c>
      <c r="Q106" s="54">
        <f t="shared" si="53"/>
        <v>34356.603283200886</v>
      </c>
      <c r="R106" s="54">
        <f t="shared" si="53"/>
        <v>34727.60597493314</v>
      </c>
      <c r="S106" s="54">
        <f t="shared" si="53"/>
        <v>35098.706138714791</v>
      </c>
      <c r="T106" s="54">
        <f t="shared" si="53"/>
        <v>35469.938395865196</v>
      </c>
    </row>
    <row r="107" spans="2:23" x14ac:dyDescent="0.2">
      <c r="B107" s="13" t="s">
        <v>54</v>
      </c>
      <c r="C107" s="9">
        <v>2781</v>
      </c>
      <c r="D107" s="9">
        <v>2785</v>
      </c>
      <c r="E107" s="9">
        <v>2719</v>
      </c>
      <c r="F107" s="9">
        <v>2729</v>
      </c>
      <c r="G107" s="9">
        <v>1611</v>
      </c>
      <c r="H107" s="9">
        <v>1474</v>
      </c>
      <c r="I107" s="9">
        <v>1704</v>
      </c>
      <c r="J107" s="9">
        <v>1775</v>
      </c>
      <c r="K107" s="9">
        <v>1751</v>
      </c>
      <c r="L107" s="9">
        <v>2996</v>
      </c>
      <c r="N107" s="54">
        <f>N130*N56</f>
        <v>2325.7470671728261</v>
      </c>
      <c r="O107" s="54">
        <f t="shared" ref="O107:T107" si="54">O130*O56</f>
        <v>2349.0045378445548</v>
      </c>
      <c r="P107" s="54">
        <f t="shared" si="54"/>
        <v>2372.4945832230005</v>
      </c>
      <c r="Q107" s="54">
        <f t="shared" si="54"/>
        <v>2396.2195290552304</v>
      </c>
      <c r="R107" s="54">
        <f t="shared" si="54"/>
        <v>2420.1817243457826</v>
      </c>
      <c r="S107" s="54">
        <f t="shared" si="54"/>
        <v>2444.3835415892404</v>
      </c>
      <c r="T107" s="54">
        <f t="shared" si="54"/>
        <v>2468.8273770051328</v>
      </c>
    </row>
    <row r="108" spans="2:23" x14ac:dyDescent="0.2">
      <c r="B108" s="13" t="s">
        <v>36</v>
      </c>
      <c r="C108" s="9">
        <v>1876</v>
      </c>
      <c r="D108" s="9">
        <v>2800</v>
      </c>
      <c r="E108" s="9">
        <v>3253</v>
      </c>
      <c r="F108" s="9">
        <v>3536</v>
      </c>
      <c r="G108" s="9">
        <v>5103</v>
      </c>
      <c r="H108" s="9">
        <v>5476</v>
      </c>
      <c r="I108" s="9">
        <v>6077</v>
      </c>
      <c r="J108" s="9">
        <v>6979</v>
      </c>
      <c r="K108" s="9">
        <v>4734</v>
      </c>
      <c r="L108" s="9">
        <v>3825</v>
      </c>
      <c r="N108" s="54">
        <f>N133*N56</f>
        <v>4548.6322864939366</v>
      </c>
      <c r="O108" s="54">
        <f t="shared" ref="O108:T108" si="55">O133*O56</f>
        <v>4594.1186093588767</v>
      </c>
      <c r="P108" s="54">
        <f t="shared" si="55"/>
        <v>4640.0597954524646</v>
      </c>
      <c r="Q108" s="54">
        <f t="shared" si="55"/>
        <v>4686.4603934069901</v>
      </c>
      <c r="R108" s="54">
        <f t="shared" si="55"/>
        <v>4733.3249973410593</v>
      </c>
      <c r="S108" s="54">
        <f t="shared" si="55"/>
        <v>4780.6582473144699</v>
      </c>
      <c r="T108" s="54">
        <f t="shared" si="55"/>
        <v>4828.4648297876147</v>
      </c>
    </row>
    <row r="109" spans="2:23" ht="13.5" thickBot="1" x14ac:dyDescent="0.25">
      <c r="B109" s="18" t="s">
        <v>37</v>
      </c>
      <c r="C109" s="20">
        <v>44442</v>
      </c>
      <c r="D109" s="20">
        <v>46390</v>
      </c>
      <c r="E109" s="20">
        <v>45432</v>
      </c>
      <c r="F109" s="20">
        <v>47751</v>
      </c>
      <c r="G109" s="20">
        <v>53198</v>
      </c>
      <c r="H109" s="20">
        <v>50540</v>
      </c>
      <c r="I109" s="20">
        <v>52474</v>
      </c>
      <c r="J109" s="20">
        <v>55446</v>
      </c>
      <c r="K109" s="20">
        <v>49498</v>
      </c>
      <c r="L109" s="20">
        <v>67992</v>
      </c>
      <c r="N109" s="65">
        <f>SUM(N106:N108)+N105</f>
        <v>59697.077012901354</v>
      </c>
      <c r="O109" s="65">
        <f t="shared" ref="O109:T109" si="56">SUM(O106:O108)+O105</f>
        <v>60393.567169062429</v>
      </c>
      <c r="P109" s="65">
        <f t="shared" si="56"/>
        <v>61090.90825693724</v>
      </c>
      <c r="Q109" s="65">
        <f t="shared" si="56"/>
        <v>61789.165391478156</v>
      </c>
      <c r="R109" s="65">
        <f t="shared" si="56"/>
        <v>62488.4039255799</v>
      </c>
      <c r="S109" s="65">
        <f t="shared" si="56"/>
        <v>63188.689455176027</v>
      </c>
      <c r="T109" s="65">
        <f t="shared" si="56"/>
        <v>63890.087824369279</v>
      </c>
    </row>
    <row r="110" spans="2:23" x14ac:dyDescent="0.2">
      <c r="B110" s="6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2:23" x14ac:dyDescent="0.2">
      <c r="B111" s="18" t="s">
        <v>38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2:23" x14ac:dyDescent="0.2">
      <c r="B112" s="13" t="s">
        <v>39</v>
      </c>
      <c r="C112" s="9">
        <v>723</v>
      </c>
      <c r="D112" s="9">
        <v>710</v>
      </c>
      <c r="E112" s="9">
        <v>1929</v>
      </c>
      <c r="F112" s="9">
        <v>1964</v>
      </c>
      <c r="G112" s="9">
        <v>1972</v>
      </c>
      <c r="H112" s="9">
        <v>1939</v>
      </c>
      <c r="I112" s="9">
        <v>2019</v>
      </c>
      <c r="J112" s="9">
        <v>2105</v>
      </c>
      <c r="K112" s="9">
        <v>2225</v>
      </c>
      <c r="L112" s="9">
        <v>2230</v>
      </c>
    </row>
    <row r="113" spans="1:21" x14ac:dyDescent="0.2">
      <c r="B113" s="19" t="s">
        <v>40</v>
      </c>
      <c r="C113" s="9">
        <v>27843</v>
      </c>
      <c r="D113" s="9">
        <v>29249</v>
      </c>
      <c r="E113" s="9">
        <v>29842</v>
      </c>
      <c r="F113" s="9">
        <v>30397</v>
      </c>
      <c r="G113" s="9">
        <v>29859</v>
      </c>
      <c r="H113" s="9">
        <v>31014</v>
      </c>
      <c r="I113" s="9">
        <v>30987</v>
      </c>
      <c r="J113" s="9">
        <v>31638</v>
      </c>
      <c r="K113" s="9">
        <v>33082</v>
      </c>
      <c r="L113" s="9">
        <v>34289</v>
      </c>
      <c r="N113" s="54"/>
    </row>
    <row r="114" spans="1:21" x14ac:dyDescent="0.2">
      <c r="B114" s="13" t="s">
        <v>41</v>
      </c>
      <c r="C114" s="9">
        <v>-4190</v>
      </c>
      <c r="D114" s="9">
        <v>-6826</v>
      </c>
      <c r="E114" s="9">
        <v>-9402</v>
      </c>
      <c r="F114" s="9">
        <v>-9559</v>
      </c>
      <c r="G114" s="9">
        <v>-8535</v>
      </c>
      <c r="H114" s="9">
        <v>-10111</v>
      </c>
      <c r="I114" s="9">
        <v>-9363</v>
      </c>
      <c r="J114" s="9">
        <v>-11181</v>
      </c>
      <c r="K114" s="9">
        <v>-9577</v>
      </c>
      <c r="L114" s="9">
        <v>-9559</v>
      </c>
    </row>
    <row r="115" spans="1:21" x14ac:dyDescent="0.2">
      <c r="B115" s="18" t="s">
        <v>176</v>
      </c>
      <c r="C115" s="12">
        <v>24376</v>
      </c>
      <c r="D115" s="12">
        <v>23133</v>
      </c>
      <c r="E115" s="12">
        <v>22369</v>
      </c>
      <c r="F115" s="12">
        <v>22802</v>
      </c>
      <c r="G115" s="12">
        <v>23296</v>
      </c>
      <c r="H115" s="12">
        <v>22842</v>
      </c>
      <c r="I115" s="12">
        <v>23643</v>
      </c>
      <c r="J115" s="12">
        <v>22562</v>
      </c>
      <c r="K115" s="12">
        <v>25730</v>
      </c>
      <c r="L115" s="12">
        <v>26960</v>
      </c>
    </row>
    <row r="116" spans="1:21" x14ac:dyDescent="0.2">
      <c r="B116" s="13" t="s">
        <v>42</v>
      </c>
      <c r="C116" s="9">
        <v>32142</v>
      </c>
      <c r="D116" s="9">
        <v>35762</v>
      </c>
      <c r="E116" s="9">
        <v>35613</v>
      </c>
      <c r="F116" s="9">
        <v>35490</v>
      </c>
      <c r="G116" s="9">
        <v>35382</v>
      </c>
      <c r="H116" s="9">
        <v>35301</v>
      </c>
      <c r="I116" s="9">
        <v>35220</v>
      </c>
      <c r="J116" s="9">
        <v>35129</v>
      </c>
      <c r="K116" s="9">
        <v>35836</v>
      </c>
      <c r="L116" s="9">
        <v>35917</v>
      </c>
      <c r="N116" s="59"/>
      <c r="O116" s="59"/>
      <c r="P116" s="59"/>
      <c r="Q116" s="59"/>
      <c r="R116" s="59"/>
      <c r="S116" s="59"/>
      <c r="T116" s="59"/>
    </row>
    <row r="117" spans="1:21" x14ac:dyDescent="0.2">
      <c r="B117" s="18" t="s">
        <v>46</v>
      </c>
      <c r="C117" s="12">
        <v>-7766</v>
      </c>
      <c r="D117" s="12">
        <v>-12629</v>
      </c>
      <c r="E117" s="12">
        <v>-13244</v>
      </c>
      <c r="F117" s="12">
        <v>-12688</v>
      </c>
      <c r="G117" s="12">
        <v>-12086</v>
      </c>
      <c r="H117" s="12">
        <v>-12459</v>
      </c>
      <c r="I117" s="12">
        <v>-11577</v>
      </c>
      <c r="J117" s="12">
        <v>-12567</v>
      </c>
      <c r="K117" s="12">
        <v>-10106</v>
      </c>
      <c r="L117" s="12">
        <v>-8957</v>
      </c>
    </row>
    <row r="118" spans="1:21" x14ac:dyDescent="0.2">
      <c r="B118" s="13" t="s">
        <v>43</v>
      </c>
      <c r="C118" s="9">
        <v>1492</v>
      </c>
      <c r="D118" s="9">
        <v>1426</v>
      </c>
      <c r="E118" s="9">
        <v>1768</v>
      </c>
      <c r="F118" s="9">
        <v>1788</v>
      </c>
      <c r="G118" s="9">
        <v>1856</v>
      </c>
      <c r="H118" s="9">
        <v>1720</v>
      </c>
      <c r="I118" s="9">
        <v>1978</v>
      </c>
      <c r="J118" s="9">
        <v>1936</v>
      </c>
      <c r="K118" s="9">
        <v>1898</v>
      </c>
      <c r="L118" s="9">
        <v>2646</v>
      </c>
      <c r="N118" s="67"/>
      <c r="O118" s="67"/>
      <c r="P118" s="67"/>
      <c r="Q118" s="67"/>
      <c r="R118" s="67"/>
      <c r="S118" s="67"/>
      <c r="T118" s="67"/>
    </row>
    <row r="119" spans="1:21" ht="13.5" thickBot="1" x14ac:dyDescent="0.25">
      <c r="A119" t="s">
        <v>45</v>
      </c>
      <c r="B119" s="18" t="s">
        <v>44</v>
      </c>
      <c r="C119" s="20">
        <v>-6274</v>
      </c>
      <c r="D119" s="20">
        <v>-11203</v>
      </c>
      <c r="E119" s="20">
        <v>-11476</v>
      </c>
      <c r="F119" s="20">
        <v>-10900</v>
      </c>
      <c r="G119" s="20">
        <v>-10230</v>
      </c>
      <c r="H119" s="20">
        <v>-10739</v>
      </c>
      <c r="I119" s="20">
        <v>-9599</v>
      </c>
      <c r="J119" s="20">
        <v>-10631</v>
      </c>
      <c r="K119" s="20">
        <v>-8208</v>
      </c>
      <c r="L119" s="20">
        <v>-6311</v>
      </c>
      <c r="N119" s="66"/>
      <c r="O119" s="66"/>
      <c r="P119" s="66"/>
      <c r="Q119" s="66"/>
      <c r="R119" s="66"/>
      <c r="S119" s="66"/>
      <c r="T119" s="66"/>
    </row>
    <row r="122" spans="1:21" x14ac:dyDescent="0.2">
      <c r="B122" s="1" t="s">
        <v>48</v>
      </c>
    </row>
    <row r="123" spans="1:21" x14ac:dyDescent="0.2">
      <c r="B123" s="26" t="s">
        <v>49</v>
      </c>
      <c r="C123" s="27">
        <f t="shared" ref="C123:L123" si="57">(C91/C56)*365</f>
        <v>17.5729423084132</v>
      </c>
      <c r="D123" s="27">
        <f t="shared" si="57"/>
        <v>18.244076598506979</v>
      </c>
      <c r="E123" s="27">
        <f t="shared" si="57"/>
        <v>13.71935379119987</v>
      </c>
      <c r="F123" s="27">
        <f t="shared" si="57"/>
        <v>17.039144530572493</v>
      </c>
      <c r="G123" s="27">
        <f t="shared" si="57"/>
        <v>17.469973622884069</v>
      </c>
      <c r="H123" s="27">
        <f t="shared" si="57"/>
        <v>16.296806684790099</v>
      </c>
      <c r="I123" s="27">
        <f t="shared" si="57"/>
        <v>17.411288356155595</v>
      </c>
      <c r="J123" s="27">
        <f t="shared" si="57"/>
        <v>18.051533919812748</v>
      </c>
      <c r="K123" s="27">
        <f t="shared" si="57"/>
        <v>17.490239957189594</v>
      </c>
      <c r="L123" s="27">
        <f t="shared" si="57"/>
        <v>21.519294896428615</v>
      </c>
      <c r="M123" s="59"/>
      <c r="N123" s="70">
        <f>AVERAGE(C123:L123)</f>
        <v>17.481465466595328</v>
      </c>
      <c r="O123" s="70">
        <f>N123</f>
        <v>17.481465466595328</v>
      </c>
      <c r="P123" s="70">
        <f t="shared" ref="P123:T123" si="58">O123</f>
        <v>17.481465466595328</v>
      </c>
      <c r="Q123" s="70">
        <f t="shared" si="58"/>
        <v>17.481465466595328</v>
      </c>
      <c r="R123" s="70">
        <f t="shared" si="58"/>
        <v>17.481465466595328</v>
      </c>
      <c r="S123" s="70">
        <f t="shared" si="58"/>
        <v>17.481465466595328</v>
      </c>
      <c r="T123" s="92">
        <f t="shared" si="58"/>
        <v>17.481465466595328</v>
      </c>
      <c r="U123" s="54"/>
    </row>
    <row r="124" spans="1:21" x14ac:dyDescent="0.2">
      <c r="B124" s="28" t="s">
        <v>50</v>
      </c>
      <c r="C124" s="29">
        <f t="shared" ref="C124:L124" si="59">(C92/C59)*365</f>
        <v>345.22478386167148</v>
      </c>
      <c r="D124" s="29">
        <f t="shared" si="59"/>
        <v>300.50594097355309</v>
      </c>
      <c r="E124" s="29">
        <f t="shared" si="59"/>
        <v>330.23438334223169</v>
      </c>
      <c r="F124" s="29">
        <f t="shared" si="59"/>
        <v>350.46374188052391</v>
      </c>
      <c r="G124" s="29">
        <f t="shared" si="59"/>
        <v>308.10870398773005</v>
      </c>
      <c r="H124" s="29">
        <f t="shared" si="59"/>
        <v>298.70422011526307</v>
      </c>
      <c r="I124" s="29">
        <f t="shared" si="59"/>
        <v>320.62922096452013</v>
      </c>
      <c r="J124" s="29">
        <f t="shared" si="59"/>
        <v>365.83916814714183</v>
      </c>
      <c r="K124" s="29">
        <f t="shared" si="59"/>
        <v>317.32801595214357</v>
      </c>
      <c r="L124" s="29">
        <f t="shared" si="59"/>
        <v>316.46991755832312</v>
      </c>
      <c r="N124" s="71">
        <f>AVERAGE(C124:L124)</f>
        <v>325.35080967831016</v>
      </c>
      <c r="O124" s="71">
        <f>N124</f>
        <v>325.35080967831016</v>
      </c>
      <c r="P124" s="71">
        <f t="shared" ref="P124:T124" si="60">O124</f>
        <v>325.35080967831016</v>
      </c>
      <c r="Q124" s="71">
        <f t="shared" si="60"/>
        <v>325.35080967831016</v>
      </c>
      <c r="R124" s="71">
        <f t="shared" si="60"/>
        <v>325.35080967831016</v>
      </c>
      <c r="S124" s="71">
        <f t="shared" si="60"/>
        <v>325.35080967831016</v>
      </c>
      <c r="T124" s="93">
        <f t="shared" si="60"/>
        <v>325.35080967831016</v>
      </c>
    </row>
    <row r="125" spans="1:21" x14ac:dyDescent="0.2">
      <c r="B125" s="28" t="s">
        <v>173</v>
      </c>
      <c r="C125" s="30">
        <f>C93/C56</f>
        <v>6.2102487848155041E-3</v>
      </c>
      <c r="D125" s="30">
        <f t="shared" ref="D125:L125" si="61">D93/D56</f>
        <v>8.4013681871520241E-3</v>
      </c>
      <c r="E125" s="30">
        <f t="shared" si="61"/>
        <v>8.7676570871894795E-3</v>
      </c>
      <c r="F125" s="30">
        <f t="shared" si="61"/>
        <v>1.1380465091457313E-2</v>
      </c>
      <c r="G125" s="30">
        <f t="shared" si="61"/>
        <v>7.7210684012394681E-3</v>
      </c>
      <c r="H125" s="30">
        <f t="shared" si="61"/>
        <v>6.0258321536399281E-3</v>
      </c>
      <c r="I125" s="30">
        <f t="shared" si="61"/>
        <v>8.9962911153604296E-3</v>
      </c>
      <c r="J125" s="30">
        <f t="shared" si="61"/>
        <v>1.1308795876234434E-2</v>
      </c>
      <c r="K125" s="30">
        <f t="shared" si="61"/>
        <v>6.8229084319472652E-3</v>
      </c>
      <c r="L125" s="30">
        <f t="shared" si="61"/>
        <v>2.1941514088435459E-2</v>
      </c>
      <c r="N125" s="94">
        <f t="shared" ref="N125:N133" si="62">AVERAGE(C125:L125)</f>
        <v>9.7576149217471313E-3</v>
      </c>
      <c r="O125" s="94">
        <f t="shared" ref="O125:T133" si="63">N125</f>
        <v>9.7576149217471313E-3</v>
      </c>
      <c r="P125" s="94">
        <f t="shared" si="63"/>
        <v>9.7576149217471313E-3</v>
      </c>
      <c r="Q125" s="94">
        <f t="shared" si="63"/>
        <v>9.7576149217471313E-3</v>
      </c>
      <c r="R125" s="94">
        <f t="shared" si="63"/>
        <v>9.7576149217471313E-3</v>
      </c>
      <c r="S125" s="94">
        <f t="shared" si="63"/>
        <v>9.7576149217471313E-3</v>
      </c>
      <c r="T125" s="95">
        <f t="shared" si="63"/>
        <v>9.7576149217471313E-3</v>
      </c>
    </row>
    <row r="126" spans="1:21" x14ac:dyDescent="0.2">
      <c r="B126" s="28" t="s">
        <v>172</v>
      </c>
      <c r="C126" s="30">
        <f>C97/C56</f>
        <v>6.2727261367754193E-3</v>
      </c>
      <c r="D126" s="30">
        <f t="shared" ref="D126:L126" si="64">D97/D56</f>
        <v>6.6536838688737426E-3</v>
      </c>
      <c r="E126" s="30">
        <f t="shared" si="64"/>
        <v>6.602803485414299E-3</v>
      </c>
      <c r="F126" s="30">
        <f t="shared" si="64"/>
        <v>1.1460515256227237E-2</v>
      </c>
      <c r="G126" s="30">
        <f t="shared" si="64"/>
        <v>1.2894056185817819E-2</v>
      </c>
      <c r="H126" s="30">
        <f t="shared" si="64"/>
        <v>1.2239580070906881E-2</v>
      </c>
      <c r="I126" s="30">
        <f t="shared" si="64"/>
        <v>1.479703802569269E-2</v>
      </c>
      <c r="J126" s="30">
        <f t="shared" si="64"/>
        <v>1.8541165331965759E-2</v>
      </c>
      <c r="K126" s="30">
        <f t="shared" si="64"/>
        <v>1.0885032168614622E-2</v>
      </c>
      <c r="L126" s="30">
        <f t="shared" si="64"/>
        <v>7.4749903928398769E-3</v>
      </c>
      <c r="N126" s="94">
        <f t="shared" si="62"/>
        <v>1.0782159092312834E-2</v>
      </c>
      <c r="O126" s="94">
        <f t="shared" si="63"/>
        <v>1.0782159092312834E-2</v>
      </c>
      <c r="P126" s="94">
        <f t="shared" si="63"/>
        <v>1.0782159092312834E-2</v>
      </c>
      <c r="Q126" s="94">
        <f t="shared" si="63"/>
        <v>1.0782159092312834E-2</v>
      </c>
      <c r="R126" s="94">
        <f t="shared" si="63"/>
        <v>1.0782159092312834E-2</v>
      </c>
      <c r="S126" s="94">
        <f t="shared" si="63"/>
        <v>1.0782159092312834E-2</v>
      </c>
      <c r="T126" s="95">
        <f t="shared" si="63"/>
        <v>1.0782159092312834E-2</v>
      </c>
    </row>
    <row r="127" spans="1:21" x14ac:dyDescent="0.2">
      <c r="B127" s="28" t="s">
        <v>171</v>
      </c>
      <c r="C127" s="30">
        <f>C98/C56</f>
        <v>7.0824326181759115E-2</v>
      </c>
      <c r="D127" s="30">
        <f t="shared" ref="D127:L127" si="65">D98/D56</f>
        <v>6.5463261178937901E-2</v>
      </c>
      <c r="E127" s="30">
        <f t="shared" si="65"/>
        <v>6.7868160415651885E-2</v>
      </c>
      <c r="F127" s="30">
        <f t="shared" si="65"/>
        <v>6.6655103865088786E-2</v>
      </c>
      <c r="G127" s="30">
        <f t="shared" si="65"/>
        <v>6.9528028886783277E-2</v>
      </c>
      <c r="H127" s="30">
        <f t="shared" si="65"/>
        <v>6.2538366135073853E-2</v>
      </c>
      <c r="I127" s="30">
        <f t="shared" si="65"/>
        <v>0.1118953812194402</v>
      </c>
      <c r="J127" s="30">
        <f t="shared" si="65"/>
        <v>0.12602732520678001</v>
      </c>
      <c r="K127" s="30">
        <f t="shared" si="65"/>
        <v>0.11955292314802428</v>
      </c>
      <c r="L127" s="30">
        <f t="shared" si="65"/>
        <v>0.1871102901982174</v>
      </c>
      <c r="N127" s="94">
        <f t="shared" si="62"/>
        <v>9.4746316643575662E-2</v>
      </c>
      <c r="O127" s="94">
        <f t="shared" si="63"/>
        <v>9.4746316643575662E-2</v>
      </c>
      <c r="P127" s="94">
        <f t="shared" si="63"/>
        <v>9.4746316643575662E-2</v>
      </c>
      <c r="Q127" s="94">
        <f t="shared" si="63"/>
        <v>9.4746316643575662E-2</v>
      </c>
      <c r="R127" s="94">
        <f t="shared" si="63"/>
        <v>9.4746316643575662E-2</v>
      </c>
      <c r="S127" s="94">
        <f t="shared" si="63"/>
        <v>9.4746316643575662E-2</v>
      </c>
      <c r="T127" s="95">
        <f t="shared" si="63"/>
        <v>9.4746316643575662E-2</v>
      </c>
    </row>
    <row r="128" spans="1:21" x14ac:dyDescent="0.2">
      <c r="B128" s="28" t="s">
        <v>51</v>
      </c>
      <c r="C128" s="29">
        <f t="shared" ref="C128:L128" si="66">(C103/C59)*365</f>
        <v>44.669548511047068</v>
      </c>
      <c r="D128" s="29">
        <f t="shared" si="66"/>
        <v>43.439057110003837</v>
      </c>
      <c r="E128" s="29">
        <f t="shared" si="66"/>
        <v>50.238654564869201</v>
      </c>
      <c r="F128" s="29">
        <f t="shared" si="66"/>
        <v>64.752422532211696</v>
      </c>
      <c r="G128" s="29">
        <f t="shared" si="66"/>
        <v>78.444210122699388</v>
      </c>
      <c r="H128" s="29">
        <f t="shared" si="66"/>
        <v>70.163599182004091</v>
      </c>
      <c r="I128" s="29">
        <f t="shared" si="66"/>
        <v>79.818795776657467</v>
      </c>
      <c r="J128" s="29">
        <f t="shared" si="66"/>
        <v>106.04033859337443</v>
      </c>
      <c r="K128" s="29">
        <f t="shared" si="66"/>
        <v>121.21784646061815</v>
      </c>
      <c r="L128" s="29">
        <f t="shared" si="66"/>
        <v>130.48061743553762</v>
      </c>
      <c r="N128" s="71">
        <f>AVERAGE(I128:L128)</f>
        <v>109.38939956654691</v>
      </c>
      <c r="O128" s="71">
        <f t="shared" si="63"/>
        <v>109.38939956654691</v>
      </c>
      <c r="P128" s="71">
        <f t="shared" si="63"/>
        <v>109.38939956654691</v>
      </c>
      <c r="Q128" s="71">
        <f t="shared" si="63"/>
        <v>109.38939956654691</v>
      </c>
      <c r="R128" s="71">
        <f t="shared" si="63"/>
        <v>109.38939956654691</v>
      </c>
      <c r="S128" s="71">
        <f t="shared" si="63"/>
        <v>109.38939956654691</v>
      </c>
      <c r="T128" s="93">
        <f t="shared" si="63"/>
        <v>109.38939956654691</v>
      </c>
    </row>
    <row r="129" spans="1:21" x14ac:dyDescent="0.2">
      <c r="B129" s="28" t="s">
        <v>52</v>
      </c>
      <c r="C129" s="30">
        <f>C104/C56</f>
        <v>0.13536343075635082</v>
      </c>
      <c r="D129" s="30">
        <f t="shared" ref="D129:L129" si="67">D104/D56</f>
        <v>0.1261828077796919</v>
      </c>
      <c r="E129" s="30">
        <f t="shared" si="67"/>
        <v>0.13112247659252044</v>
      </c>
      <c r="F129" s="30">
        <f t="shared" si="67"/>
        <v>0.14346323696182942</v>
      </c>
      <c r="G129" s="30">
        <f t="shared" si="67"/>
        <v>0.12680222284821635</v>
      </c>
      <c r="H129" s="30">
        <f t="shared" si="67"/>
        <v>0.12230810668604288</v>
      </c>
      <c r="I129" s="30">
        <f t="shared" si="67"/>
        <v>0.14564751479062127</v>
      </c>
      <c r="J129" s="30">
        <f t="shared" si="67"/>
        <v>0.16274146251660157</v>
      </c>
      <c r="K129" s="30">
        <f t="shared" si="67"/>
        <v>0.14443647154689077</v>
      </c>
      <c r="L129" s="30">
        <f t="shared" si="67"/>
        <v>0.17320160160656509</v>
      </c>
      <c r="N129" s="94">
        <f t="shared" si="62"/>
        <v>0.14112693320853303</v>
      </c>
      <c r="O129" s="94">
        <f t="shared" si="63"/>
        <v>0.14112693320853303</v>
      </c>
      <c r="P129" s="94">
        <f t="shared" si="63"/>
        <v>0.14112693320853303</v>
      </c>
      <c r="Q129" s="94">
        <f t="shared" si="63"/>
        <v>0.14112693320853303</v>
      </c>
      <c r="R129" s="94">
        <f t="shared" si="63"/>
        <v>0.14112693320853303</v>
      </c>
      <c r="S129" s="94">
        <f t="shared" si="63"/>
        <v>0.14112693320853303</v>
      </c>
      <c r="T129" s="95">
        <f t="shared" si="63"/>
        <v>0.14112693320853303</v>
      </c>
    </row>
    <row r="130" spans="1:21" x14ac:dyDescent="0.2">
      <c r="B130" s="28" t="s">
        <v>55</v>
      </c>
      <c r="C130" s="30">
        <f>C107/C56</f>
        <v>3.4749903160104463E-2</v>
      </c>
      <c r="D130" s="30">
        <f t="shared" ref="D130:L130" si="68">D107/D56</f>
        <v>3.4766434474321525E-2</v>
      </c>
      <c r="E130" s="30">
        <f t="shared" si="68"/>
        <v>3.6788980895166967E-2</v>
      </c>
      <c r="F130" s="30">
        <f t="shared" si="68"/>
        <v>3.6409483276186413E-2</v>
      </c>
      <c r="G130" s="30">
        <f t="shared" si="68"/>
        <v>2.0627929012266639E-2</v>
      </c>
      <c r="H130" s="30">
        <f t="shared" si="68"/>
        <v>1.8465855705748969E-2</v>
      </c>
      <c r="I130" s="30">
        <f t="shared" si="68"/>
        <v>2.1868302511518077E-2</v>
      </c>
      <c r="J130" s="30">
        <f t="shared" si="68"/>
        <v>2.3340828698042E-2</v>
      </c>
      <c r="K130" s="30">
        <f t="shared" si="68"/>
        <v>2.1295744499714192E-2</v>
      </c>
      <c r="L130" s="30">
        <f t="shared" si="68"/>
        <v>3.7139421586978888E-2</v>
      </c>
      <c r="N130" s="94">
        <f t="shared" si="62"/>
        <v>2.8545288382004819E-2</v>
      </c>
      <c r="O130" s="94">
        <f t="shared" si="63"/>
        <v>2.8545288382004819E-2</v>
      </c>
      <c r="P130" s="94">
        <f t="shared" si="63"/>
        <v>2.8545288382004819E-2</v>
      </c>
      <c r="Q130" s="94">
        <f t="shared" si="63"/>
        <v>2.8545288382004819E-2</v>
      </c>
      <c r="R130" s="94">
        <f t="shared" si="63"/>
        <v>2.8545288382004819E-2</v>
      </c>
      <c r="S130" s="94">
        <f t="shared" si="63"/>
        <v>2.8545288382004819E-2</v>
      </c>
      <c r="T130" s="95">
        <f t="shared" si="63"/>
        <v>2.8545288382004819E-2</v>
      </c>
    </row>
    <row r="131" spans="1:21" x14ac:dyDescent="0.2">
      <c r="B131" s="28" t="s">
        <v>174</v>
      </c>
      <c r="C131" s="30">
        <f>C102/C106</f>
        <v>0.15214586021729176</v>
      </c>
      <c r="D131" s="30">
        <f t="shared" ref="D131:L131" si="69">D102/D106</f>
        <v>9.3802220654313193E-2</v>
      </c>
      <c r="E131" s="30">
        <f t="shared" si="69"/>
        <v>0.12792079207920792</v>
      </c>
      <c r="F131" s="30">
        <f t="shared" si="69"/>
        <v>0.12440524544505048</v>
      </c>
      <c r="G131" s="30">
        <f t="shared" si="69"/>
        <v>9.5902214846492626E-2</v>
      </c>
      <c r="H131" s="30">
        <f t="shared" si="69"/>
        <v>0.17734939759036145</v>
      </c>
      <c r="I131" s="30">
        <f t="shared" si="69"/>
        <v>0.16465336134453781</v>
      </c>
      <c r="J131" s="30">
        <f t="shared" si="69"/>
        <v>0.11956830445896052</v>
      </c>
      <c r="K131" s="30">
        <f t="shared" si="69"/>
        <v>0.12197877577371585</v>
      </c>
      <c r="L131" s="30">
        <f t="shared" si="69"/>
        <v>0.23650179211469535</v>
      </c>
      <c r="N131" s="94">
        <f>AVERAGE(C131:L131)</f>
        <v>0.14142279645246272</v>
      </c>
      <c r="O131" s="94">
        <f t="shared" si="63"/>
        <v>0.14142279645246272</v>
      </c>
      <c r="P131" s="94">
        <f t="shared" si="63"/>
        <v>0.14142279645246272</v>
      </c>
      <c r="Q131" s="94">
        <f t="shared" si="63"/>
        <v>0.14142279645246272</v>
      </c>
      <c r="R131" s="94">
        <f t="shared" si="63"/>
        <v>0.14142279645246272</v>
      </c>
      <c r="S131" s="94">
        <f t="shared" si="63"/>
        <v>0.14142279645246272</v>
      </c>
      <c r="T131" s="95">
        <f t="shared" si="63"/>
        <v>0.14142279645246272</v>
      </c>
    </row>
    <row r="132" spans="1:21" x14ac:dyDescent="0.2">
      <c r="B132" s="28" t="s">
        <v>170</v>
      </c>
      <c r="C132" s="30">
        <f>C106/C99</f>
        <v>0.62940159295745124</v>
      </c>
      <c r="D132" s="30">
        <f t="shared" ref="D132:L132" si="70">D106/D99</f>
        <v>0.76531105237729846</v>
      </c>
      <c r="E132" s="30">
        <f t="shared" si="70"/>
        <v>0.74360937684061723</v>
      </c>
      <c r="F132" s="30">
        <f t="shared" si="70"/>
        <v>0.70150063770318305</v>
      </c>
      <c r="G132" s="30">
        <f t="shared" si="70"/>
        <v>0.72924036492273314</v>
      </c>
      <c r="H132" s="30">
        <f t="shared" si="70"/>
        <v>0.67774679028165119</v>
      </c>
      <c r="I132" s="30">
        <f t="shared" si="70"/>
        <v>0.62171428571428566</v>
      </c>
      <c r="J132" s="30">
        <f t="shared" si="70"/>
        <v>0.62853955148945662</v>
      </c>
      <c r="K132" s="30">
        <f t="shared" si="70"/>
        <v>0.60021797045289416</v>
      </c>
      <c r="L132" s="30">
        <f t="shared" si="70"/>
        <v>0.56540912112319841</v>
      </c>
      <c r="N132" s="94">
        <f>AVERAGE(C132:L132)</f>
        <v>0.66626907438627692</v>
      </c>
      <c r="O132" s="94">
        <f t="shared" si="63"/>
        <v>0.66626907438627692</v>
      </c>
      <c r="P132" s="94">
        <f t="shared" si="63"/>
        <v>0.66626907438627692</v>
      </c>
      <c r="Q132" s="94">
        <f t="shared" si="63"/>
        <v>0.66626907438627692</v>
      </c>
      <c r="R132" s="94">
        <f t="shared" si="63"/>
        <v>0.66626907438627692</v>
      </c>
      <c r="S132" s="94">
        <f t="shared" si="63"/>
        <v>0.66626907438627692</v>
      </c>
      <c r="T132" s="95">
        <f t="shared" si="63"/>
        <v>0.66626907438627692</v>
      </c>
    </row>
    <row r="133" spans="1:21" x14ac:dyDescent="0.2">
      <c r="B133" s="31" t="s">
        <v>56</v>
      </c>
      <c r="C133" s="32">
        <f>C108/C56</f>
        <v>2.3441502455359933E-2</v>
      </c>
      <c r="D133" s="32">
        <f t="shared" ref="D133:L133" si="71">D108/D56</f>
        <v>3.4953686365565624E-2</v>
      </c>
      <c r="E133" s="32">
        <f t="shared" si="71"/>
        <v>4.401417979109163E-2</v>
      </c>
      <c r="F133" s="32">
        <f t="shared" si="71"/>
        <v>4.7176230437740982E-2</v>
      </c>
      <c r="G133" s="32">
        <f t="shared" si="71"/>
        <v>6.5340981843325055E-2</v>
      </c>
      <c r="H133" s="32">
        <f t="shared" si="71"/>
        <v>6.8601781441439177E-2</v>
      </c>
      <c r="I133" s="32">
        <f t="shared" si="71"/>
        <v>7.7989245517896336E-2</v>
      </c>
      <c r="J133" s="32">
        <f t="shared" si="71"/>
        <v>9.1772193511907116E-2</v>
      </c>
      <c r="K133" s="32">
        <f t="shared" si="71"/>
        <v>5.7575131046057673E-2</v>
      </c>
      <c r="L133" s="32">
        <f t="shared" si="71"/>
        <v>4.7415983835178324E-2</v>
      </c>
      <c r="M133" s="64"/>
      <c r="N133" s="96">
        <f t="shared" si="62"/>
        <v>5.5828091624556188E-2</v>
      </c>
      <c r="O133" s="96">
        <f t="shared" si="63"/>
        <v>5.5828091624556188E-2</v>
      </c>
      <c r="P133" s="96">
        <f t="shared" si="63"/>
        <v>5.5828091624556188E-2</v>
      </c>
      <c r="Q133" s="96">
        <f t="shared" si="63"/>
        <v>5.5828091624556188E-2</v>
      </c>
      <c r="R133" s="96">
        <f t="shared" si="63"/>
        <v>5.5828091624556188E-2</v>
      </c>
      <c r="S133" s="96">
        <f t="shared" si="63"/>
        <v>5.5828091624556188E-2</v>
      </c>
      <c r="T133" s="97">
        <f t="shared" si="63"/>
        <v>5.5828091624556188E-2</v>
      </c>
    </row>
    <row r="134" spans="1:21" x14ac:dyDescent="0.2">
      <c r="N134" s="90"/>
      <c r="O134" s="90"/>
      <c r="P134" s="90"/>
      <c r="Q134" s="90"/>
      <c r="R134" s="90"/>
      <c r="S134" s="90"/>
      <c r="T134" s="91"/>
    </row>
    <row r="135" spans="1:21" x14ac:dyDescent="0.2">
      <c r="B135" s="1" t="s">
        <v>99</v>
      </c>
    </row>
    <row r="136" spans="1:21" x14ac:dyDescent="0.2">
      <c r="B136" s="59" t="s">
        <v>100</v>
      </c>
      <c r="C136" s="68">
        <f>C94</f>
        <v>16852</v>
      </c>
      <c r="D136" s="68">
        <f t="shared" ref="D136:T136" si="72">D94</f>
        <v>15484</v>
      </c>
      <c r="E136" s="68">
        <f t="shared" si="72"/>
        <v>15804</v>
      </c>
      <c r="F136" s="68">
        <f t="shared" si="72"/>
        <v>17608</v>
      </c>
      <c r="G136" s="68">
        <f t="shared" si="72"/>
        <v>21594</v>
      </c>
      <c r="H136" s="68">
        <f t="shared" si="72"/>
        <v>19442</v>
      </c>
      <c r="I136" s="68">
        <f t="shared" si="72"/>
        <v>20514</v>
      </c>
      <c r="J136" s="68">
        <f t="shared" si="72"/>
        <v>21492</v>
      </c>
      <c r="K136" s="68">
        <f t="shared" si="72"/>
        <v>17717</v>
      </c>
      <c r="L136" s="68">
        <f t="shared" si="72"/>
        <v>19619</v>
      </c>
      <c r="M136" s="68"/>
      <c r="N136" s="70">
        <f t="shared" si="72"/>
        <v>14776.500838431868</v>
      </c>
      <c r="O136" s="70">
        <f t="shared" si="72"/>
        <v>15089.664522538198</v>
      </c>
      <c r="P136" s="70">
        <f t="shared" si="72"/>
        <v>15400.384036239475</v>
      </c>
      <c r="Q136" s="70">
        <f t="shared" si="72"/>
        <v>15708.686560937231</v>
      </c>
      <c r="R136" s="70">
        <f t="shared" si="72"/>
        <v>16014.599173011111</v>
      </c>
      <c r="S136" s="70">
        <f t="shared" si="72"/>
        <v>16318.148845246476</v>
      </c>
      <c r="T136" s="70">
        <f t="shared" si="72"/>
        <v>16619.362448260879</v>
      </c>
    </row>
    <row r="137" spans="1:21" x14ac:dyDescent="0.2">
      <c r="B137" t="s">
        <v>101</v>
      </c>
      <c r="C137" s="54">
        <f>C105</f>
        <v>17066</v>
      </c>
      <c r="D137" s="54">
        <f t="shared" ref="D137:T137" si="73">D105</f>
        <v>15112</v>
      </c>
      <c r="E137" s="54">
        <f t="shared" si="73"/>
        <v>15386</v>
      </c>
      <c r="F137" s="54">
        <f t="shared" si="73"/>
        <v>16467</v>
      </c>
      <c r="G137" s="54">
        <f t="shared" si="73"/>
        <v>15962</v>
      </c>
      <c r="H137" s="54">
        <f t="shared" si="73"/>
        <v>17191</v>
      </c>
      <c r="I137" s="54">
        <f t="shared" si="73"/>
        <v>18833</v>
      </c>
      <c r="J137" s="54">
        <f t="shared" si="73"/>
        <v>19615</v>
      </c>
      <c r="K137" s="54">
        <f t="shared" si="73"/>
        <v>19255</v>
      </c>
      <c r="L137" s="54">
        <f t="shared" si="73"/>
        <v>27336</v>
      </c>
      <c r="M137" s="54"/>
      <c r="N137" s="71">
        <f t="shared" si="73"/>
        <v>19578.862385807348</v>
      </c>
      <c r="O137" s="71">
        <f t="shared" si="73"/>
        <v>19835.69170656096</v>
      </c>
      <c r="P137" s="71">
        <f t="shared" si="73"/>
        <v>20092.69033860707</v>
      </c>
      <c r="Q137" s="71">
        <f t="shared" si="73"/>
        <v>20349.882185815048</v>
      </c>
      <c r="R137" s="71">
        <f t="shared" si="73"/>
        <v>20607.291228959919</v>
      </c>
      <c r="S137" s="71">
        <f t="shared" si="73"/>
        <v>20864.941527557523</v>
      </c>
      <c r="T137" s="71">
        <f t="shared" si="73"/>
        <v>21122.85722171134</v>
      </c>
    </row>
    <row r="138" spans="1:21" x14ac:dyDescent="0.2">
      <c r="B138" s="69" t="s">
        <v>102</v>
      </c>
      <c r="C138" s="73">
        <f>C136-C137</f>
        <v>-214</v>
      </c>
      <c r="D138" s="73">
        <f t="shared" ref="D138:T138" si="74">D136-D137</f>
        <v>372</v>
      </c>
      <c r="E138" s="73">
        <f t="shared" si="74"/>
        <v>418</v>
      </c>
      <c r="F138" s="73">
        <f t="shared" si="74"/>
        <v>1141</v>
      </c>
      <c r="G138" s="73">
        <f t="shared" si="74"/>
        <v>5632</v>
      </c>
      <c r="H138" s="73">
        <f t="shared" si="74"/>
        <v>2251</v>
      </c>
      <c r="I138" s="73">
        <f t="shared" si="74"/>
        <v>1681</v>
      </c>
      <c r="J138" s="73">
        <f t="shared" si="74"/>
        <v>1877</v>
      </c>
      <c r="K138" s="73">
        <f t="shared" si="74"/>
        <v>-1538</v>
      </c>
      <c r="L138" s="73">
        <f t="shared" si="74"/>
        <v>-7717</v>
      </c>
      <c r="M138" s="68"/>
      <c r="N138" s="72">
        <f t="shared" si="74"/>
        <v>-4802.3615473754799</v>
      </c>
      <c r="O138" s="72">
        <f t="shared" si="74"/>
        <v>-4746.0271840227615</v>
      </c>
      <c r="P138" s="72">
        <f t="shared" si="74"/>
        <v>-4692.306302367595</v>
      </c>
      <c r="Q138" s="72">
        <f t="shared" si="74"/>
        <v>-4641.195624877817</v>
      </c>
      <c r="R138" s="72">
        <f t="shared" si="74"/>
        <v>-4592.692055948808</v>
      </c>
      <c r="S138" s="72">
        <f t="shared" si="74"/>
        <v>-4546.7926823110465</v>
      </c>
      <c r="T138" s="72">
        <f t="shared" si="74"/>
        <v>-4503.4947734504603</v>
      </c>
    </row>
    <row r="141" spans="1:21" x14ac:dyDescent="0.2">
      <c r="A141" t="s">
        <v>45</v>
      </c>
      <c r="B141" s="4" t="s">
        <v>59</v>
      </c>
      <c r="C141" s="117" t="s">
        <v>87</v>
      </c>
      <c r="D141" s="117"/>
      <c r="E141" s="117"/>
      <c r="F141" s="117"/>
      <c r="G141" s="117"/>
      <c r="H141" s="117"/>
      <c r="I141" s="117"/>
      <c r="J141" s="117"/>
      <c r="K141" s="117"/>
      <c r="L141" s="117"/>
      <c r="N141" s="118" t="s">
        <v>88</v>
      </c>
      <c r="O141" s="118"/>
      <c r="P141" s="118"/>
      <c r="Q141" s="118"/>
      <c r="R141" s="118"/>
      <c r="S141" s="118"/>
      <c r="T141" s="118"/>
    </row>
    <row r="142" spans="1:21" ht="13.5" thickBot="1" x14ac:dyDescent="0.25">
      <c r="B142" s="5" t="s">
        <v>60</v>
      </c>
      <c r="C142" s="104">
        <v>2013</v>
      </c>
      <c r="D142" s="104">
        <f>C142+1</f>
        <v>2014</v>
      </c>
      <c r="E142" s="104">
        <f t="shared" ref="E142:L142" si="75">D142+1</f>
        <v>2015</v>
      </c>
      <c r="F142" s="104">
        <f t="shared" si="75"/>
        <v>2016</v>
      </c>
      <c r="G142" s="104">
        <f t="shared" si="75"/>
        <v>2017</v>
      </c>
      <c r="H142" s="104">
        <f t="shared" si="75"/>
        <v>2018</v>
      </c>
      <c r="I142" s="104">
        <f t="shared" si="75"/>
        <v>2019</v>
      </c>
      <c r="J142" s="104">
        <f t="shared" si="75"/>
        <v>2020</v>
      </c>
      <c r="K142" s="104">
        <f t="shared" si="75"/>
        <v>2021</v>
      </c>
      <c r="L142" s="104">
        <f t="shared" si="75"/>
        <v>2022</v>
      </c>
      <c r="N142" s="53">
        <v>2023</v>
      </c>
      <c r="O142" s="53">
        <f>N142+1</f>
        <v>2024</v>
      </c>
      <c r="P142" s="53">
        <f t="shared" ref="P142:T142" si="76">O142+1</f>
        <v>2025</v>
      </c>
      <c r="Q142" s="53">
        <f t="shared" si="76"/>
        <v>2026</v>
      </c>
      <c r="R142" s="53">
        <f t="shared" si="76"/>
        <v>2027</v>
      </c>
      <c r="S142" s="53">
        <f t="shared" si="76"/>
        <v>2028</v>
      </c>
      <c r="T142" s="53">
        <f t="shared" si="76"/>
        <v>2029</v>
      </c>
      <c r="U142" t="s">
        <v>45</v>
      </c>
    </row>
    <row r="143" spans="1:21" x14ac:dyDescent="0.2">
      <c r="B143" s="5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 spans="1:21" x14ac:dyDescent="0.2">
      <c r="B144" s="5" t="s">
        <v>61</v>
      </c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2:20" x14ac:dyDescent="0.2">
      <c r="B145" s="19" t="s">
        <v>15</v>
      </c>
      <c r="C145" s="34">
        <v>8850</v>
      </c>
      <c r="D145" s="34">
        <v>7658</v>
      </c>
      <c r="E145" s="34">
        <v>7032</v>
      </c>
      <c r="F145" s="34">
        <v>7250</v>
      </c>
      <c r="G145" s="34">
        <v>6341</v>
      </c>
      <c r="H145" s="34">
        <v>8286</v>
      </c>
      <c r="I145" s="34">
        <v>7728</v>
      </c>
      <c r="J145" s="34">
        <v>8592</v>
      </c>
      <c r="K145" s="34">
        <v>9710</v>
      </c>
      <c r="L145" s="34">
        <v>9527</v>
      </c>
      <c r="N145" s="54">
        <f>N70</f>
        <v>10146.135034455649</v>
      </c>
      <c r="O145" s="54">
        <f t="shared" ref="O145:T145" si="77">O70</f>
        <v>10524.44959336496</v>
      </c>
      <c r="P145" s="54">
        <f t="shared" si="77"/>
        <v>10897.198826264284</v>
      </c>
      <c r="Q145" s="54">
        <f t="shared" si="77"/>
        <v>11264.413631869775</v>
      </c>
      <c r="R145" s="54">
        <f t="shared" si="77"/>
        <v>11626.124586076736</v>
      </c>
      <c r="S145" s="54">
        <f t="shared" si="77"/>
        <v>11982.361942885775</v>
      </c>
      <c r="T145" s="54">
        <f t="shared" si="77"/>
        <v>12333.155635312292</v>
      </c>
    </row>
    <row r="146" spans="2:20" x14ac:dyDescent="0.2">
      <c r="B146" s="19" t="s">
        <v>62</v>
      </c>
      <c r="C146" s="34">
        <v>882</v>
      </c>
      <c r="D146" s="34">
        <v>889</v>
      </c>
      <c r="E146" s="34">
        <v>754</v>
      </c>
      <c r="F146" s="34">
        <v>743</v>
      </c>
      <c r="G146" s="34">
        <v>875</v>
      </c>
      <c r="H146" s="34">
        <v>989</v>
      </c>
      <c r="I146" s="34">
        <v>964</v>
      </c>
      <c r="J146" s="34">
        <v>981</v>
      </c>
      <c r="K146" s="34">
        <v>998</v>
      </c>
      <c r="L146" s="34">
        <v>1189</v>
      </c>
      <c r="N146" s="34">
        <f>ABS(N62)</f>
        <v>961.21535253362617</v>
      </c>
      <c r="O146" s="34">
        <f t="shared" ref="O146:T146" si="78">ABS(O62)</f>
        <v>970.82750605896251</v>
      </c>
      <c r="P146" s="34">
        <f t="shared" si="78"/>
        <v>980.53578111955221</v>
      </c>
      <c r="Q146" s="34">
        <f t="shared" si="78"/>
        <v>990.34113893074766</v>
      </c>
      <c r="R146" s="34">
        <f t="shared" si="78"/>
        <v>1000.2445503200552</v>
      </c>
      <c r="S146" s="34">
        <f t="shared" si="78"/>
        <v>1010.2469958232556</v>
      </c>
      <c r="T146" s="34">
        <f t="shared" si="78"/>
        <v>1020.3494657814883</v>
      </c>
    </row>
    <row r="147" spans="2:20" x14ac:dyDescent="0.2">
      <c r="B147" s="13" t="s">
        <v>63</v>
      </c>
      <c r="C147" s="34">
        <v>-28</v>
      </c>
      <c r="D147" s="34">
        <v>-62</v>
      </c>
      <c r="E147" s="34">
        <v>-18</v>
      </c>
      <c r="F147" s="34">
        <v>182</v>
      </c>
      <c r="G147" s="34">
        <v>-501</v>
      </c>
      <c r="H147" s="34">
        <v>-100</v>
      </c>
      <c r="I147" s="34">
        <v>-141</v>
      </c>
      <c r="J147" s="34">
        <v>-143</v>
      </c>
      <c r="K147" s="34">
        <v>-17</v>
      </c>
      <c r="L147" s="34">
        <v>-234</v>
      </c>
      <c r="N147" s="55">
        <f>L97-N97</f>
        <v>-275.48385173596182</v>
      </c>
      <c r="O147" s="55">
        <f t="shared" ref="O147:T147" si="79">M97-O97</f>
        <v>-887.26869025332155</v>
      </c>
      <c r="P147" s="55">
        <f t="shared" si="79"/>
        <v>-17.657525419892977</v>
      </c>
      <c r="Q147" s="55">
        <f t="shared" si="79"/>
        <v>-17.834100674091815</v>
      </c>
      <c r="R147" s="55">
        <f t="shared" si="79"/>
        <v>-18.012441680832694</v>
      </c>
      <c r="S147" s="55">
        <f t="shared" si="79"/>
        <v>-18.192566097640906</v>
      </c>
      <c r="T147" s="55">
        <f t="shared" si="79"/>
        <v>-18.37449175861741</v>
      </c>
    </row>
    <row r="148" spans="2:20" x14ac:dyDescent="0.2">
      <c r="B148" s="19" t="s">
        <v>64</v>
      </c>
      <c r="C148" s="34">
        <v>-210</v>
      </c>
      <c r="D148" s="34">
        <v>-918</v>
      </c>
      <c r="E148" s="34">
        <v>66</v>
      </c>
      <c r="F148" s="34">
        <v>-63</v>
      </c>
      <c r="G148" s="34">
        <v>1879</v>
      </c>
      <c r="H148" s="34">
        <v>164</v>
      </c>
      <c r="I148" s="34">
        <v>755</v>
      </c>
      <c r="J148" s="34">
        <v>128</v>
      </c>
      <c r="K148" s="34">
        <v>1367</v>
      </c>
      <c r="L148" s="34">
        <v>162</v>
      </c>
      <c r="N148" s="54">
        <f>L138-N138</f>
        <v>-2914.6384526245201</v>
      </c>
      <c r="O148" s="54">
        <f>N138-O138</f>
        <v>-56.334363352718356</v>
      </c>
      <c r="P148" s="54">
        <f t="shared" ref="P148:T148" si="80">O138-P138</f>
        <v>-53.720881655166522</v>
      </c>
      <c r="Q148" s="54">
        <f t="shared" si="80"/>
        <v>-51.110677489778027</v>
      </c>
      <c r="R148" s="54">
        <f t="shared" si="80"/>
        <v>-48.503568929008907</v>
      </c>
      <c r="S148" s="54">
        <f t="shared" si="80"/>
        <v>-45.899373637761528</v>
      </c>
      <c r="T148" s="54">
        <f t="shared" si="80"/>
        <v>-43.297908860586176</v>
      </c>
    </row>
    <row r="149" spans="2:20" x14ac:dyDescent="0.2">
      <c r="B149" s="13" t="s">
        <v>65</v>
      </c>
      <c r="C149" s="34">
        <v>641</v>
      </c>
      <c r="D149" s="34">
        <v>172</v>
      </c>
      <c r="E149" s="34">
        <v>31</v>
      </c>
      <c r="F149" s="34">
        <v>-35</v>
      </c>
      <c r="G149" s="34">
        <v>318</v>
      </c>
      <c r="H149" s="34">
        <v>139</v>
      </c>
      <c r="I149" s="34">
        <v>784</v>
      </c>
      <c r="J149" s="34">
        <v>254</v>
      </c>
      <c r="K149" s="34">
        <v>-91</v>
      </c>
      <c r="L149" s="34">
        <v>159</v>
      </c>
      <c r="N149" s="54">
        <f>(L98-N98)+(N107-L107)+(N108-L108)</f>
        <v>7427.8578301729513</v>
      </c>
      <c r="O149" s="54">
        <f t="shared" ref="O149:T149" si="81">(M98-O98)+(O107-M107)+(O108-M108)</f>
        <v>-853.59359152531852</v>
      </c>
      <c r="P149" s="54">
        <f t="shared" si="81"/>
        <v>-16.987357613524182</v>
      </c>
      <c r="Q149" s="54">
        <f t="shared" si="81"/>
        <v>-17.157231189659342</v>
      </c>
      <c r="R149" s="54">
        <f t="shared" si="81"/>
        <v>-17.32880350155483</v>
      </c>
      <c r="S149" s="54">
        <f t="shared" si="81"/>
        <v>-17.502091536571243</v>
      </c>
      <c r="T149" s="54">
        <f t="shared" si="81"/>
        <v>-17.677112451936409</v>
      </c>
    </row>
    <row r="150" spans="2:20" x14ac:dyDescent="0.2">
      <c r="B150" s="18" t="s">
        <v>66</v>
      </c>
      <c r="C150" s="34">
        <f t="shared" ref="C150:L150" si="82">SUM(C145:C149)</f>
        <v>10135</v>
      </c>
      <c r="D150" s="34">
        <f t="shared" si="82"/>
        <v>7739</v>
      </c>
      <c r="E150" s="34">
        <f t="shared" si="82"/>
        <v>7865</v>
      </c>
      <c r="F150" s="34">
        <f t="shared" si="82"/>
        <v>8077</v>
      </c>
      <c r="G150" s="34">
        <f t="shared" si="82"/>
        <v>8912</v>
      </c>
      <c r="H150" s="34">
        <f t="shared" si="82"/>
        <v>9478</v>
      </c>
      <c r="I150" s="34">
        <f t="shared" si="82"/>
        <v>10090</v>
      </c>
      <c r="J150" s="34">
        <f t="shared" si="82"/>
        <v>9812</v>
      </c>
      <c r="K150" s="34">
        <f t="shared" si="82"/>
        <v>11967</v>
      </c>
      <c r="L150" s="34">
        <f t="shared" si="82"/>
        <v>10803</v>
      </c>
      <c r="N150" s="54">
        <f>SUM(N145:N149)</f>
        <v>15345.085912801744</v>
      </c>
      <c r="O150" s="54">
        <f t="shared" ref="O150:T150" si="83">SUM(O145:O149)</f>
        <v>9698.0804542925616</v>
      </c>
      <c r="P150" s="54">
        <f t="shared" si="83"/>
        <v>11789.368842695254</v>
      </c>
      <c r="Q150" s="54">
        <f t="shared" si="83"/>
        <v>12168.652761446992</v>
      </c>
      <c r="R150" s="54">
        <f t="shared" si="83"/>
        <v>12542.524322285397</v>
      </c>
      <c r="S150" s="54">
        <f t="shared" si="83"/>
        <v>12911.014907437057</v>
      </c>
      <c r="T150" s="54">
        <f t="shared" si="83"/>
        <v>13274.155588022641</v>
      </c>
    </row>
    <row r="151" spans="2:20" x14ac:dyDescent="0.2">
      <c r="B151" s="18"/>
      <c r="C151" s="34"/>
      <c r="D151" s="34"/>
      <c r="E151" s="34"/>
      <c r="F151" s="34"/>
      <c r="G151" s="34"/>
      <c r="H151" s="34"/>
      <c r="I151" s="34"/>
      <c r="J151" s="34"/>
      <c r="K151" s="34"/>
      <c r="L151" s="34"/>
    </row>
    <row r="152" spans="2:20" x14ac:dyDescent="0.2">
      <c r="B152" s="18" t="s">
        <v>67</v>
      </c>
      <c r="C152" s="34"/>
      <c r="D152" s="34"/>
      <c r="E152" s="34"/>
      <c r="F152" s="34"/>
      <c r="G152" s="34"/>
      <c r="H152" s="34"/>
      <c r="I152" s="34"/>
      <c r="J152" s="34"/>
      <c r="K152" s="34"/>
      <c r="L152" s="34"/>
    </row>
    <row r="153" spans="2:20" x14ac:dyDescent="0.2">
      <c r="B153" s="13" t="s">
        <v>68</v>
      </c>
      <c r="C153" s="34">
        <v>-1200</v>
      </c>
      <c r="D153" s="34">
        <v>-1153</v>
      </c>
      <c r="E153" s="34">
        <v>-960</v>
      </c>
      <c r="F153" s="34">
        <v>-1172</v>
      </c>
      <c r="G153" s="34">
        <v>-1548</v>
      </c>
      <c r="H153" s="34">
        <v>-1436</v>
      </c>
      <c r="I153" s="34">
        <v>-852</v>
      </c>
      <c r="J153" s="34">
        <v>-602</v>
      </c>
      <c r="K153" s="34">
        <v>-748</v>
      </c>
      <c r="L153" s="34">
        <v>-1077</v>
      </c>
      <c r="N153" s="55">
        <f t="shared" ref="N153:T153" si="84">N170*N56</f>
        <v>-1117.2191534246983</v>
      </c>
      <c r="O153" s="55">
        <f t="shared" si="84"/>
        <v>-1128.3913449589454</v>
      </c>
      <c r="P153" s="55">
        <f t="shared" si="84"/>
        <v>-1139.675258408535</v>
      </c>
      <c r="Q153" s="55">
        <f t="shared" si="84"/>
        <v>-1151.0720109926203</v>
      </c>
      <c r="R153" s="55">
        <f t="shared" si="84"/>
        <v>-1162.5827311025464</v>
      </c>
      <c r="S153" s="55">
        <f t="shared" si="84"/>
        <v>-1174.2085584135718</v>
      </c>
      <c r="T153" s="55">
        <f t="shared" si="84"/>
        <v>-1185.9506439977076</v>
      </c>
    </row>
    <row r="154" spans="2:20" x14ac:dyDescent="0.2">
      <c r="B154" s="19" t="s">
        <v>69</v>
      </c>
      <c r="C154" s="34">
        <v>-1480</v>
      </c>
      <c r="D154" s="34">
        <v>157</v>
      </c>
      <c r="E154" s="34">
        <v>252</v>
      </c>
      <c r="F154" s="34">
        <v>204</v>
      </c>
      <c r="G154" s="34">
        <v>-1466</v>
      </c>
      <c r="H154" s="34">
        <v>438</v>
      </c>
      <c r="I154" s="34">
        <v>-959</v>
      </c>
      <c r="J154" s="34">
        <v>-552</v>
      </c>
      <c r="K154" s="34">
        <v>-1610</v>
      </c>
      <c r="L154" s="34">
        <v>-14602</v>
      </c>
    </row>
    <row r="155" spans="2:20" x14ac:dyDescent="0.2">
      <c r="B155" s="18" t="s">
        <v>70</v>
      </c>
      <c r="C155" s="34">
        <f>SUM(C153:C154)</f>
        <v>-2680</v>
      </c>
      <c r="D155" s="34">
        <f t="shared" ref="D155:L155" si="85">SUM(D153:D154)</f>
        <v>-996</v>
      </c>
      <c r="E155" s="34">
        <f t="shared" si="85"/>
        <v>-708</v>
      </c>
      <c r="F155" s="34">
        <f t="shared" si="85"/>
        <v>-968</v>
      </c>
      <c r="G155" s="34">
        <f t="shared" si="85"/>
        <v>-3014</v>
      </c>
      <c r="H155" s="34">
        <f t="shared" si="85"/>
        <v>-998</v>
      </c>
      <c r="I155" s="34">
        <f t="shared" si="85"/>
        <v>-1811</v>
      </c>
      <c r="J155" s="34">
        <f t="shared" si="85"/>
        <v>-1154</v>
      </c>
      <c r="K155" s="34">
        <f t="shared" si="85"/>
        <v>-2358</v>
      </c>
      <c r="L155" s="34">
        <f t="shared" si="85"/>
        <v>-15679</v>
      </c>
      <c r="N155" s="55">
        <f>SUM(N153:N154)</f>
        <v>-1117.2191534246983</v>
      </c>
    </row>
    <row r="156" spans="2:20" x14ac:dyDescent="0.2">
      <c r="B156" s="6"/>
      <c r="C156" s="34"/>
      <c r="D156" s="34"/>
      <c r="E156" s="34"/>
      <c r="F156" s="34"/>
      <c r="G156" s="34"/>
      <c r="H156" s="34"/>
      <c r="I156" s="34"/>
      <c r="J156" s="34"/>
      <c r="K156" s="34"/>
      <c r="L156" s="34"/>
    </row>
    <row r="157" spans="2:20" x14ac:dyDescent="0.2">
      <c r="B157" s="18" t="s">
        <v>71</v>
      </c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2:20" x14ac:dyDescent="0.2">
      <c r="B158" s="19" t="s">
        <v>72</v>
      </c>
      <c r="C158" s="34">
        <v>4495</v>
      </c>
      <c r="D158" s="34">
        <v>3271</v>
      </c>
      <c r="E158" s="34">
        <v>44</v>
      </c>
      <c r="F158" s="34">
        <v>1131</v>
      </c>
      <c r="G158" s="34">
        <v>4172</v>
      </c>
      <c r="H158" s="34">
        <v>-2229</v>
      </c>
      <c r="I158" s="34">
        <v>-543</v>
      </c>
      <c r="J158" s="34">
        <v>-356</v>
      </c>
      <c r="K158" s="34">
        <v>-3042</v>
      </c>
      <c r="L158" s="34">
        <v>14176</v>
      </c>
      <c r="N158" s="54">
        <f>N106-L106</f>
        <v>-1631.1647265727588</v>
      </c>
      <c r="O158" s="54">
        <f t="shared" ref="O158:T158" si="86">O106-M106</f>
        <v>33614.752315298036</v>
      </c>
      <c r="P158" s="54">
        <f t="shared" si="86"/>
        <v>741.82826622746506</v>
      </c>
      <c r="Q158" s="54">
        <f t="shared" si="86"/>
        <v>741.85096790285024</v>
      </c>
      <c r="R158" s="54">
        <f t="shared" si="86"/>
        <v>741.94243527843355</v>
      </c>
      <c r="S158" s="54">
        <f t="shared" si="86"/>
        <v>742.10285551390552</v>
      </c>
      <c r="T158" s="54">
        <f t="shared" si="86"/>
        <v>742.33242093205627</v>
      </c>
    </row>
    <row r="159" spans="2:20" x14ac:dyDescent="0.2">
      <c r="B159" s="13" t="s">
        <v>73</v>
      </c>
      <c r="C159" s="34">
        <v>-5963</v>
      </c>
      <c r="D159" s="34">
        <v>-3833</v>
      </c>
      <c r="E159" s="34">
        <v>-48</v>
      </c>
      <c r="F159" s="35" t="s">
        <v>11</v>
      </c>
      <c r="G159" s="35" t="s">
        <v>11</v>
      </c>
      <c r="H159" s="35" t="s">
        <v>11</v>
      </c>
      <c r="I159" s="35" t="s">
        <v>11</v>
      </c>
      <c r="J159" s="35" t="s">
        <v>11</v>
      </c>
      <c r="K159" s="34">
        <v>-775</v>
      </c>
      <c r="L159" s="34">
        <v>-209</v>
      </c>
    </row>
    <row r="160" spans="2:20" x14ac:dyDescent="0.2">
      <c r="B160" s="13" t="s">
        <v>74</v>
      </c>
      <c r="C160" s="34">
        <v>-5720</v>
      </c>
      <c r="D160" s="34">
        <v>-6035</v>
      </c>
      <c r="E160" s="34">
        <v>-6250</v>
      </c>
      <c r="F160" s="34">
        <v>-6378</v>
      </c>
      <c r="G160" s="34">
        <v>-6520</v>
      </c>
      <c r="H160" s="34">
        <v>-6885</v>
      </c>
      <c r="I160" s="34">
        <v>-7161</v>
      </c>
      <c r="J160" s="34">
        <v>-7364</v>
      </c>
      <c r="K160" s="34">
        <v>-7580</v>
      </c>
      <c r="L160" s="34">
        <v>-7812</v>
      </c>
    </row>
    <row r="161" spans="1:20" x14ac:dyDescent="0.2">
      <c r="B161" s="19" t="s">
        <v>75</v>
      </c>
      <c r="C161" s="34">
        <v>-1027</v>
      </c>
      <c r="D161" s="34">
        <v>-242</v>
      </c>
      <c r="E161" s="34">
        <v>1518</v>
      </c>
      <c r="F161" s="34">
        <v>-166</v>
      </c>
      <c r="G161" s="34">
        <v>-421</v>
      </c>
      <c r="H161" s="34">
        <v>-537</v>
      </c>
      <c r="I161" s="34">
        <v>-357</v>
      </c>
      <c r="J161" s="34">
        <v>-776</v>
      </c>
      <c r="K161" s="34">
        <v>-580</v>
      </c>
      <c r="L161" s="34">
        <v>-2349</v>
      </c>
    </row>
    <row r="162" spans="1:20" x14ac:dyDescent="0.2">
      <c r="B162" s="18" t="s">
        <v>76</v>
      </c>
      <c r="C162" s="34">
        <f>SUM(C158:C161)</f>
        <v>-8215</v>
      </c>
      <c r="D162" s="34">
        <f t="shared" ref="D162:L162" si="87">SUM(D158:D161)</f>
        <v>-6839</v>
      </c>
      <c r="E162" s="34">
        <f t="shared" si="87"/>
        <v>-4736</v>
      </c>
      <c r="F162" s="34">
        <f t="shared" si="87"/>
        <v>-5413</v>
      </c>
      <c r="G162" s="34">
        <f t="shared" si="87"/>
        <v>-2769</v>
      </c>
      <c r="H162" s="34">
        <f t="shared" si="87"/>
        <v>-9651</v>
      </c>
      <c r="I162" s="34">
        <f t="shared" si="87"/>
        <v>-8061</v>
      </c>
      <c r="J162" s="34">
        <f t="shared" si="87"/>
        <v>-8496</v>
      </c>
      <c r="K162" s="34">
        <f t="shared" si="87"/>
        <v>-11977</v>
      </c>
      <c r="L162" s="34">
        <f t="shared" si="87"/>
        <v>3806</v>
      </c>
      <c r="N162" s="54">
        <f>SUM(N158:N161)</f>
        <v>-1631.1647265727588</v>
      </c>
    </row>
    <row r="163" spans="1:20" x14ac:dyDescent="0.2">
      <c r="B163" s="18"/>
      <c r="C163" s="34"/>
      <c r="D163" s="34"/>
      <c r="E163" s="34"/>
      <c r="F163" s="34"/>
      <c r="G163" s="34"/>
      <c r="H163" s="34"/>
      <c r="I163" s="34"/>
      <c r="J163" s="34"/>
      <c r="K163" s="34"/>
      <c r="L163" s="34"/>
    </row>
    <row r="164" spans="1:20" x14ac:dyDescent="0.2">
      <c r="B164" s="36" t="s">
        <v>77</v>
      </c>
      <c r="C164" s="34">
        <v>-69</v>
      </c>
      <c r="D164" s="34">
        <v>-376</v>
      </c>
      <c r="E164" s="34">
        <v>-686</v>
      </c>
      <c r="F164" s="34">
        <v>-874</v>
      </c>
      <c r="G164" s="34">
        <v>1079</v>
      </c>
      <c r="H164" s="34">
        <v>-685</v>
      </c>
      <c r="I164" s="34">
        <v>27</v>
      </c>
      <c r="J164" s="34">
        <v>258</v>
      </c>
      <c r="K164" s="34">
        <v>-417</v>
      </c>
      <c r="L164" s="34">
        <v>-213</v>
      </c>
    </row>
    <row r="165" spans="1:20" x14ac:dyDescent="0.2">
      <c r="B165" s="18" t="s">
        <v>78</v>
      </c>
      <c r="C165" s="34">
        <f>C150+C155+C162+C164</f>
        <v>-829</v>
      </c>
      <c r="D165" s="34">
        <f t="shared" ref="D165:N165" si="88">D150+D155+D162+D164</f>
        <v>-472</v>
      </c>
      <c r="E165" s="34">
        <f t="shared" si="88"/>
        <v>1735</v>
      </c>
      <c r="F165" s="34">
        <f t="shared" si="88"/>
        <v>822</v>
      </c>
      <c r="G165" s="34">
        <f t="shared" si="88"/>
        <v>4208</v>
      </c>
      <c r="H165" s="34">
        <f t="shared" si="88"/>
        <v>-1856</v>
      </c>
      <c r="I165" s="34">
        <f t="shared" si="88"/>
        <v>245</v>
      </c>
      <c r="J165" s="34">
        <f t="shared" si="88"/>
        <v>420</v>
      </c>
      <c r="K165" s="34">
        <f t="shared" si="88"/>
        <v>-2785</v>
      </c>
      <c r="L165" s="34">
        <f t="shared" si="88"/>
        <v>-1283</v>
      </c>
      <c r="N165" s="34">
        <f t="shared" si="88"/>
        <v>12596.702032804287</v>
      </c>
      <c r="O165" s="34">
        <f t="shared" ref="O165" si="89">O150+O155+O162+O164</f>
        <v>9698.0804542925616</v>
      </c>
      <c r="P165" s="34">
        <f t="shared" ref="P165" si="90">P150+P155+P162+P164</f>
        <v>11789.368842695254</v>
      </c>
      <c r="Q165" s="34">
        <f t="shared" ref="Q165" si="91">Q150+Q155+Q162+Q164</f>
        <v>12168.652761446992</v>
      </c>
      <c r="R165" s="34">
        <f t="shared" ref="R165" si="92">R150+R155+R162+R164</f>
        <v>12542.524322285397</v>
      </c>
      <c r="S165" s="34">
        <f t="shared" ref="S165" si="93">S150+S155+S162+S164</f>
        <v>12911.014907437057</v>
      </c>
      <c r="T165" s="34">
        <f t="shared" ref="T165" si="94">T150+T155+T162+T164</f>
        <v>13274.155588022641</v>
      </c>
    </row>
    <row r="166" spans="1:20" ht="13.5" thickBot="1" x14ac:dyDescent="0.25">
      <c r="B166" s="36" t="s">
        <v>79</v>
      </c>
      <c r="C166" s="34">
        <v>2983</v>
      </c>
      <c r="D166" s="34">
        <v>2154</v>
      </c>
      <c r="E166" s="34">
        <v>1682</v>
      </c>
      <c r="F166" s="34">
        <v>3417</v>
      </c>
      <c r="G166" s="34">
        <v>4239</v>
      </c>
      <c r="H166" s="34">
        <v>8476</v>
      </c>
      <c r="I166" s="34">
        <v>6620</v>
      </c>
      <c r="J166" s="34">
        <v>6865</v>
      </c>
      <c r="K166" s="34">
        <v>7285</v>
      </c>
      <c r="L166" s="34">
        <v>4500</v>
      </c>
      <c r="N166" s="38">
        <f>L167</f>
        <v>3217</v>
      </c>
      <c r="O166" s="38">
        <f>N167</f>
        <v>15813.702032804287</v>
      </c>
      <c r="P166" s="38">
        <f t="shared" ref="P166:T166" si="95">O167</f>
        <v>25511.782487096847</v>
      </c>
      <c r="Q166" s="38">
        <f t="shared" si="95"/>
        <v>37301.151329792105</v>
      </c>
      <c r="R166" s="38">
        <f t="shared" si="95"/>
        <v>49469.804091239101</v>
      </c>
      <c r="S166" s="38">
        <f t="shared" si="95"/>
        <v>62012.328413524498</v>
      </c>
      <c r="T166" s="38">
        <f t="shared" si="95"/>
        <v>74923.343320961547</v>
      </c>
    </row>
    <row r="167" spans="1:20" ht="13.5" thickBot="1" x14ac:dyDescent="0.25">
      <c r="A167" t="s">
        <v>45</v>
      </c>
      <c r="B167" s="37" t="s">
        <v>80</v>
      </c>
      <c r="C167" s="38">
        <f>C166+C165</f>
        <v>2154</v>
      </c>
      <c r="D167" s="38">
        <f t="shared" ref="D167:N167" si="96">D166+D165</f>
        <v>1682</v>
      </c>
      <c r="E167" s="38">
        <f t="shared" si="96"/>
        <v>3417</v>
      </c>
      <c r="F167" s="38">
        <f t="shared" si="96"/>
        <v>4239</v>
      </c>
      <c r="G167" s="38">
        <f t="shared" si="96"/>
        <v>8447</v>
      </c>
      <c r="H167" s="38">
        <f t="shared" si="96"/>
        <v>6620</v>
      </c>
      <c r="I167" s="38">
        <f t="shared" si="96"/>
        <v>6865</v>
      </c>
      <c r="J167" s="38">
        <f t="shared" si="96"/>
        <v>7285</v>
      </c>
      <c r="K167" s="38">
        <f t="shared" si="96"/>
        <v>4500</v>
      </c>
      <c r="L167" s="38">
        <f t="shared" si="96"/>
        <v>3217</v>
      </c>
      <c r="N167" s="38">
        <f t="shared" si="96"/>
        <v>15813.702032804287</v>
      </c>
      <c r="O167" s="38">
        <f t="shared" ref="O167" si="97">O166+O165</f>
        <v>25511.782487096847</v>
      </c>
      <c r="P167" s="38">
        <f t="shared" ref="P167" si="98">P166+P165</f>
        <v>37301.151329792105</v>
      </c>
      <c r="Q167" s="38">
        <f t="shared" ref="Q167" si="99">Q166+Q165</f>
        <v>49469.804091239101</v>
      </c>
      <c r="R167" s="38">
        <f t="shared" ref="R167" si="100">R166+R165</f>
        <v>62012.328413524498</v>
      </c>
      <c r="S167" s="38">
        <f t="shared" ref="S167" si="101">S166+S165</f>
        <v>74923.343320961547</v>
      </c>
      <c r="T167" s="38">
        <f t="shared" ref="T167" si="102">T166+T165</f>
        <v>88197.498908984184</v>
      </c>
    </row>
    <row r="168" spans="1:20" x14ac:dyDescent="0.2"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</row>
    <row r="169" spans="1:20" x14ac:dyDescent="0.2">
      <c r="B169" s="18" t="s">
        <v>48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</row>
    <row r="170" spans="1:20" x14ac:dyDescent="0.2">
      <c r="B170" s="36" t="s">
        <v>104</v>
      </c>
      <c r="C170" s="15">
        <f t="shared" ref="C170:L170" si="103">C153/C56</f>
        <v>-1.4994564470379487E-2</v>
      </c>
      <c r="D170" s="15">
        <f t="shared" si="103"/>
        <v>-1.4393428706963274E-2</v>
      </c>
      <c r="E170" s="15">
        <f t="shared" si="103"/>
        <v>-1.2989121610651079E-2</v>
      </c>
      <c r="F170" s="15">
        <f t="shared" si="103"/>
        <v>-1.5636465518391526E-2</v>
      </c>
      <c r="G170" s="15">
        <f t="shared" si="103"/>
        <v>-1.9821250224077443E-2</v>
      </c>
      <c r="H170" s="15">
        <f t="shared" si="103"/>
        <v>-1.7989802437893838E-2</v>
      </c>
      <c r="I170" s="15">
        <f t="shared" si="103"/>
        <v>-1.0934151255759039E-2</v>
      </c>
      <c r="J170" s="15">
        <f t="shared" si="103"/>
        <v>-7.9161571133641046E-3</v>
      </c>
      <c r="K170" s="15">
        <f t="shared" si="103"/>
        <v>-9.0972112425963536E-3</v>
      </c>
      <c r="L170" s="15">
        <f t="shared" si="103"/>
        <v>-1.3350853487709034E-2</v>
      </c>
      <c r="N170" s="77">
        <f>AVERAGE(C170:L170)</f>
        <v>-1.3712300606778517E-2</v>
      </c>
      <c r="O170" s="77">
        <f>N170</f>
        <v>-1.3712300606778517E-2</v>
      </c>
      <c r="P170" s="77">
        <f t="shared" ref="P170:T170" si="104">O170</f>
        <v>-1.3712300606778517E-2</v>
      </c>
      <c r="Q170" s="77">
        <f t="shared" si="104"/>
        <v>-1.3712300606778517E-2</v>
      </c>
      <c r="R170" s="77">
        <f t="shared" si="104"/>
        <v>-1.3712300606778517E-2</v>
      </c>
      <c r="S170" s="77">
        <f t="shared" si="104"/>
        <v>-1.3712300606778517E-2</v>
      </c>
      <c r="T170" s="77">
        <f t="shared" si="104"/>
        <v>-1.3712300606778517E-2</v>
      </c>
    </row>
    <row r="171" spans="1:20" x14ac:dyDescent="0.2">
      <c r="B171" s="36" t="s">
        <v>103</v>
      </c>
      <c r="C171" s="15">
        <f t="shared" ref="C171:L171" si="105">C146/C56</f>
        <v>1.1021004885728923E-2</v>
      </c>
      <c r="D171" s="15">
        <f t="shared" si="105"/>
        <v>1.1097795421067086E-2</v>
      </c>
      <c r="E171" s="15">
        <f t="shared" si="105"/>
        <v>1.0201872598365535E-2</v>
      </c>
      <c r="F171" s="15">
        <f t="shared" si="105"/>
        <v>9.9128787373420676E-3</v>
      </c>
      <c r="G171" s="15">
        <f t="shared" si="105"/>
        <v>1.1203872058183309E-2</v>
      </c>
      <c r="H171" s="15">
        <f t="shared" si="105"/>
        <v>1.2389912681808501E-2</v>
      </c>
      <c r="I171" s="15">
        <f t="shared" si="105"/>
        <v>1.2371504472478536E-2</v>
      </c>
      <c r="J171" s="15">
        <f t="shared" si="105"/>
        <v>1.2899917156495326E-2</v>
      </c>
      <c r="K171" s="15">
        <f t="shared" si="105"/>
        <v>1.2137723021538985E-2</v>
      </c>
      <c r="L171" s="15">
        <f t="shared" si="105"/>
        <v>1.4739243079745628E-2</v>
      </c>
      <c r="N171" s="77">
        <f>AVERAGE(C171:L171)</f>
        <v>1.179757241127539E-2</v>
      </c>
      <c r="O171" s="77">
        <f>N171</f>
        <v>1.179757241127539E-2</v>
      </c>
      <c r="P171" s="77">
        <f t="shared" ref="P171:T171" si="106">O171</f>
        <v>1.179757241127539E-2</v>
      </c>
      <c r="Q171" s="77">
        <f t="shared" si="106"/>
        <v>1.179757241127539E-2</v>
      </c>
      <c r="R171" s="77">
        <f t="shared" si="106"/>
        <v>1.179757241127539E-2</v>
      </c>
      <c r="S171" s="77">
        <f t="shared" si="106"/>
        <v>1.179757241127539E-2</v>
      </c>
      <c r="T171" s="77">
        <f t="shared" si="106"/>
        <v>1.179757241127539E-2</v>
      </c>
    </row>
  </sheetData>
  <sortState xmlns:xlrd2="http://schemas.microsoft.com/office/spreadsheetml/2017/richdata2" columnSort="1" ref="C55:L84">
    <sortCondition ref="C55:L55"/>
  </sortState>
  <mergeCells count="6">
    <mergeCell ref="C54:L54"/>
    <mergeCell ref="N54:T54"/>
    <mergeCell ref="C87:L87"/>
    <mergeCell ref="N87:T87"/>
    <mergeCell ref="C141:L141"/>
    <mergeCell ref="N141:T141"/>
  </mergeCells>
  <pageMargins left="0.7" right="0.7" top="0.75" bottom="0.75" header="0.3" footer="0.3"/>
  <pageSetup orientation="portrait" r:id="rId1"/>
  <ignoredErrors>
    <ignoredError sqref="N128 O76:T7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B2631-7E19-4BD1-8304-0D274B1DD041}">
  <dimension ref="A1:P52"/>
  <sheetViews>
    <sheetView tabSelected="1" zoomScaleNormal="100" workbookViewId="0">
      <selection activeCell="G11" sqref="G11"/>
    </sheetView>
  </sheetViews>
  <sheetFormatPr defaultRowHeight="12.75" x14ac:dyDescent="0.2"/>
  <cols>
    <col min="4" max="4" width="10.140625" customWidth="1"/>
    <col min="10" max="10" width="10" bestFit="1" customWidth="1"/>
  </cols>
  <sheetData>
    <row r="1" spans="1:12" x14ac:dyDescent="0.2">
      <c r="A1" s="1" t="s">
        <v>189</v>
      </c>
    </row>
    <row r="4" spans="1:12" ht="13.5" thickBot="1" x14ac:dyDescent="0.25">
      <c r="C4" s="86" t="s">
        <v>165</v>
      </c>
      <c r="D4" s="87"/>
      <c r="E4" s="87"/>
      <c r="F4" s="87"/>
      <c r="I4" s="1" t="s">
        <v>243</v>
      </c>
      <c r="J4" s="107">
        <v>2.5000000000000001E-2</v>
      </c>
    </row>
    <row r="5" spans="1:12" x14ac:dyDescent="0.2">
      <c r="C5" t="s">
        <v>166</v>
      </c>
      <c r="F5" s="34">
        <f>+SUM(J52:P52)</f>
        <v>57670.616359312728</v>
      </c>
      <c r="I5" s="1" t="s">
        <v>244</v>
      </c>
      <c r="J5" s="76">
        <f>+WACC!M39</f>
        <v>5.9054133788640772E-2</v>
      </c>
    </row>
    <row r="6" spans="1:12" x14ac:dyDescent="0.2">
      <c r="C6" t="s">
        <v>167</v>
      </c>
      <c r="F6" s="34">
        <f>+(P52*(1+J4))/(J5-J4)</f>
        <v>240384.86729241503</v>
      </c>
    </row>
    <row r="7" spans="1:12" x14ac:dyDescent="0.2">
      <c r="C7" t="s">
        <v>161</v>
      </c>
      <c r="F7" s="34">
        <f>+F6/(1+J5)^P51</f>
        <v>160871.83154738473</v>
      </c>
    </row>
    <row r="8" spans="1:12" x14ac:dyDescent="0.2">
      <c r="C8" s="1" t="s">
        <v>168</v>
      </c>
      <c r="F8" s="34">
        <f>+F5+F7</f>
        <v>218542.44790669746</v>
      </c>
    </row>
    <row r="9" spans="1:12" x14ac:dyDescent="0.2">
      <c r="C9" t="s">
        <v>163</v>
      </c>
      <c r="F9" s="34">
        <f>+Home!C10</f>
        <v>43123</v>
      </c>
    </row>
    <row r="10" spans="1:12" x14ac:dyDescent="0.2">
      <c r="C10" t="s">
        <v>162</v>
      </c>
      <c r="F10" s="34">
        <f>+Home!C9</f>
        <v>3207</v>
      </c>
    </row>
    <row r="11" spans="1:12" x14ac:dyDescent="0.2">
      <c r="C11" s="1" t="s">
        <v>164</v>
      </c>
      <c r="F11" s="34">
        <f>+F8-F9+F10</f>
        <v>178626.44790669746</v>
      </c>
    </row>
    <row r="12" spans="1:12" x14ac:dyDescent="0.2">
      <c r="C12" t="s">
        <v>261</v>
      </c>
      <c r="F12" s="34">
        <f>+Home!C7</f>
        <v>1550.2328950000001</v>
      </c>
    </row>
    <row r="13" spans="1:12" x14ac:dyDescent="0.2">
      <c r="C13" s="1" t="s">
        <v>169</v>
      </c>
      <c r="F13" s="121">
        <f>+F11/F12</f>
        <v>115.22555641982906</v>
      </c>
      <c r="L13" s="21"/>
    </row>
    <row r="21" spans="2:16" x14ac:dyDescent="0.2">
      <c r="G21" s="119" t="s">
        <v>144</v>
      </c>
      <c r="H21" s="119"/>
      <c r="I21" s="119"/>
      <c r="J21" s="118" t="s">
        <v>143</v>
      </c>
      <c r="K21" s="118"/>
      <c r="L21" s="118"/>
      <c r="M21" s="118"/>
      <c r="N21" s="118"/>
      <c r="O21" s="118"/>
      <c r="P21" s="118"/>
    </row>
    <row r="22" spans="2:16" ht="13.5" thickBot="1" x14ac:dyDescent="0.25">
      <c r="B22" s="1" t="s">
        <v>142</v>
      </c>
      <c r="G22" s="83">
        <v>2020</v>
      </c>
      <c r="H22" s="83">
        <v>2021</v>
      </c>
      <c r="I22" s="83">
        <v>2022</v>
      </c>
      <c r="J22" s="53">
        <f>I22+1</f>
        <v>2023</v>
      </c>
      <c r="K22" s="53">
        <f t="shared" ref="K22:P22" si="0">J22+1</f>
        <v>2024</v>
      </c>
      <c r="L22" s="53">
        <f t="shared" si="0"/>
        <v>2025</v>
      </c>
      <c r="M22" s="53">
        <f t="shared" si="0"/>
        <v>2026</v>
      </c>
      <c r="N22" s="53">
        <f t="shared" si="0"/>
        <v>2027</v>
      </c>
      <c r="O22" s="53">
        <f t="shared" si="0"/>
        <v>2028</v>
      </c>
      <c r="P22" s="53">
        <f t="shared" si="0"/>
        <v>2029</v>
      </c>
    </row>
    <row r="24" spans="2:16" x14ac:dyDescent="0.2">
      <c r="C24" s="1" t="s">
        <v>148</v>
      </c>
      <c r="G24" s="34">
        <f>+'3 Statement Model'!J58</f>
        <v>28694</v>
      </c>
      <c r="H24" s="34">
        <f>'3 Statement Model'!K56</f>
        <v>82223</v>
      </c>
      <c r="I24" s="34">
        <f>'3 Statement Model'!L56</f>
        <v>80669</v>
      </c>
      <c r="J24" s="89">
        <f>+'3 Statement Model'!N58</f>
        <v>32529.630123202714</v>
      </c>
      <c r="K24" s="89">
        <f>+'3 Statement Model'!O58</f>
        <v>33388.731207174067</v>
      </c>
      <c r="L24" s="89">
        <f>+'3 Statement Model'!P58</f>
        <v>34238.428039552615</v>
      </c>
      <c r="M24" s="89">
        <f>+'3 Statement Model'!Q58</f>
        <v>35078.793185327217</v>
      </c>
      <c r="N24" s="89">
        <f>+'3 Statement Model'!R58</f>
        <v>35909.89871894307</v>
      </c>
      <c r="O24" s="89">
        <f>+'3 Statement Model'!S58</f>
        <v>36731.816227393138</v>
      </c>
      <c r="P24" s="89">
        <f>+'3 Statement Model'!T58</f>
        <v>37544.616813290719</v>
      </c>
    </row>
    <row r="25" spans="2:16" x14ac:dyDescent="0.2">
      <c r="C25" s="13" t="s">
        <v>145</v>
      </c>
      <c r="H25" s="88">
        <f>H24/G24-1</f>
        <v>1.8655119537185474</v>
      </c>
      <c r="I25" s="88">
        <f t="shared" ref="I25:P25" si="1">I24/H24-1</f>
        <v>-1.8899821217907453E-2</v>
      </c>
      <c r="J25" s="88">
        <f t="shared" si="1"/>
        <v>-0.59675178664415429</v>
      </c>
      <c r="K25" s="88">
        <f t="shared" si="1"/>
        <v>2.6409801793552345E-2</v>
      </c>
      <c r="L25" s="88">
        <f t="shared" si="1"/>
        <v>2.5448611003103361E-2</v>
      </c>
      <c r="M25" s="88">
        <f t="shared" si="1"/>
        <v>2.4544501424066612E-2</v>
      </c>
      <c r="N25" s="88">
        <f t="shared" si="1"/>
        <v>2.3692534951957445E-2</v>
      </c>
      <c r="O25" s="88">
        <f t="shared" si="1"/>
        <v>2.2888327112337237E-2</v>
      </c>
      <c r="P25" s="88">
        <f t="shared" si="1"/>
        <v>2.2127971589148476E-2</v>
      </c>
    </row>
    <row r="27" spans="2:16" x14ac:dyDescent="0.2">
      <c r="C27" s="1" t="s">
        <v>146</v>
      </c>
      <c r="G27" s="34">
        <f>'3 Statement Model'!J63</f>
        <v>11668</v>
      </c>
      <c r="H27" s="34">
        <f>'3 Statement Model'!K63</f>
        <v>12975</v>
      </c>
      <c r="I27" s="34">
        <f>'3 Statement Model'!L63</f>
        <v>12246</v>
      </c>
      <c r="J27" s="89">
        <f>'3 Statement Model'!N63</f>
        <v>12616.950432690333</v>
      </c>
      <c r="K27" s="89">
        <f>'3 Statement Model'!O63</f>
        <v>13091.369574840137</v>
      </c>
      <c r="L27" s="89">
        <f>'3 Statement Model'!P63</f>
        <v>13558.792954354658</v>
      </c>
      <c r="M27" s="89">
        <f>'3 Statement Model'!Q63</f>
        <v>14019.259306907177</v>
      </c>
      <c r="N27" s="89">
        <f>'3 Statement Model'!R63</f>
        <v>14472.806962093531</v>
      </c>
      <c r="O27" s="89">
        <f>'3 Statement Model'!S63</f>
        <v>14919.47384458842</v>
      </c>
      <c r="P27" s="89">
        <f>'3 Statement Model'!T63</f>
        <v>15359.297475280782</v>
      </c>
    </row>
    <row r="28" spans="2:16" x14ac:dyDescent="0.2">
      <c r="C28" s="13" t="s">
        <v>147</v>
      </c>
      <c r="G28" s="88">
        <f>G27/G24</f>
        <v>0.40663553356102322</v>
      </c>
      <c r="H28" s="88">
        <f t="shared" ref="H28:P28" si="2">H27/H24</f>
        <v>0.15780256132712259</v>
      </c>
      <c r="I28" s="88">
        <f t="shared" si="2"/>
        <v>0.15180552628642974</v>
      </c>
      <c r="J28" s="88">
        <f t="shared" si="2"/>
        <v>0.38786024879179071</v>
      </c>
      <c r="K28" s="88">
        <f t="shared" si="2"/>
        <v>0.39208945957273333</v>
      </c>
      <c r="L28" s="88">
        <f t="shared" si="2"/>
        <v>0.39601096576897132</v>
      </c>
      <c r="M28" s="88">
        <f t="shared" si="2"/>
        <v>0.39965055903836405</v>
      </c>
      <c r="N28" s="88">
        <f t="shared" si="2"/>
        <v>0.40303112730470847</v>
      </c>
      <c r="O28" s="88">
        <f t="shared" si="2"/>
        <v>0.40617305042112417</v>
      </c>
      <c r="P28" s="88">
        <f t="shared" si="2"/>
        <v>0.40909453282377412</v>
      </c>
    </row>
    <row r="29" spans="2:16" x14ac:dyDescent="0.2">
      <c r="C29" s="13" t="s">
        <v>145</v>
      </c>
      <c r="H29" s="88">
        <f>H27/G27-1</f>
        <v>0.11201576962632842</v>
      </c>
      <c r="I29" s="88">
        <f t="shared" ref="I29:P29" si="3">I27/H27-1</f>
        <v>-5.6184971098265923E-2</v>
      </c>
      <c r="J29" s="88">
        <f t="shared" si="3"/>
        <v>3.0291559096058629E-2</v>
      </c>
      <c r="K29" s="88">
        <f t="shared" si="3"/>
        <v>3.7601728300413306E-2</v>
      </c>
      <c r="L29" s="88">
        <f t="shared" si="3"/>
        <v>3.5704696658541035E-2</v>
      </c>
      <c r="M29" s="88">
        <f t="shared" si="3"/>
        <v>3.3960718634960196E-2</v>
      </c>
      <c r="N29" s="88">
        <f t="shared" si="3"/>
        <v>3.2351755913587743E-2</v>
      </c>
      <c r="O29" s="88">
        <f t="shared" si="3"/>
        <v>3.0862491544644932E-2</v>
      </c>
      <c r="P29" s="88">
        <f t="shared" si="3"/>
        <v>2.9479835232386176E-2</v>
      </c>
    </row>
    <row r="31" spans="2:16" x14ac:dyDescent="0.2">
      <c r="C31" s="1" t="s">
        <v>149</v>
      </c>
      <c r="H31" s="55"/>
      <c r="J31" s="89">
        <f>J27*'3 Statement Model'!N82</f>
        <v>2642.2534184342753</v>
      </c>
      <c r="K31" s="89">
        <f>K27*'3 Statement Model'!O82</f>
        <v>2741.6067135750791</v>
      </c>
      <c r="L31" s="89">
        <f>L27*'3 Statement Model'!P82</f>
        <v>2839.4949496402974</v>
      </c>
      <c r="M31" s="89">
        <f>M27*'3 Statement Model'!Q82</f>
        <v>2935.926238690422</v>
      </c>
      <c r="N31" s="89">
        <f>N27*'3 Statement Model'!R82</f>
        <v>3030.9086077448319</v>
      </c>
      <c r="O31" s="89">
        <f>O27*'3 Statement Model'!S82</f>
        <v>3124.4499990239483</v>
      </c>
      <c r="P31" s="89">
        <f>P27*'3 Statement Model'!T82</f>
        <v>3216.5582701870035</v>
      </c>
    </row>
    <row r="33" spans="3:16" x14ac:dyDescent="0.2">
      <c r="C33" s="1" t="s">
        <v>150</v>
      </c>
      <c r="J33" s="34">
        <f>J27-J31</f>
        <v>9974.6970142560585</v>
      </c>
      <c r="K33" s="34">
        <f t="shared" ref="K33:P33" si="4">K27-K31</f>
        <v>10349.762861265059</v>
      </c>
      <c r="L33" s="34">
        <f t="shared" si="4"/>
        <v>10719.298004714361</v>
      </c>
      <c r="M33" s="34">
        <f t="shared" si="4"/>
        <v>11083.333068216754</v>
      </c>
      <c r="N33" s="34">
        <f t="shared" si="4"/>
        <v>11441.898354348699</v>
      </c>
      <c r="O33" s="34">
        <f t="shared" si="4"/>
        <v>11795.023845564472</v>
      </c>
      <c r="P33" s="34">
        <f t="shared" si="4"/>
        <v>12142.739205093778</v>
      </c>
    </row>
    <row r="35" spans="3:16" x14ac:dyDescent="0.2">
      <c r="C35" t="s">
        <v>151</v>
      </c>
    </row>
    <row r="37" spans="3:16" x14ac:dyDescent="0.2">
      <c r="C37" s="1" t="s">
        <v>152</v>
      </c>
      <c r="J37" s="34">
        <f>'3 Statement Model'!N146</f>
        <v>961.21535253362617</v>
      </c>
      <c r="K37" s="34">
        <f>'3 Statement Model'!O146</f>
        <v>970.82750605896251</v>
      </c>
      <c r="L37" s="34">
        <f>'3 Statement Model'!P146</f>
        <v>980.53578111955221</v>
      </c>
      <c r="M37" s="34">
        <f>'3 Statement Model'!Q146</f>
        <v>990.34113893074766</v>
      </c>
      <c r="N37" s="34">
        <f>'3 Statement Model'!R146</f>
        <v>1000.2445503200552</v>
      </c>
      <c r="O37" s="34">
        <f>'3 Statement Model'!S146</f>
        <v>1010.2469958232556</v>
      </c>
      <c r="P37" s="34">
        <f>'3 Statement Model'!T146</f>
        <v>1020.3494657814883</v>
      </c>
    </row>
    <row r="38" spans="3:16" x14ac:dyDescent="0.2">
      <c r="C38" s="13" t="s">
        <v>153</v>
      </c>
    </row>
    <row r="40" spans="3:16" x14ac:dyDescent="0.2">
      <c r="C40" s="1" t="s">
        <v>154</v>
      </c>
    </row>
    <row r="42" spans="3:16" x14ac:dyDescent="0.2">
      <c r="C42" s="1" t="s">
        <v>155</v>
      </c>
      <c r="J42">
        <f>+'3 Statement Model'!N148</f>
        <v>-2914.6384526245201</v>
      </c>
      <c r="K42">
        <f>+'3 Statement Model'!O148</f>
        <v>-56.334363352718356</v>
      </c>
      <c r="L42">
        <f>+'3 Statement Model'!P148</f>
        <v>-53.720881655166522</v>
      </c>
      <c r="M42">
        <f>+'3 Statement Model'!Q148</f>
        <v>-51.110677489778027</v>
      </c>
      <c r="N42">
        <f>+'3 Statement Model'!R148</f>
        <v>-48.503568929008907</v>
      </c>
      <c r="O42">
        <f>+'3 Statement Model'!S148</f>
        <v>-45.899373637761528</v>
      </c>
      <c r="P42">
        <f>+'3 Statement Model'!T148</f>
        <v>-43.297908860586176</v>
      </c>
    </row>
    <row r="43" spans="3:16" x14ac:dyDescent="0.2">
      <c r="C43" s="13" t="s">
        <v>156</v>
      </c>
    </row>
    <row r="45" spans="3:16" x14ac:dyDescent="0.2">
      <c r="C45" s="1" t="s">
        <v>157</v>
      </c>
      <c r="J45" s="54">
        <f>'3 Statement Model'!N153</f>
        <v>-1117.2191534246983</v>
      </c>
      <c r="K45" s="54">
        <f>'3 Statement Model'!O153</f>
        <v>-1128.3913449589454</v>
      </c>
      <c r="L45" s="54">
        <f>'3 Statement Model'!P153</f>
        <v>-1139.675258408535</v>
      </c>
      <c r="M45" s="54">
        <f>'3 Statement Model'!Q153</f>
        <v>-1151.0720109926203</v>
      </c>
      <c r="N45" s="54">
        <f>'3 Statement Model'!R153</f>
        <v>-1162.5827311025464</v>
      </c>
      <c r="O45" s="54">
        <f>'3 Statement Model'!S153</f>
        <v>-1174.2085584135718</v>
      </c>
      <c r="P45" s="54">
        <f>'3 Statement Model'!T153</f>
        <v>-1185.9506439977076</v>
      </c>
    </row>
    <row r="46" spans="3:16" x14ac:dyDescent="0.2">
      <c r="C46" s="13" t="s">
        <v>156</v>
      </c>
    </row>
    <row r="48" spans="3:16" x14ac:dyDescent="0.2">
      <c r="C48" s="1" t="s">
        <v>158</v>
      </c>
      <c r="J48" s="34">
        <f>J33+J37+J40+J42+J45</f>
        <v>6904.0547607404669</v>
      </c>
      <c r="K48" s="34">
        <f t="shared" ref="K48:P48" si="5">K33+K37+K40+K42+K45</f>
        <v>10135.864659012357</v>
      </c>
      <c r="L48" s="34">
        <f t="shared" si="5"/>
        <v>10506.437645770211</v>
      </c>
      <c r="M48" s="34">
        <f t="shared" si="5"/>
        <v>10871.491518665103</v>
      </c>
      <c r="N48" s="34">
        <f t="shared" si="5"/>
        <v>11231.056604637201</v>
      </c>
      <c r="O48" s="34">
        <f t="shared" si="5"/>
        <v>11585.162909336395</v>
      </c>
      <c r="P48" s="34">
        <f t="shared" si="5"/>
        <v>11933.840118016971</v>
      </c>
    </row>
    <row r="49" spans="3:16" x14ac:dyDescent="0.2">
      <c r="C49" s="13" t="s">
        <v>145</v>
      </c>
    </row>
    <row r="51" spans="3:16" x14ac:dyDescent="0.2">
      <c r="C51" s="1" t="s">
        <v>159</v>
      </c>
      <c r="J51">
        <v>1</v>
      </c>
      <c r="K51">
        <f>J51+1</f>
        <v>2</v>
      </c>
      <c r="L51">
        <f t="shared" ref="L51:P51" si="6">K51+1</f>
        <v>3</v>
      </c>
      <c r="M51">
        <f t="shared" si="6"/>
        <v>4</v>
      </c>
      <c r="N51">
        <f t="shared" si="6"/>
        <v>5</v>
      </c>
      <c r="O51">
        <f t="shared" si="6"/>
        <v>6</v>
      </c>
      <c r="P51">
        <f t="shared" si="6"/>
        <v>7</v>
      </c>
    </row>
    <row r="52" spans="3:16" x14ac:dyDescent="0.2">
      <c r="C52" s="1" t="s">
        <v>160</v>
      </c>
      <c r="J52">
        <f>+J48/(1+$J$5)^J51</f>
        <v>6519.0763535779124</v>
      </c>
      <c r="K52">
        <f t="shared" ref="K52:P52" si="7">+K48/(1+$J$5)^K51</f>
        <v>9037.0041860024521</v>
      </c>
      <c r="L52">
        <f t="shared" si="7"/>
        <v>8845.0645806836164</v>
      </c>
      <c r="M52">
        <f t="shared" si="7"/>
        <v>8642.0443840657244</v>
      </c>
      <c r="N52">
        <f t="shared" si="7"/>
        <v>8430.0435346920149</v>
      </c>
      <c r="O52">
        <f t="shared" si="7"/>
        <v>8210.9458261051004</v>
      </c>
      <c r="P52">
        <f t="shared" si="7"/>
        <v>7986.4374941859114</v>
      </c>
    </row>
  </sheetData>
  <mergeCells count="2">
    <mergeCell ref="G21:I21"/>
    <mergeCell ref="J21:P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6ABC-2E8A-4805-A2E1-4227A45EC167}">
  <dimension ref="A1:M39"/>
  <sheetViews>
    <sheetView zoomScaleNormal="100" workbookViewId="0">
      <selection activeCell="A15" sqref="A15"/>
    </sheetView>
  </sheetViews>
  <sheetFormatPr defaultRowHeight="12.75" x14ac:dyDescent="0.2"/>
  <cols>
    <col min="7" max="7" width="15.140625" bestFit="1" customWidth="1"/>
    <col min="8" max="8" width="10.28515625" customWidth="1"/>
    <col min="10" max="10" width="12.42578125" bestFit="1" customWidth="1"/>
    <col min="13" max="13" width="15.28515625" customWidth="1"/>
  </cols>
  <sheetData>
    <row r="1" spans="1:13" x14ac:dyDescent="0.2">
      <c r="A1" s="1" t="s">
        <v>188</v>
      </c>
    </row>
    <row r="5" spans="1:13" x14ac:dyDescent="0.2">
      <c r="B5" s="1" t="s">
        <v>106</v>
      </c>
      <c r="C5" s="1"/>
      <c r="D5" s="1"/>
      <c r="E5" s="1"/>
    </row>
    <row r="6" spans="1:13" x14ac:dyDescent="0.2">
      <c r="B6" t="s">
        <v>107</v>
      </c>
      <c r="E6" s="77">
        <v>3.73E-2</v>
      </c>
      <c r="F6" s="78" t="s">
        <v>140</v>
      </c>
    </row>
    <row r="7" spans="1:13" x14ac:dyDescent="0.2">
      <c r="B7" t="s">
        <v>108</v>
      </c>
      <c r="E7" s="77">
        <v>4.65E-2</v>
      </c>
    </row>
    <row r="8" spans="1:13" x14ac:dyDescent="0.2">
      <c r="B8" t="s">
        <v>109</v>
      </c>
      <c r="E8" s="15">
        <v>2.93E-2</v>
      </c>
    </row>
    <row r="11" spans="1:13" x14ac:dyDescent="0.2">
      <c r="B11" s="82" t="s">
        <v>110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</row>
    <row r="13" spans="1:13" x14ac:dyDescent="0.2">
      <c r="B13" s="1" t="s">
        <v>111</v>
      </c>
      <c r="F13" s="52" t="s">
        <v>8</v>
      </c>
      <c r="G13" s="52" t="s">
        <v>122</v>
      </c>
      <c r="H13" s="52" t="s">
        <v>7</v>
      </c>
      <c r="I13" s="52" t="s">
        <v>125</v>
      </c>
      <c r="J13" s="52" t="s">
        <v>126</v>
      </c>
      <c r="K13" s="52" t="s">
        <v>127</v>
      </c>
      <c r="L13" s="52" t="s">
        <v>128</v>
      </c>
      <c r="M13" s="52" t="s">
        <v>129</v>
      </c>
    </row>
    <row r="14" spans="1:13" x14ac:dyDescent="0.2">
      <c r="B14" t="s">
        <v>112</v>
      </c>
      <c r="F14" t="s">
        <v>117</v>
      </c>
      <c r="G14">
        <v>0.63</v>
      </c>
      <c r="H14" s="34">
        <v>26680</v>
      </c>
      <c r="I14" s="14">
        <f>H14/(H14+J14)</f>
        <v>0.24788167087854912</v>
      </c>
      <c r="J14" s="34">
        <v>80952</v>
      </c>
      <c r="K14" s="14">
        <f>J14/(J14+H14)</f>
        <v>0.75211832912145082</v>
      </c>
      <c r="L14" s="15">
        <v>0.2094</v>
      </c>
      <c r="M14" s="75">
        <f>G14/(1+(1-L14)*(H14/J14))</f>
        <v>0.49977613843464358</v>
      </c>
    </row>
    <row r="15" spans="1:13" x14ac:dyDescent="0.2">
      <c r="B15" t="s">
        <v>113</v>
      </c>
      <c r="F15" t="s">
        <v>118</v>
      </c>
      <c r="G15">
        <v>0.33</v>
      </c>
      <c r="H15" s="34">
        <v>54259</v>
      </c>
      <c r="I15" s="14">
        <f>H15/(H15+J15)</f>
        <v>0.42723958456365796</v>
      </c>
      <c r="J15" s="34">
        <v>72740</v>
      </c>
      <c r="K15" s="14">
        <f>J15/(J15+H15)</f>
        <v>0.57276041543634204</v>
      </c>
      <c r="L15" s="15">
        <v>0.2094</v>
      </c>
      <c r="M15" s="75">
        <f t="shared" ref="M15:M18" si="0">G15/(1+(1-L15)*(H15/J15))</f>
        <v>0.20758205129784338</v>
      </c>
    </row>
    <row r="16" spans="1:13" x14ac:dyDescent="0.2">
      <c r="B16" t="s">
        <v>114</v>
      </c>
      <c r="F16" t="s">
        <v>119</v>
      </c>
      <c r="G16">
        <v>1.01</v>
      </c>
      <c r="H16" s="34">
        <v>1421</v>
      </c>
      <c r="I16" s="14">
        <f>H16/(H16+J16)</f>
        <v>0.41720493247210805</v>
      </c>
      <c r="J16" s="34">
        <v>1985</v>
      </c>
      <c r="K16" s="14">
        <f>J16/(J16+H16)</f>
        <v>0.58279506752789201</v>
      </c>
      <c r="L16" s="15">
        <v>0.2094</v>
      </c>
      <c r="M16" s="75">
        <f t="shared" si="0"/>
        <v>0.64496928461860614</v>
      </c>
    </row>
    <row r="17" spans="2:13" x14ac:dyDescent="0.2">
      <c r="B17" t="s">
        <v>115</v>
      </c>
      <c r="F17" t="s">
        <v>120</v>
      </c>
      <c r="G17">
        <v>0.72</v>
      </c>
      <c r="H17" s="34">
        <v>849</v>
      </c>
      <c r="I17" s="14">
        <f>H17/(H17+J17)</f>
        <v>0.40332541567695962</v>
      </c>
      <c r="J17" s="34">
        <v>1256</v>
      </c>
      <c r="K17" s="14">
        <f>J17/(J17+H17)</f>
        <v>0.59667458432304032</v>
      </c>
      <c r="L17" s="15">
        <v>0.2094</v>
      </c>
      <c r="M17" s="75">
        <f t="shared" si="0"/>
        <v>0.46923562517064737</v>
      </c>
    </row>
    <row r="18" spans="2:13" x14ac:dyDescent="0.2">
      <c r="B18" t="s">
        <v>116</v>
      </c>
      <c r="F18" t="s">
        <v>121</v>
      </c>
      <c r="G18">
        <v>0.37</v>
      </c>
      <c r="H18" s="34">
        <v>12895</v>
      </c>
      <c r="I18" s="14">
        <f>H18/(H18+J18)</f>
        <v>0.39291264206709531</v>
      </c>
      <c r="J18" s="34">
        <v>19924</v>
      </c>
      <c r="K18" s="14">
        <f>J18/(J18+H18)</f>
        <v>0.60708735793290469</v>
      </c>
      <c r="L18" s="15">
        <v>0.2094</v>
      </c>
      <c r="M18" s="75">
        <f t="shared" si="0"/>
        <v>0.24476018904745397</v>
      </c>
    </row>
    <row r="20" spans="2:13" x14ac:dyDescent="0.2">
      <c r="B20" t="s">
        <v>123</v>
      </c>
      <c r="G20">
        <f>MEDIAN(G14:G18)</f>
        <v>0.63</v>
      </c>
      <c r="H20" s="34">
        <f t="shared" ref="H20:M20" si="1">MEDIAN(H14:H18)</f>
        <v>12895</v>
      </c>
      <c r="I20" s="14">
        <f t="shared" si="1"/>
        <v>0.40332541567695962</v>
      </c>
      <c r="J20" s="34">
        <f t="shared" si="1"/>
        <v>19924</v>
      </c>
      <c r="K20" s="14">
        <f t="shared" si="1"/>
        <v>0.59667458432304032</v>
      </c>
      <c r="L20" s="15">
        <f t="shared" si="1"/>
        <v>0.2094</v>
      </c>
      <c r="M20" s="75">
        <f t="shared" si="1"/>
        <v>0.46923562517064737</v>
      </c>
    </row>
    <row r="22" spans="2:13" x14ac:dyDescent="0.2">
      <c r="B22" t="s">
        <v>124</v>
      </c>
      <c r="F22" t="s">
        <v>1</v>
      </c>
      <c r="G22">
        <v>0.7</v>
      </c>
      <c r="H22" s="34">
        <f>'3 Statement Model'!L106+'3 Statement Model'!L102</f>
        <v>43123</v>
      </c>
      <c r="I22" s="14">
        <f>H22/(H22+J22)</f>
        <v>0.22575688162545501</v>
      </c>
      <c r="J22" s="2">
        <f>Home!C8</f>
        <v>147892.21818300002</v>
      </c>
      <c r="K22" s="14">
        <f>J22/(J22+H22)</f>
        <v>0.77424311837454496</v>
      </c>
      <c r="L22" s="15">
        <v>0.2094</v>
      </c>
      <c r="M22" s="75">
        <f t="shared" ref="M22" si="2">G22/(1+(1-L22)*(H22/J22))</f>
        <v>0.5688622891768601</v>
      </c>
    </row>
    <row r="24" spans="2:13" x14ac:dyDescent="0.2">
      <c r="B24" s="82" t="s">
        <v>130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6" spans="2:13" x14ac:dyDescent="0.2">
      <c r="F26" s="52" t="s">
        <v>8</v>
      </c>
      <c r="G26" s="52" t="s">
        <v>129</v>
      </c>
      <c r="H26" s="52" t="s">
        <v>7</v>
      </c>
      <c r="I26" s="52" t="s">
        <v>125</v>
      </c>
      <c r="J26" s="52" t="s">
        <v>126</v>
      </c>
      <c r="K26" s="52" t="s">
        <v>127</v>
      </c>
      <c r="L26" s="52" t="s">
        <v>128</v>
      </c>
      <c r="M26" s="52" t="s">
        <v>122</v>
      </c>
    </row>
    <row r="27" spans="2:13" x14ac:dyDescent="0.2">
      <c r="B27" t="s">
        <v>131</v>
      </c>
      <c r="F27" t="s">
        <v>1</v>
      </c>
      <c r="G27" s="75">
        <f>M22</f>
        <v>0.5688622891768601</v>
      </c>
      <c r="H27" s="34">
        <f>H22</f>
        <v>43123</v>
      </c>
      <c r="I27" s="14">
        <f>I22</f>
        <v>0.22575688162545501</v>
      </c>
      <c r="J27" s="2">
        <f t="shared" ref="J27:L27" si="3">J22</f>
        <v>147892.21818300002</v>
      </c>
      <c r="K27" s="14">
        <f t="shared" si="3"/>
        <v>0.77424311837454496</v>
      </c>
      <c r="L27" s="14">
        <f t="shared" si="3"/>
        <v>0.2094</v>
      </c>
      <c r="M27" s="55">
        <f>G27*(1+(1-L27)*(H27/J27))</f>
        <v>0.69999999999999984</v>
      </c>
    </row>
    <row r="28" spans="2:13" x14ac:dyDescent="0.2">
      <c r="B28" t="s">
        <v>132</v>
      </c>
      <c r="F28" t="s">
        <v>1</v>
      </c>
      <c r="G28" s="75">
        <f>M22</f>
        <v>0.5688622891768601</v>
      </c>
      <c r="H28" s="34">
        <f>SUM(H27,J27)*I28</f>
        <v>77041.292274283624</v>
      </c>
      <c r="I28" s="14">
        <f>I20</f>
        <v>0.40332541567695962</v>
      </c>
      <c r="J28" s="2">
        <f>SUM(J27,H27)*K28</f>
        <v>113973.9259087164</v>
      </c>
      <c r="K28" s="14">
        <f>K20</f>
        <v>0.59667458432304032</v>
      </c>
      <c r="L28" s="14">
        <f>L22</f>
        <v>0.2094</v>
      </c>
      <c r="M28" s="55">
        <f>G28*(1+(1-L28)*(H28/J28))</f>
        <v>0.87286818441883351</v>
      </c>
    </row>
    <row r="30" spans="2:13" x14ac:dyDescent="0.2">
      <c r="B30" s="26" t="s">
        <v>133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79">
        <f>E6+G20*E7</f>
        <v>6.6595000000000001E-2</v>
      </c>
    </row>
    <row r="31" spans="2:13" x14ac:dyDescent="0.2">
      <c r="B31" s="28" t="s">
        <v>134</v>
      </c>
      <c r="M31" s="63">
        <f>E6+M28*E7</f>
        <v>7.7888370575475763E-2</v>
      </c>
    </row>
    <row r="32" spans="2:13" x14ac:dyDescent="0.2">
      <c r="B32" s="31" t="s">
        <v>135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33">
        <f>E6+G22*E7</f>
        <v>6.9849999999999995E-2</v>
      </c>
    </row>
    <row r="35" spans="2:13" x14ac:dyDescent="0.2">
      <c r="B35" s="26" t="s">
        <v>136</v>
      </c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79">
        <f>M30*K27+I27*E8</f>
        <v>5.8175397099778654E-2</v>
      </c>
    </row>
    <row r="36" spans="2:13" x14ac:dyDescent="0.2">
      <c r="B36" s="28" t="s">
        <v>137</v>
      </c>
      <c r="M36" s="63">
        <f>M31*K28+I28*E8</f>
        <v>5.8291445816055845E-2</v>
      </c>
    </row>
    <row r="37" spans="2:13" x14ac:dyDescent="0.2">
      <c r="B37" s="31" t="s">
        <v>138</v>
      </c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33">
        <f>M32*K27+I27*E8</f>
        <v>6.0695558450087797E-2</v>
      </c>
    </row>
    <row r="39" spans="2:13" x14ac:dyDescent="0.2">
      <c r="B39" s="82" t="s">
        <v>139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1">
        <f>AVERAGE(M35:M37)</f>
        <v>5.9054133788640772E-2</v>
      </c>
    </row>
  </sheetData>
  <pageMargins left="0.7" right="0.7" top="0.75" bottom="0.75" header="0.3" footer="0.3"/>
  <ignoredErrors>
    <ignoredError sqref="J2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F2EA729E40B64C9E3BDE9867A86F8E" ma:contentTypeVersion="8" ma:contentTypeDescription="Create a new document." ma:contentTypeScope="" ma:versionID="1ce72829a67417a6037511a09d451c62">
  <xsd:schema xmlns:xsd="http://www.w3.org/2001/XMLSchema" xmlns:xs="http://www.w3.org/2001/XMLSchema" xmlns:p="http://schemas.microsoft.com/office/2006/metadata/properties" xmlns:ns3="8c43cc51-5868-4a98-ab1b-1dfe0ccc5bca" xmlns:ns4="f3f9a561-298b-4309-aa23-401c63cea76b" targetNamespace="http://schemas.microsoft.com/office/2006/metadata/properties" ma:root="true" ma:fieldsID="fd5fe56108e95763f7a61f577992653a" ns3:_="" ns4:_="">
    <xsd:import namespace="8c43cc51-5868-4a98-ab1b-1dfe0ccc5bca"/>
    <xsd:import namespace="f3f9a561-298b-4309-aa23-401c63cea7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3cc51-5868-4a98-ab1b-1dfe0ccc5b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a561-298b-4309-aa23-401c63cea7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c43cc51-5868-4a98-ab1b-1dfe0ccc5bc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C4DB73-E576-4EAC-BB01-E4182CAF6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43cc51-5868-4a98-ab1b-1dfe0ccc5bca"/>
    <ds:schemaRef ds:uri="f3f9a561-298b-4309-aa23-401c63cea7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CE67A9-DDA5-483E-8086-0DD8DC4E1CFF}">
  <ds:schemaRefs>
    <ds:schemaRef ds:uri="http://schemas.microsoft.com/office/2006/documentManagement/types"/>
    <ds:schemaRef ds:uri="http://schemas.microsoft.com/office/infopath/2007/PartnerControls"/>
    <ds:schemaRef ds:uri="8c43cc51-5868-4a98-ab1b-1dfe0ccc5bca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f3f9a561-298b-4309-aa23-401c63cea76b"/>
  </ds:schemaRefs>
</ds:datastoreItem>
</file>

<file path=customXml/itemProps3.xml><?xml version="1.0" encoding="utf-8"?>
<ds:datastoreItem xmlns:ds="http://schemas.openxmlformats.org/officeDocument/2006/customXml" ds:itemID="{5E2C925F-88D1-45A5-BF07-CD6842DD37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Unit Economics Model </vt:lpstr>
      <vt:lpstr>3 Statement Model</vt:lpstr>
      <vt:lpstr>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Umbright</dc:creator>
  <cp:lastModifiedBy>Connor Umbright</cp:lastModifiedBy>
  <dcterms:created xsi:type="dcterms:W3CDTF">2023-06-08T20:33:22Z</dcterms:created>
  <dcterms:modified xsi:type="dcterms:W3CDTF">2023-06-25T17:21:35Z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0x01010098F2EA729E40B64C9E3BDE9867A86F8E</vt:lpwstr>
  </property>
</Properties>
</file>