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Umbright\Downloads\"/>
    </mc:Choice>
  </mc:AlternateContent>
  <xr:revisionPtr revIDLastSave="0" documentId="8_{7B52CC16-1505-435D-96D4-3D1B99588CAE}" xr6:coauthVersionLast="47" xr6:coauthVersionMax="47" xr10:uidLastSave="{00000000-0000-0000-0000-000000000000}"/>
  <bookViews>
    <workbookView xWindow="-120" yWindow="-120" windowWidth="29040" windowHeight="15720" xr2:uid="{82585C69-1153-41AB-ADFC-8CE94EE28D49}"/>
  </bookViews>
  <sheets>
    <sheet name="dcf" sheetId="1" r:id="rId1"/>
    <sheet name="is" sheetId="2" r:id="rId2"/>
  </sheets>
  <definedNames>
    <definedName name="tax">dcf!$E$10</definedName>
    <definedName name="tgr">dcf!$E$13</definedName>
    <definedName name="wacc">dcf!$E$11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1" l="1"/>
  <c r="O72" i="1" s="1"/>
  <c r="P72" i="1" s="1"/>
  <c r="Q72" i="1" s="1"/>
  <c r="R72" i="1" s="1"/>
  <c r="S72" i="1" s="1"/>
  <c r="T72" i="1" s="1"/>
  <c r="U72" i="1" s="1"/>
  <c r="M72" i="1"/>
  <c r="M50" i="1"/>
  <c r="N50" i="1" s="1"/>
  <c r="O50" i="1" s="1"/>
  <c r="P50" i="1" s="1"/>
  <c r="Q50" i="1" s="1"/>
  <c r="R50" i="1" s="1"/>
  <c r="S50" i="1" s="1"/>
  <c r="T50" i="1" s="1"/>
  <c r="U50" i="1" s="1"/>
  <c r="N49" i="1"/>
  <c r="O49" i="1" s="1"/>
  <c r="P49" i="1" s="1"/>
  <c r="Q49" i="1" s="1"/>
  <c r="R49" i="1" s="1"/>
  <c r="S49" i="1" s="1"/>
  <c r="T49" i="1" s="1"/>
  <c r="U49" i="1" s="1"/>
  <c r="M49" i="1"/>
  <c r="O48" i="1"/>
  <c r="P48" i="1" s="1"/>
  <c r="Q48" i="1" s="1"/>
  <c r="R48" i="1" s="1"/>
  <c r="S48" i="1" s="1"/>
  <c r="T48" i="1" s="1"/>
  <c r="U48" i="1" s="1"/>
  <c r="N48" i="1"/>
  <c r="M48" i="1"/>
  <c r="N47" i="1"/>
  <c r="O47" i="1" s="1"/>
  <c r="P47" i="1" s="1"/>
  <c r="Q47" i="1" s="1"/>
  <c r="R47" i="1" s="1"/>
  <c r="S47" i="1" s="1"/>
  <c r="T47" i="1" s="1"/>
  <c r="U47" i="1" s="1"/>
  <c r="M47" i="1"/>
  <c r="U106" i="1"/>
  <c r="U105" i="1"/>
  <c r="I35" i="2"/>
  <c r="O46" i="2"/>
  <c r="M46" i="2"/>
  <c r="L46" i="2"/>
  <c r="K46" i="2"/>
  <c r="G131" i="2"/>
  <c r="F131" i="2"/>
  <c r="E131" i="2"/>
  <c r="G130" i="2"/>
  <c r="F130" i="2"/>
  <c r="E130" i="2"/>
  <c r="D130" i="2"/>
  <c r="K84" i="1"/>
  <c r="J84" i="1"/>
  <c r="I84" i="1"/>
  <c r="K83" i="1"/>
  <c r="J83" i="1"/>
  <c r="I83" i="1"/>
  <c r="N75" i="1"/>
  <c r="M75" i="1"/>
  <c r="L75" i="1"/>
  <c r="K75" i="1"/>
  <c r="J75" i="1"/>
  <c r="I75" i="1"/>
  <c r="K74" i="1"/>
  <c r="J74" i="1"/>
  <c r="I74" i="1"/>
  <c r="C27" i="2"/>
  <c r="I53" i="2"/>
  <c r="K72" i="1"/>
  <c r="J72" i="1"/>
  <c r="I72" i="1"/>
  <c r="K70" i="1"/>
  <c r="J70" i="1"/>
  <c r="I70" i="1"/>
  <c r="L67" i="1"/>
  <c r="M67" i="1" s="1"/>
  <c r="N67" i="1" s="1"/>
  <c r="O67" i="1" s="1"/>
  <c r="P67" i="1" s="1"/>
  <c r="Q67" i="1" s="1"/>
  <c r="R67" i="1" s="1"/>
  <c r="S67" i="1" s="1"/>
  <c r="T67" i="1" s="1"/>
  <c r="U67" i="1" s="1"/>
  <c r="M58" i="1"/>
  <c r="N58" i="1" s="1"/>
  <c r="O58" i="1" s="1"/>
  <c r="P58" i="1" s="1"/>
  <c r="Q58" i="1" s="1"/>
  <c r="R58" i="1" s="1"/>
  <c r="S58" i="1" s="1"/>
  <c r="T58" i="1" s="1"/>
  <c r="U58" i="1" s="1"/>
  <c r="L58" i="1"/>
  <c r="L42" i="1"/>
  <c r="M42" i="1" s="1"/>
  <c r="L41" i="1"/>
  <c r="M41" i="1" s="1"/>
  <c r="N41" i="1" s="1"/>
  <c r="L40" i="1"/>
  <c r="M40" i="1" s="1"/>
  <c r="N40" i="1" s="1"/>
  <c r="O40" i="1" s="1"/>
  <c r="L39" i="1"/>
  <c r="L43" i="1" s="1"/>
  <c r="L36" i="1" s="1"/>
  <c r="L29" i="1" s="1"/>
  <c r="K66" i="1"/>
  <c r="J66" i="1"/>
  <c r="I66" i="1"/>
  <c r="K65" i="1"/>
  <c r="J65" i="1"/>
  <c r="I65" i="1"/>
  <c r="K64" i="1"/>
  <c r="J64" i="1"/>
  <c r="I64" i="1"/>
  <c r="K63" i="1"/>
  <c r="J63" i="1"/>
  <c r="I63" i="1"/>
  <c r="K57" i="1"/>
  <c r="J57" i="1"/>
  <c r="I57" i="1"/>
  <c r="K56" i="1"/>
  <c r="J56" i="1"/>
  <c r="I56" i="1"/>
  <c r="K55" i="1"/>
  <c r="J55" i="1"/>
  <c r="I55" i="1"/>
  <c r="K54" i="1"/>
  <c r="J54" i="1"/>
  <c r="I54" i="1"/>
  <c r="K50" i="1"/>
  <c r="J50" i="1"/>
  <c r="K49" i="1"/>
  <c r="J49" i="1"/>
  <c r="K48" i="1"/>
  <c r="J48" i="1"/>
  <c r="K47" i="1"/>
  <c r="J47" i="1"/>
  <c r="P40" i="1" l="1"/>
  <c r="Q40" i="1" s="1"/>
  <c r="R40" i="1" s="1"/>
  <c r="S40" i="1" s="1"/>
  <c r="T40" i="1" s="1"/>
  <c r="U40" i="1" s="1"/>
  <c r="O41" i="1"/>
  <c r="P41" i="1" s="1"/>
  <c r="Q41" i="1" s="1"/>
  <c r="R41" i="1" s="1"/>
  <c r="S41" i="1" s="1"/>
  <c r="T41" i="1" s="1"/>
  <c r="U41" i="1" s="1"/>
  <c r="N42" i="1"/>
  <c r="O42" i="1" s="1"/>
  <c r="P42" i="1" s="1"/>
  <c r="Q42" i="1" s="1"/>
  <c r="R42" i="1" s="1"/>
  <c r="S42" i="1" s="1"/>
  <c r="T42" i="1" s="1"/>
  <c r="U42" i="1" s="1"/>
  <c r="L83" i="1"/>
  <c r="L74" i="1"/>
  <c r="L93" i="1" s="1"/>
  <c r="L70" i="1"/>
  <c r="L77" i="1" s="1"/>
  <c r="L79" i="1" s="1"/>
  <c r="L96" i="1" s="1"/>
  <c r="L100" i="1" s="1"/>
  <c r="O75" i="1"/>
  <c r="P75" i="1"/>
  <c r="L65" i="1"/>
  <c r="M65" i="1" s="1"/>
  <c r="N65" i="1" s="1"/>
  <c r="O65" i="1" s="1"/>
  <c r="P65" i="1" s="1"/>
  <c r="Q65" i="1" s="1"/>
  <c r="R65" i="1" s="1"/>
  <c r="S65" i="1" s="1"/>
  <c r="T65" i="1" s="1"/>
  <c r="U65" i="1" s="1"/>
  <c r="L63" i="1"/>
  <c r="M63" i="1" s="1"/>
  <c r="N63" i="1" s="1"/>
  <c r="O63" i="1" s="1"/>
  <c r="P63" i="1" s="1"/>
  <c r="Q63" i="1" s="1"/>
  <c r="R63" i="1" s="1"/>
  <c r="S63" i="1" s="1"/>
  <c r="T63" i="1" s="1"/>
  <c r="U63" i="1" s="1"/>
  <c r="L64" i="1"/>
  <c r="M64" i="1" s="1"/>
  <c r="N64" i="1" s="1"/>
  <c r="O64" i="1" s="1"/>
  <c r="P64" i="1" s="1"/>
  <c r="Q64" i="1" s="1"/>
  <c r="R64" i="1" s="1"/>
  <c r="S64" i="1" s="1"/>
  <c r="T64" i="1" s="1"/>
  <c r="U64" i="1" s="1"/>
  <c r="L66" i="1"/>
  <c r="M66" i="1" s="1"/>
  <c r="N66" i="1" s="1"/>
  <c r="O66" i="1" s="1"/>
  <c r="P66" i="1" s="1"/>
  <c r="Q66" i="1" s="1"/>
  <c r="R66" i="1" s="1"/>
  <c r="S66" i="1" s="1"/>
  <c r="T66" i="1" s="1"/>
  <c r="U66" i="1" s="1"/>
  <c r="M39" i="1"/>
  <c r="N39" i="1" s="1"/>
  <c r="O39" i="1" s="1"/>
  <c r="P39" i="1" s="1"/>
  <c r="Q39" i="1" s="1"/>
  <c r="R39" i="1" s="1"/>
  <c r="S39" i="1" s="1"/>
  <c r="T39" i="1" s="1"/>
  <c r="U39" i="1" s="1"/>
  <c r="U43" i="1" s="1"/>
  <c r="U36" i="1" s="1"/>
  <c r="U29" i="1" s="1"/>
  <c r="U74" i="1" l="1"/>
  <c r="U93" i="1" s="1"/>
  <c r="U83" i="1"/>
  <c r="Q75" i="1"/>
  <c r="R75" i="1" s="1"/>
  <c r="O43" i="1"/>
  <c r="O36" i="1" s="1"/>
  <c r="O29" i="1" s="1"/>
  <c r="Q43" i="1"/>
  <c r="Q36" i="1" s="1"/>
  <c r="Q29" i="1" s="1"/>
  <c r="M43" i="1"/>
  <c r="S43" i="1"/>
  <c r="N43" i="1"/>
  <c r="N36" i="1" s="1"/>
  <c r="N29" i="1" s="1"/>
  <c r="T43" i="1"/>
  <c r="T36" i="1" s="1"/>
  <c r="T29" i="1" s="1"/>
  <c r="R43" i="1"/>
  <c r="P43" i="1"/>
  <c r="U51" i="1"/>
  <c r="O51" i="1" l="1"/>
  <c r="T83" i="1"/>
  <c r="T74" i="1"/>
  <c r="T93" i="1" s="1"/>
  <c r="Q74" i="1"/>
  <c r="Q93" i="1" s="1"/>
  <c r="Q83" i="1"/>
  <c r="M51" i="1"/>
  <c r="M36" i="1"/>
  <c r="M29" i="1" s="1"/>
  <c r="N74" i="1"/>
  <c r="N93" i="1" s="1"/>
  <c r="N83" i="1"/>
  <c r="O83" i="1"/>
  <c r="O74" i="1"/>
  <c r="O93" i="1" s="1"/>
  <c r="R51" i="1"/>
  <c r="R36" i="1"/>
  <c r="R29" i="1" s="1"/>
  <c r="P51" i="1"/>
  <c r="P36" i="1"/>
  <c r="P29" i="1" s="1"/>
  <c r="S51" i="1"/>
  <c r="S36" i="1"/>
  <c r="S29" i="1" s="1"/>
  <c r="N70" i="1"/>
  <c r="S75" i="1"/>
  <c r="O70" i="1"/>
  <c r="O77" i="1" s="1"/>
  <c r="O79" i="1" s="1"/>
  <c r="O96" i="1" s="1"/>
  <c r="Q51" i="1"/>
  <c r="N51" i="1"/>
  <c r="T51" i="1"/>
  <c r="S83" i="1" l="1"/>
  <c r="S74" i="1"/>
  <c r="S93" i="1" s="1"/>
  <c r="O100" i="1"/>
  <c r="P83" i="1"/>
  <c r="P74" i="1"/>
  <c r="P93" i="1" s="1"/>
  <c r="M74" i="1"/>
  <c r="M93" i="1" s="1"/>
  <c r="M83" i="1"/>
  <c r="M70" i="1"/>
  <c r="M77" i="1" s="1"/>
  <c r="M79" i="1" s="1"/>
  <c r="R74" i="1"/>
  <c r="R93" i="1" s="1"/>
  <c r="R83" i="1"/>
  <c r="N77" i="1"/>
  <c r="N79" i="1" s="1"/>
  <c r="N96" i="1" s="1"/>
  <c r="O97" i="1" s="1"/>
  <c r="T75" i="1"/>
  <c r="U75" i="1" s="1"/>
  <c r="P70" i="1"/>
  <c r="P77" i="1" s="1"/>
  <c r="P79" i="1" s="1"/>
  <c r="P96" i="1" l="1"/>
  <c r="P97" i="1" s="1"/>
  <c r="P100" i="1"/>
  <c r="N100" i="1"/>
  <c r="M96" i="1"/>
  <c r="N97" i="1" s="1"/>
  <c r="Q70" i="1"/>
  <c r="Q77" i="1" s="1"/>
  <c r="Q79" i="1" s="1"/>
  <c r="Q96" i="1" s="1"/>
  <c r="Q97" i="1" l="1"/>
  <c r="Q100" i="1"/>
  <c r="M97" i="1"/>
  <c r="M100" i="1"/>
  <c r="R70" i="1"/>
  <c r="R77" i="1" l="1"/>
  <c r="R79" i="1" s="1"/>
  <c r="R96" i="1" s="1"/>
  <c r="S70" i="1"/>
  <c r="S77" i="1" s="1"/>
  <c r="S79" i="1" s="1"/>
  <c r="S96" i="1" s="1"/>
  <c r="R100" i="1" l="1"/>
  <c r="R97" i="1"/>
  <c r="S100" i="1"/>
  <c r="S97" i="1"/>
  <c r="U70" i="1"/>
  <c r="U77" i="1" s="1"/>
  <c r="U79" i="1" s="1"/>
  <c r="U96" i="1" s="1"/>
  <c r="T70" i="1"/>
  <c r="T77" i="1" s="1"/>
  <c r="T79" i="1" s="1"/>
  <c r="T96" i="1" s="1"/>
  <c r="T97" i="1" l="1"/>
  <c r="T100" i="1"/>
  <c r="U97" i="1"/>
  <c r="U100" i="1"/>
  <c r="U102" i="1" s="1"/>
  <c r="U101" i="1" l="1"/>
  <c r="U103" i="1" s="1"/>
  <c r="U108" i="1" s="1"/>
  <c r="O4" i="1" s="1"/>
  <c r="K29" i="1" l="1"/>
  <c r="J29" i="1"/>
  <c r="I29" i="1"/>
  <c r="I36" i="1"/>
  <c r="I43" i="1"/>
  <c r="I58" i="1" s="1"/>
  <c r="J36" i="1"/>
  <c r="K36" i="1"/>
  <c r="J43" i="1"/>
  <c r="K43" i="1"/>
  <c r="G24" i="2"/>
  <c r="F24" i="2"/>
  <c r="E24" i="2"/>
  <c r="D24" i="2"/>
  <c r="C24" i="2"/>
  <c r="G126" i="2"/>
  <c r="F126" i="2"/>
  <c r="E126" i="2"/>
  <c r="D126" i="2"/>
  <c r="G125" i="2"/>
  <c r="F125" i="2"/>
  <c r="E125" i="2"/>
  <c r="D125" i="2"/>
  <c r="K58" i="1" l="1"/>
  <c r="K51" i="1"/>
  <c r="L51" i="1"/>
  <c r="J58" i="1"/>
  <c r="J51" i="1"/>
  <c r="J67" i="1"/>
  <c r="K67" i="1"/>
  <c r="I67" i="1"/>
  <c r="D121" i="2" l="1"/>
  <c r="G121" i="2"/>
  <c r="F121" i="2"/>
  <c r="E121" i="2"/>
  <c r="F109" i="2"/>
  <c r="F115" i="2" s="1"/>
  <c r="E109" i="2"/>
  <c r="E115" i="2" s="1"/>
  <c r="D109" i="2"/>
  <c r="D115" i="2" s="1"/>
  <c r="D122" i="2" s="1"/>
  <c r="G109" i="2"/>
  <c r="G115" i="2" s="1"/>
  <c r="G122" i="2" s="1"/>
  <c r="D90" i="2"/>
  <c r="E90" i="2"/>
  <c r="E95" i="2" s="1"/>
  <c r="C122" i="2"/>
  <c r="F95" i="2"/>
  <c r="D95" i="2"/>
  <c r="C95" i="2"/>
  <c r="G95" i="2"/>
  <c r="F87" i="2"/>
  <c r="E87" i="2" s="1"/>
  <c r="D87" i="2" s="1"/>
  <c r="C87" i="2" s="1"/>
  <c r="D75" i="2"/>
  <c r="C75" i="2"/>
  <c r="F75" i="2"/>
  <c r="E75" i="2"/>
  <c r="G75" i="2"/>
  <c r="F60" i="2"/>
  <c r="E60" i="2"/>
  <c r="D60" i="2"/>
  <c r="C60" i="2"/>
  <c r="F50" i="2"/>
  <c r="F81" i="2" s="1"/>
  <c r="F83" i="2" s="1"/>
  <c r="E50" i="2"/>
  <c r="E81" i="2" s="1"/>
  <c r="D50" i="2"/>
  <c r="D81" i="2" s="1"/>
  <c r="C50" i="2"/>
  <c r="C81" i="2" s="1"/>
  <c r="C83" i="2" s="1"/>
  <c r="F30" i="2"/>
  <c r="E30" i="2" s="1"/>
  <c r="D30" i="2" s="1"/>
  <c r="C30" i="2" s="1"/>
  <c r="G60" i="2"/>
  <c r="G50" i="2"/>
  <c r="G81" i="2" s="1"/>
  <c r="G23" i="2"/>
  <c r="F23" i="2"/>
  <c r="E23" i="2"/>
  <c r="D23" i="2"/>
  <c r="C23" i="2"/>
  <c r="G22" i="2"/>
  <c r="F22" i="2"/>
  <c r="E22" i="2"/>
  <c r="D22" i="2"/>
  <c r="D13" i="2"/>
  <c r="D14" i="2" s="1"/>
  <c r="D18" i="2" s="1"/>
  <c r="D20" i="2" s="1"/>
  <c r="D26" i="2" s="1"/>
  <c r="F13" i="2"/>
  <c r="F14" i="2" s="1"/>
  <c r="F18" i="2" s="1"/>
  <c r="F20" i="2" s="1"/>
  <c r="F26" i="2" s="1"/>
  <c r="E13" i="2"/>
  <c r="E14" i="2" s="1"/>
  <c r="E18" i="2" s="1"/>
  <c r="E20" i="2" s="1"/>
  <c r="E26" i="2" s="1"/>
  <c r="C13" i="2"/>
  <c r="C14" i="2" s="1"/>
  <c r="C18" i="2" s="1"/>
  <c r="C20" i="2" s="1"/>
  <c r="C26" i="2" s="1"/>
  <c r="G13" i="2"/>
  <c r="G14" i="2" s="1"/>
  <c r="G18" i="2" s="1"/>
  <c r="G20" i="2" s="1"/>
  <c r="G26" i="2" s="1"/>
  <c r="F3" i="2"/>
  <c r="E3" i="2" s="1"/>
  <c r="D3" i="2" s="1"/>
  <c r="C3" i="2" s="1"/>
  <c r="J22" i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F101" i="2" l="1"/>
  <c r="F127" i="2" s="1"/>
  <c r="F128" i="2"/>
  <c r="G101" i="2"/>
  <c r="G127" i="2" s="1"/>
  <c r="G128" i="2"/>
  <c r="E101" i="2"/>
  <c r="E127" i="2" s="1"/>
  <c r="E128" i="2"/>
  <c r="D101" i="2"/>
  <c r="D127" i="2" s="1"/>
  <c r="D128" i="2"/>
  <c r="F122" i="2"/>
  <c r="E122" i="2"/>
  <c r="F78" i="2"/>
  <c r="C78" i="2"/>
  <c r="G83" i="2"/>
  <c r="G82" i="2"/>
  <c r="D83" i="2"/>
  <c r="D82" i="2"/>
  <c r="E82" i="2"/>
  <c r="E83" i="2"/>
  <c r="G78" i="2"/>
  <c r="F82" i="2"/>
  <c r="D78" i="2"/>
  <c r="E78" i="2"/>
  <c r="D25" i="2"/>
  <c r="E25" i="2"/>
  <c r="F25" i="2"/>
  <c r="C25" i="2"/>
  <c r="G25" i="2"/>
  <c r="C101" i="2" l="1"/>
</calcChain>
</file>

<file path=xl/sharedStrings.xml><?xml version="1.0" encoding="utf-8"?>
<sst xmlns="http://schemas.openxmlformats.org/spreadsheetml/2006/main" count="216" uniqueCount="168">
  <si>
    <t xml:space="preserve">Airbnb Inc. - Cash Flow Model and DCF Analysis </t>
  </si>
  <si>
    <t>Company Name</t>
  </si>
  <si>
    <t>Ticker</t>
  </si>
  <si>
    <t>Current Price</t>
  </si>
  <si>
    <t>Shares Out</t>
  </si>
  <si>
    <t xml:space="preserve">Diluted Shares Out </t>
  </si>
  <si>
    <t>Tax Rate</t>
  </si>
  <si>
    <t>Discount Rate</t>
  </si>
  <si>
    <t xml:space="preserve">Last Fiscal Year </t>
  </si>
  <si>
    <t>Current Equity Value</t>
  </si>
  <si>
    <t>Current Enterprise Value:</t>
  </si>
  <si>
    <t>(+) Other Funding Sources:</t>
  </si>
  <si>
    <t xml:space="preserve">(+) Total Debt </t>
  </si>
  <si>
    <t>(-) Other Non-Core Business Assets:</t>
  </si>
  <si>
    <t>(-) Cash and Equivilents</t>
  </si>
  <si>
    <t>Airbnb Inc.</t>
  </si>
  <si>
    <t>ABNB</t>
  </si>
  <si>
    <t xml:space="preserve">Revenue Breakdown </t>
  </si>
  <si>
    <t>North America</t>
  </si>
  <si>
    <t>EMEA</t>
  </si>
  <si>
    <t>Latin America</t>
  </si>
  <si>
    <t>Asia Pacific</t>
  </si>
  <si>
    <t xml:space="preserve">Total </t>
  </si>
  <si>
    <t>Gross Booking Value</t>
  </si>
  <si>
    <t xml:space="preserve">Nights and Experiences Booked </t>
  </si>
  <si>
    <t xml:space="preserve">Revenue by Segment for Continuing Operations: </t>
  </si>
  <si>
    <t>Units</t>
  </si>
  <si>
    <t xml:space="preserve">Historical </t>
  </si>
  <si>
    <t>Projected</t>
  </si>
  <si>
    <t>Revenue</t>
  </si>
  <si>
    <t>Exp</t>
  </si>
  <si>
    <t>Cogs</t>
  </si>
  <si>
    <t>ops and support</t>
  </si>
  <si>
    <t>Product dev</t>
  </si>
  <si>
    <t>sales and marketing</t>
  </si>
  <si>
    <t>G&amp;A</t>
  </si>
  <si>
    <t>Restructuring</t>
  </si>
  <si>
    <t>Income loss from ops</t>
  </si>
  <si>
    <t>Interest income</t>
  </si>
  <si>
    <t>Interest  Expense</t>
  </si>
  <si>
    <t>Other income(expense)</t>
  </si>
  <si>
    <t>EBT</t>
  </si>
  <si>
    <t xml:space="preserve">NI </t>
  </si>
  <si>
    <t>Tax(expense)</t>
  </si>
  <si>
    <t xml:space="preserve">% Rev Growth </t>
  </si>
  <si>
    <t xml:space="preserve">Gross Margin % </t>
  </si>
  <si>
    <t>Total Costs</t>
  </si>
  <si>
    <t>EBIT Margin</t>
  </si>
  <si>
    <t xml:space="preserve">Profit Margin % </t>
  </si>
  <si>
    <t xml:space="preserve">Income Statement </t>
  </si>
  <si>
    <t xml:space="preserve">Cash Flow Statement </t>
  </si>
  <si>
    <t>Net Income (loss)</t>
  </si>
  <si>
    <t>D&amp;A</t>
  </si>
  <si>
    <t>BDE</t>
  </si>
  <si>
    <t>Stock based Comp</t>
  </si>
  <si>
    <t>Deferred Tax</t>
  </si>
  <si>
    <t>Impairment of Inv</t>
  </si>
  <si>
    <t>(Gain) loss on invets</t>
  </si>
  <si>
    <t>Change fair value of warranty</t>
  </si>
  <si>
    <t>FX (gain) loss</t>
  </si>
  <si>
    <t>Impairment of LLA</t>
  </si>
  <si>
    <t>Loss debt exting</t>
  </si>
  <si>
    <t>other</t>
  </si>
  <si>
    <t>Prepaids and other assets</t>
  </si>
  <si>
    <t>op lease assets</t>
  </si>
  <si>
    <t xml:space="preserve">ap </t>
  </si>
  <si>
    <t>accrued expenses and other liab</t>
  </si>
  <si>
    <t>operating lease liab</t>
  </si>
  <si>
    <t>unearned fees</t>
  </si>
  <si>
    <t>Net Cash Op Activities:</t>
  </si>
  <si>
    <t>Cash flows from investing activities:</t>
  </si>
  <si>
    <t>Purchases of property and equipment</t>
  </si>
  <si>
    <t>Purchases of marketable securities</t>
  </si>
  <si>
    <t>Sales of marketable securities</t>
  </si>
  <si>
    <t>Maturities of marketable securities</t>
  </si>
  <si>
    <t>Other investing activities, net</t>
  </si>
  <si>
    <t>Net cash provided by (used in) investing activities</t>
  </si>
  <si>
    <t>-</t>
  </si>
  <si>
    <t>Payments for equity inv in private comp.</t>
  </si>
  <si>
    <t>Acquitision</t>
  </si>
  <si>
    <t>Cash flows from financing activities:</t>
  </si>
  <si>
    <t>Taxes paid related to net share settlement of equity awards</t>
  </si>
  <si>
    <t>Proceeds from exercise of stock options</t>
  </si>
  <si>
    <t>Proceeds from the issuance of common stock under employee stock purchase plan</t>
  </si>
  <si>
    <t>Repurchases of common stock</t>
  </si>
  <si>
    <t>Principal repayment of long-term debt</t>
  </si>
  <si>
    <t>Prepayment penalty on long-term debt</t>
  </si>
  <si>
    <t>Proceeds from issuance of long-term debt and warrants, net of issuance costs</t>
  </si>
  <si>
    <t>Proceeds from issuance of convertible senior notes, net of issuance costs</t>
  </si>
  <si>
    <t>Purchases of capped calls related to convertible senior notes</t>
  </si>
  <si>
    <t>Change in funds payable and amounts payable to customers</t>
  </si>
  <si>
    <t>Other financing activities, net</t>
  </si>
  <si>
    <t>Net cash provided by (used in) financing activities</t>
  </si>
  <si>
    <t>Net increase in cash, cash equivalents, and restricted cash</t>
  </si>
  <si>
    <t xml:space="preserve">IPO </t>
  </si>
  <si>
    <t>FX Effects</t>
  </si>
  <si>
    <t xml:space="preserve">Balance Sheet </t>
  </si>
  <si>
    <t>FCF</t>
  </si>
  <si>
    <t>FCF Growth %</t>
  </si>
  <si>
    <t>FCF % of Revenue</t>
  </si>
  <si>
    <t>Assets</t>
  </si>
  <si>
    <t>Current Assets</t>
  </si>
  <si>
    <t>Cash and Equiv.</t>
  </si>
  <si>
    <t>Marketable Securities</t>
  </si>
  <si>
    <t>AR</t>
  </si>
  <si>
    <t>Prepaids</t>
  </si>
  <si>
    <t>Funds recveiveable and amount he;d on behalf of customers</t>
  </si>
  <si>
    <t>PP&amp;E</t>
  </si>
  <si>
    <t>Intangible</t>
  </si>
  <si>
    <t xml:space="preserve">Goodwill </t>
  </si>
  <si>
    <t>Other</t>
  </si>
  <si>
    <t>Total Assets</t>
  </si>
  <si>
    <t xml:space="preserve">Liabilitites and Stockholders equity </t>
  </si>
  <si>
    <t>Current Liabilities</t>
  </si>
  <si>
    <t>AP</t>
  </si>
  <si>
    <t>Op lease liab</t>
  </si>
  <si>
    <t>Accrued Expense and other</t>
  </si>
  <si>
    <t>funds payable to customers</t>
  </si>
  <si>
    <t>Unearned fees</t>
  </si>
  <si>
    <t>Total Current</t>
  </si>
  <si>
    <t>LTD</t>
  </si>
  <si>
    <t>Op leases</t>
  </si>
  <si>
    <t>Total</t>
  </si>
  <si>
    <t>Stockholders Equity</t>
  </si>
  <si>
    <t>Apic</t>
  </si>
  <si>
    <t>Accumulated other comprehensive loss</t>
  </si>
  <si>
    <t>accumulated deficit</t>
  </si>
  <si>
    <t>Total SE</t>
  </si>
  <si>
    <t>Total SE and L</t>
  </si>
  <si>
    <t>Operating lease</t>
  </si>
  <si>
    <t>Redeemable Preffered</t>
  </si>
  <si>
    <t xml:space="preserve">Current Ratio </t>
  </si>
  <si>
    <t xml:space="preserve">Days Sales Outstanding </t>
  </si>
  <si>
    <t>Days Payable Outstanding</t>
  </si>
  <si>
    <t>Debt/Total Assets</t>
  </si>
  <si>
    <t>EBITDA Margin</t>
  </si>
  <si>
    <t>MM Units</t>
  </si>
  <si>
    <t>Nights and Experiences Booked Growth Rate:</t>
  </si>
  <si>
    <t>%</t>
  </si>
  <si>
    <t>Gross Booking Value Per Night Booked</t>
  </si>
  <si>
    <t>$mm</t>
  </si>
  <si>
    <t>Percentage of Revenue Per GBV (take rate)</t>
  </si>
  <si>
    <t>YoY Growth in GBV Per Night Booked</t>
  </si>
  <si>
    <t>Operating Income (EBIT):</t>
  </si>
  <si>
    <t>EBIT Margin:</t>
  </si>
  <si>
    <t>CapEx</t>
  </si>
  <si>
    <t>Taxes</t>
  </si>
  <si>
    <t>NOPAT</t>
  </si>
  <si>
    <t>Non- Cash Adjustments</t>
  </si>
  <si>
    <t xml:space="preserve">Depreciation and Amortization </t>
  </si>
  <si>
    <t>% of Revenue</t>
  </si>
  <si>
    <t>Deferred Income Tax</t>
  </si>
  <si>
    <t>% Book Tax</t>
  </si>
  <si>
    <t>Change in NWC</t>
  </si>
  <si>
    <t>Capital Expenditures</t>
  </si>
  <si>
    <t>NWC</t>
  </si>
  <si>
    <t>UFCF</t>
  </si>
  <si>
    <t xml:space="preserve">% Growth </t>
  </si>
  <si>
    <t>Discount Period:</t>
  </si>
  <si>
    <t>PV of UFCF</t>
  </si>
  <si>
    <t>TGR</t>
  </si>
  <si>
    <t>Sum of PV</t>
  </si>
  <si>
    <t>Terminal Value</t>
  </si>
  <si>
    <t xml:space="preserve">Total Enterprise Value </t>
  </si>
  <si>
    <t>+Cash</t>
  </si>
  <si>
    <t>-Debt</t>
  </si>
  <si>
    <t>Equity Value</t>
  </si>
  <si>
    <t>Implied Price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</si>
</sst>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&quot;FY&quot;##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DE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41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4" xfId="0" applyBorder="1"/>
    <xf numFmtId="41" fontId="0" fillId="0" borderId="5" xfId="0" applyNumberFormat="1" applyBorder="1"/>
    <xf numFmtId="41" fontId="0" fillId="0" borderId="6" xfId="0" applyNumberFormat="1" applyBorder="1"/>
    <xf numFmtId="0" fontId="0" fillId="0" borderId="1" xfId="0" applyBorder="1"/>
    <xf numFmtId="41" fontId="0" fillId="0" borderId="0" xfId="0" applyNumberFormat="1" applyBorder="1"/>
    <xf numFmtId="41" fontId="0" fillId="0" borderId="7" xfId="0" applyNumberFormat="1" applyBorder="1"/>
    <xf numFmtId="9" fontId="0" fillId="0" borderId="0" xfId="0" applyNumberFormat="1" applyBorder="1"/>
    <xf numFmtId="9" fontId="0" fillId="0" borderId="7" xfId="0" applyNumberFormat="1" applyBorder="1"/>
    <xf numFmtId="41" fontId="0" fillId="0" borderId="2" xfId="0" applyNumberFormat="1" applyBorder="1"/>
    <xf numFmtId="2" fontId="0" fillId="0" borderId="2" xfId="0" applyNumberFormat="1" applyBorder="1"/>
    <xf numFmtId="2" fontId="0" fillId="0" borderId="8" xfId="0" applyNumberFormat="1" applyBorder="1"/>
    <xf numFmtId="9" fontId="0" fillId="0" borderId="2" xfId="0" applyNumberFormat="1" applyBorder="1"/>
    <xf numFmtId="9" fontId="0" fillId="0" borderId="8" xfId="0" applyNumberFormat="1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165" fontId="0" fillId="0" borderId="2" xfId="0" applyNumberFormat="1" applyBorder="1"/>
    <xf numFmtId="0" fontId="2" fillId="0" borderId="0" xfId="0" applyFont="1" applyAlignment="1">
      <alignment horizontal="center"/>
    </xf>
    <xf numFmtId="6" fontId="0" fillId="0" borderId="0" xfId="0" applyNumberFormat="1"/>
    <xf numFmtId="41" fontId="3" fillId="0" borderId="0" xfId="0" applyNumberFormat="1" applyFont="1"/>
    <xf numFmtId="41" fontId="3" fillId="0" borderId="0" xfId="0" applyNumberFormat="1" applyFont="1" applyFill="1"/>
    <xf numFmtId="0" fontId="0" fillId="0" borderId="0" xfId="0" applyBorder="1"/>
    <xf numFmtId="41" fontId="4" fillId="0" borderId="0" xfId="0" applyNumberFormat="1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 indent="2"/>
    </xf>
    <xf numFmtId="0" fontId="3" fillId="0" borderId="0" xfId="0" applyFont="1"/>
    <xf numFmtId="9" fontId="4" fillId="0" borderId="0" xfId="0" applyNumberFormat="1" applyFont="1"/>
    <xf numFmtId="0" fontId="0" fillId="0" borderId="1" xfId="0" applyFill="1" applyBorder="1"/>
    <xf numFmtId="10" fontId="0" fillId="0" borderId="0" xfId="0" applyNumberFormat="1"/>
    <xf numFmtId="0" fontId="0" fillId="0" borderId="0" xfId="0" quotePrefix="1"/>
    <xf numFmtId="41" fontId="1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DE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416719</xdr:colOff>
      <xdr:row>4</xdr:row>
      <xdr:rowOff>35719</xdr:rowOff>
    </xdr:from>
    <xdr:to>
      <xdr:col>26</xdr:col>
      <xdr:colOff>369094</xdr:colOff>
      <xdr:row>8</xdr:row>
      <xdr:rowOff>130969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2F749-D20A-859F-ED6A-F4EC024B4704}"/>
            </a:ext>
          </a:extLst>
        </xdr:cNvPr>
        <xdr:cNvSpPr txBox="1"/>
      </xdr:nvSpPr>
      <xdr:spPr>
        <a:xfrm>
          <a:off x="11001375" y="797719"/>
          <a:ext cx="4274344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</a:t>
          </a:r>
          <a:r>
            <a:rPr lang="en-US" sz="1100" baseline="0"/>
            <a:t> Note: Very simplified model at the moment. Needs revisions when time is allotted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AEF3-CEF9-481C-96CE-D5028836DA63}">
  <dimension ref="B2:AJ108"/>
  <sheetViews>
    <sheetView tabSelected="1" zoomScale="80" zoomScaleNormal="80" workbookViewId="0">
      <selection activeCell="AA19" sqref="AA19"/>
    </sheetView>
  </sheetViews>
  <sheetFormatPr defaultRowHeight="15" x14ac:dyDescent="0.25"/>
  <cols>
    <col min="1" max="1" width="2" customWidth="1"/>
    <col min="2" max="2" width="1.7109375" customWidth="1"/>
    <col min="8" max="8" width="10.28515625" bestFit="1" customWidth="1"/>
    <col min="12" max="16" width="8.5703125" bestFit="1" customWidth="1"/>
    <col min="17" max="21" width="9.5703125" bestFit="1" customWidth="1"/>
  </cols>
  <sheetData>
    <row r="2" spans="2:15" x14ac:dyDescent="0.25">
      <c r="B2" t="s">
        <v>0</v>
      </c>
    </row>
    <row r="4" spans="2:15" x14ac:dyDescent="0.25">
      <c r="C4" t="s">
        <v>1</v>
      </c>
      <c r="E4" t="s">
        <v>15</v>
      </c>
      <c r="K4" t="s">
        <v>167</v>
      </c>
      <c r="O4" s="43">
        <f>+U108/E8</f>
        <v>65.720268895378709</v>
      </c>
    </row>
    <row r="5" spans="2:15" x14ac:dyDescent="0.25">
      <c r="C5" t="s">
        <v>2</v>
      </c>
      <c r="E5" t="s">
        <v>16</v>
      </c>
    </row>
    <row r="6" spans="2:15" x14ac:dyDescent="0.25">
      <c r="C6" t="s">
        <v>3</v>
      </c>
      <c r="E6">
        <v>131.6</v>
      </c>
    </row>
    <row r="7" spans="2:15" x14ac:dyDescent="0.25">
      <c r="C7" t="s">
        <v>4</v>
      </c>
    </row>
    <row r="8" spans="2:15" x14ac:dyDescent="0.25">
      <c r="C8" t="s">
        <v>5</v>
      </c>
      <c r="E8">
        <v>681.5</v>
      </c>
    </row>
    <row r="10" spans="2:15" x14ac:dyDescent="0.25">
      <c r="C10" t="s">
        <v>6</v>
      </c>
      <c r="E10" s="10">
        <v>0.05</v>
      </c>
    </row>
    <row r="11" spans="2:15" x14ac:dyDescent="0.25">
      <c r="C11" t="s">
        <v>7</v>
      </c>
      <c r="E11" s="40">
        <v>0.11899999999999999</v>
      </c>
    </row>
    <row r="12" spans="2:15" x14ac:dyDescent="0.25">
      <c r="C12" t="s">
        <v>8</v>
      </c>
    </row>
    <row r="13" spans="2:15" x14ac:dyDescent="0.25">
      <c r="C13" t="s">
        <v>160</v>
      </c>
      <c r="E13" s="10">
        <v>0.02</v>
      </c>
      <c r="F13" s="10"/>
    </row>
    <row r="14" spans="2:15" x14ac:dyDescent="0.25">
      <c r="C14" t="s">
        <v>9</v>
      </c>
    </row>
    <row r="15" spans="2:15" x14ac:dyDescent="0.25">
      <c r="B15" s="1"/>
      <c r="C15" s="1" t="s">
        <v>14</v>
      </c>
    </row>
    <row r="16" spans="2:15" x14ac:dyDescent="0.25">
      <c r="B16" s="1"/>
      <c r="C16" s="1" t="s">
        <v>13</v>
      </c>
    </row>
    <row r="17" spans="2:30" x14ac:dyDescent="0.25">
      <c r="B17" s="1"/>
      <c r="C17" s="1" t="s">
        <v>12</v>
      </c>
    </row>
    <row r="18" spans="2:30" x14ac:dyDescent="0.25">
      <c r="B18" s="1"/>
      <c r="C18" s="1" t="s">
        <v>11</v>
      </c>
    </row>
    <row r="19" spans="2:30" x14ac:dyDescent="0.25">
      <c r="C19" t="s">
        <v>10</v>
      </c>
    </row>
    <row r="21" spans="2:30" x14ac:dyDescent="0.25">
      <c r="I21" s="5"/>
      <c r="J21" s="5" t="s">
        <v>27</v>
      </c>
      <c r="K21" s="5"/>
      <c r="L21" s="6"/>
      <c r="M21" s="5"/>
      <c r="N21" s="5"/>
      <c r="O21" s="5"/>
      <c r="P21" s="5"/>
      <c r="Q21" s="5" t="s">
        <v>28</v>
      </c>
      <c r="R21" s="5"/>
      <c r="S21" s="5"/>
      <c r="T21" s="5"/>
      <c r="U21" s="5"/>
      <c r="V21" s="33"/>
    </row>
    <row r="22" spans="2:30" x14ac:dyDescent="0.25">
      <c r="C22" t="s">
        <v>17</v>
      </c>
      <c r="H22" t="s">
        <v>26</v>
      </c>
      <c r="I22" s="3">
        <v>20</v>
      </c>
      <c r="J22" s="3">
        <f>+I22+1</f>
        <v>21</v>
      </c>
      <c r="K22" s="3">
        <f t="shared" ref="K22:U22" si="0">+J22+1</f>
        <v>22</v>
      </c>
      <c r="L22" s="4">
        <f t="shared" si="0"/>
        <v>23</v>
      </c>
      <c r="M22" s="3">
        <f t="shared" si="0"/>
        <v>24</v>
      </c>
      <c r="N22" s="3">
        <f t="shared" si="0"/>
        <v>25</v>
      </c>
      <c r="O22" s="3">
        <f t="shared" si="0"/>
        <v>26</v>
      </c>
      <c r="P22" s="3">
        <f t="shared" si="0"/>
        <v>27</v>
      </c>
      <c r="Q22" s="3">
        <f t="shared" si="0"/>
        <v>28</v>
      </c>
      <c r="R22" s="3">
        <f t="shared" si="0"/>
        <v>29</v>
      </c>
      <c r="S22" s="3">
        <f t="shared" si="0"/>
        <v>30</v>
      </c>
      <c r="T22" s="3">
        <f t="shared" si="0"/>
        <v>31</v>
      </c>
      <c r="U22" s="3">
        <f t="shared" si="0"/>
        <v>32</v>
      </c>
      <c r="V22" s="3"/>
    </row>
    <row r="24" spans="2:30" x14ac:dyDescent="0.25">
      <c r="C24" t="s">
        <v>25</v>
      </c>
    </row>
    <row r="25" spans="2:30" x14ac:dyDescent="0.25">
      <c r="C25" s="1" t="s">
        <v>18</v>
      </c>
      <c r="H25" t="s">
        <v>140</v>
      </c>
      <c r="I25" s="31">
        <v>1800</v>
      </c>
      <c r="J25" s="31">
        <v>3201</v>
      </c>
      <c r="K25" s="32">
        <v>4210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C26" s="1" t="s">
        <v>19</v>
      </c>
      <c r="H26" t="s">
        <v>140</v>
      </c>
      <c r="I26" s="31">
        <v>1000</v>
      </c>
      <c r="J26" s="31">
        <v>1931</v>
      </c>
      <c r="K26" s="31">
        <v>2924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25">
      <c r="C27" s="1" t="s">
        <v>20</v>
      </c>
      <c r="H27" t="s">
        <v>140</v>
      </c>
      <c r="I27" s="31">
        <v>300</v>
      </c>
      <c r="J27" s="31">
        <v>431</v>
      </c>
      <c r="K27" s="31">
        <v>643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25">
      <c r="C28" s="1" t="s">
        <v>21</v>
      </c>
      <c r="H28" t="s">
        <v>140</v>
      </c>
      <c r="I28" s="31">
        <v>300</v>
      </c>
      <c r="J28" s="31">
        <v>429</v>
      </c>
      <c r="K28" s="31">
        <v>622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25">
      <c r="C29" s="2" t="s">
        <v>22</v>
      </c>
      <c r="H29" t="s">
        <v>140</v>
      </c>
      <c r="I29" s="31">
        <f>SUM(I25:I28)</f>
        <v>3400</v>
      </c>
      <c r="J29" s="31">
        <f>SUM(J25:J28)</f>
        <v>5992</v>
      </c>
      <c r="K29" s="31">
        <f t="shared" ref="K29" si="1">SUM(K25:K28)</f>
        <v>8399</v>
      </c>
      <c r="L29" s="7">
        <f>+L36*L67</f>
        <v>9619.7384502401328</v>
      </c>
      <c r="M29" s="7">
        <f t="shared" ref="M29:U29" si="2">+M36*M67</f>
        <v>10844.667845801459</v>
      </c>
      <c r="N29" s="7">
        <f t="shared" si="2"/>
        <v>12164.138582600124</v>
      </c>
      <c r="O29" s="7">
        <f t="shared" si="2"/>
        <v>13575.239478874648</v>
      </c>
      <c r="P29" s="7">
        <f t="shared" si="2"/>
        <v>15073.131402973679</v>
      </c>
      <c r="Q29" s="7">
        <f t="shared" si="2"/>
        <v>16650.911432579949</v>
      </c>
      <c r="R29" s="7">
        <f t="shared" si="2"/>
        <v>18299.518173519689</v>
      </c>
      <c r="S29" s="7">
        <f t="shared" si="2"/>
        <v>20007.686697426881</v>
      </c>
      <c r="T29" s="7">
        <f t="shared" si="2"/>
        <v>21761.960667057276</v>
      </c>
      <c r="U29" s="7">
        <f t="shared" si="2"/>
        <v>23546.767871165976</v>
      </c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25"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25">
      <c r="C31" t="s">
        <v>23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C32" s="1" t="s">
        <v>18</v>
      </c>
      <c r="H32" t="s">
        <v>140</v>
      </c>
      <c r="I32" s="31">
        <v>13200</v>
      </c>
      <c r="J32" s="31">
        <v>25305</v>
      </c>
      <c r="K32" s="31">
        <v>32246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3:32" x14ac:dyDescent="0.25">
      <c r="C33" s="1" t="s">
        <v>19</v>
      </c>
      <c r="H33" t="s">
        <v>140</v>
      </c>
      <c r="I33" s="31">
        <v>6600</v>
      </c>
      <c r="J33" s="31">
        <v>14607</v>
      </c>
      <c r="K33" s="31">
        <v>21486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3:32" x14ac:dyDescent="0.25">
      <c r="C34" s="1" t="s">
        <v>20</v>
      </c>
      <c r="H34" t="s">
        <v>140</v>
      </c>
      <c r="I34" s="31">
        <v>2400</v>
      </c>
      <c r="J34" s="31">
        <v>3706</v>
      </c>
      <c r="K34" s="31">
        <v>4838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3:32" x14ac:dyDescent="0.25">
      <c r="C35" s="1" t="s">
        <v>21</v>
      </c>
      <c r="H35" t="s">
        <v>140</v>
      </c>
      <c r="I35" s="31">
        <v>1700</v>
      </c>
      <c r="J35" s="31">
        <v>3259</v>
      </c>
      <c r="K35" s="31">
        <v>4642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3:32" x14ac:dyDescent="0.25">
      <c r="C36" s="2" t="s">
        <v>22</v>
      </c>
      <c r="H36" t="s">
        <v>140</v>
      </c>
      <c r="I36" s="31">
        <f>SUM(I32:I35)</f>
        <v>23900</v>
      </c>
      <c r="J36" s="31">
        <f>SUM(J32:J35)</f>
        <v>46877</v>
      </c>
      <c r="K36" s="31">
        <f>SUM(K32:K35)</f>
        <v>63212</v>
      </c>
      <c r="L36" s="7">
        <f>+L43*L58</f>
        <v>71619.196000000011</v>
      </c>
      <c r="M36" s="7">
        <f t="shared" ref="M36:U36" si="3">+M43*M58</f>
        <v>80738.82632266001</v>
      </c>
      <c r="N36" s="7">
        <f t="shared" si="3"/>
        <v>90562.319321338058</v>
      </c>
      <c r="O36" s="7">
        <f t="shared" si="3"/>
        <v>101068.00117420986</v>
      </c>
      <c r="P36" s="7">
        <f t="shared" si="3"/>
        <v>112219.84442377219</v>
      </c>
      <c r="Q36" s="7">
        <f t="shared" si="3"/>
        <v>123966.45663883055</v>
      </c>
      <c r="R36" s="7">
        <f t="shared" si="3"/>
        <v>136240.37551064114</v>
      </c>
      <c r="S36" s="7">
        <f t="shared" si="3"/>
        <v>148957.73336268193</v>
      </c>
      <c r="T36" s="7">
        <f t="shared" si="3"/>
        <v>162018.34742392192</v>
      </c>
      <c r="U36" s="7">
        <f t="shared" si="3"/>
        <v>175306.28218789486</v>
      </c>
      <c r="V36" s="7"/>
      <c r="W36" s="7"/>
      <c r="X36" s="7"/>
      <c r="Y36" s="7"/>
      <c r="Z36" s="7"/>
      <c r="AA36" s="7"/>
      <c r="AB36" s="7"/>
      <c r="AC36" s="7"/>
      <c r="AD36" s="7"/>
    </row>
    <row r="37" spans="3:32" x14ac:dyDescent="0.25"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3:32" x14ac:dyDescent="0.25">
      <c r="C38" t="s">
        <v>24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3:32" x14ac:dyDescent="0.25">
      <c r="C39" s="1" t="s">
        <v>18</v>
      </c>
      <c r="H39" s="29" t="s">
        <v>136</v>
      </c>
      <c r="I39" s="31">
        <v>75.5</v>
      </c>
      <c r="J39" s="31">
        <v>114</v>
      </c>
      <c r="K39" s="31">
        <v>133</v>
      </c>
      <c r="L39" s="7">
        <f>+K39*(1+L47)</f>
        <v>146.30000000000001</v>
      </c>
      <c r="M39" s="7">
        <f t="shared" ref="M39:U39" si="4">+L39*(1+M47)</f>
        <v>160.12535000000003</v>
      </c>
      <c r="N39" s="7">
        <f t="shared" si="4"/>
        <v>174.37650615000001</v>
      </c>
      <c r="O39" s="7">
        <f t="shared" si="4"/>
        <v>188.936944413525</v>
      </c>
      <c r="P39" s="7">
        <f t="shared" si="4"/>
        <v>203.67402607777996</v>
      </c>
      <c r="Q39" s="7">
        <f t="shared" si="4"/>
        <v>218.44039296841902</v>
      </c>
      <c r="R39" s="7">
        <f t="shared" si="4"/>
        <v>233.0758992973031</v>
      </c>
      <c r="S39" s="7">
        <f t="shared" si="4"/>
        <v>247.4100671040872</v>
      </c>
      <c r="T39" s="7">
        <f t="shared" si="4"/>
        <v>261.2650308619161</v>
      </c>
      <c r="U39" s="7">
        <f t="shared" si="4"/>
        <v>274.45891492044285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3:32" x14ac:dyDescent="0.25">
      <c r="C40" s="1" t="s">
        <v>19</v>
      </c>
      <c r="H40" s="29" t="s">
        <v>136</v>
      </c>
      <c r="I40" s="31">
        <v>67.7</v>
      </c>
      <c r="J40" s="31">
        <v>118</v>
      </c>
      <c r="K40" s="31">
        <v>168</v>
      </c>
      <c r="L40" s="7">
        <f t="shared" ref="L40:U40" si="5">+K40*(1+L48)</f>
        <v>184.8</v>
      </c>
      <c r="M40" s="7">
        <f t="shared" si="5"/>
        <v>202.26360000000003</v>
      </c>
      <c r="N40" s="7">
        <f t="shared" si="5"/>
        <v>220.26506040000001</v>
      </c>
      <c r="O40" s="7">
        <f t="shared" si="5"/>
        <v>238.65719294339999</v>
      </c>
      <c r="P40" s="7">
        <f t="shared" si="5"/>
        <v>257.27245399298522</v>
      </c>
      <c r="Q40" s="7">
        <f t="shared" si="5"/>
        <v>275.92470690747666</v>
      </c>
      <c r="R40" s="7">
        <f t="shared" si="5"/>
        <v>294.41166227027759</v>
      </c>
      <c r="S40" s="7">
        <f t="shared" si="5"/>
        <v>312.51797949989964</v>
      </c>
      <c r="T40" s="7">
        <f t="shared" si="5"/>
        <v>330.01898635189406</v>
      </c>
      <c r="U40" s="7">
        <f t="shared" si="5"/>
        <v>346.68494516266469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3:32" x14ac:dyDescent="0.25">
      <c r="C41" s="1" t="s">
        <v>20</v>
      </c>
      <c r="H41" s="29" t="s">
        <v>136</v>
      </c>
      <c r="I41" s="31">
        <v>27.6</v>
      </c>
      <c r="J41" s="31">
        <v>39</v>
      </c>
      <c r="K41" s="31">
        <v>53</v>
      </c>
      <c r="L41" s="7">
        <f t="shared" ref="L41:U41" si="6">+K41*(1+L49)</f>
        <v>58.300000000000004</v>
      </c>
      <c r="M41" s="7">
        <f t="shared" si="6"/>
        <v>63.809350000000009</v>
      </c>
      <c r="N41" s="7">
        <f t="shared" si="6"/>
        <v>69.488382150000007</v>
      </c>
      <c r="O41" s="7">
        <f t="shared" si="6"/>
        <v>75.290662059525005</v>
      </c>
      <c r="P41" s="7">
        <f t="shared" si="6"/>
        <v>81.163333700167954</v>
      </c>
      <c r="Q41" s="7">
        <f t="shared" si="6"/>
        <v>87.047675393430126</v>
      </c>
      <c r="R41" s="7">
        <f t="shared" si="6"/>
        <v>92.879869644789935</v>
      </c>
      <c r="S41" s="7">
        <f t="shared" si="6"/>
        <v>98.591981627944506</v>
      </c>
      <c r="T41" s="7">
        <f t="shared" si="6"/>
        <v>104.11313259910941</v>
      </c>
      <c r="U41" s="7">
        <f t="shared" si="6"/>
        <v>109.37084579536443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3:32" x14ac:dyDescent="0.25">
      <c r="C42" s="1" t="s">
        <v>21</v>
      </c>
      <c r="H42" s="29" t="s">
        <v>136</v>
      </c>
      <c r="I42" s="31">
        <v>22.4</v>
      </c>
      <c r="J42" s="31">
        <v>30</v>
      </c>
      <c r="K42" s="31">
        <v>40</v>
      </c>
      <c r="L42" s="7">
        <f t="shared" ref="L42:U42" si="7">+K42*(1+L50)</f>
        <v>44</v>
      </c>
      <c r="M42" s="7">
        <f t="shared" si="7"/>
        <v>48.158000000000001</v>
      </c>
      <c r="N42" s="7">
        <f t="shared" si="7"/>
        <v>52.444062000000002</v>
      </c>
      <c r="O42" s="7">
        <f t="shared" si="7"/>
        <v>56.823141176999997</v>
      </c>
      <c r="P42" s="7">
        <f t="shared" si="7"/>
        <v>61.255346188806001</v>
      </c>
      <c r="Q42" s="7">
        <f t="shared" si="7"/>
        <v>65.696358787494432</v>
      </c>
      <c r="R42" s="7">
        <f t="shared" si="7"/>
        <v>70.098014826256559</v>
      </c>
      <c r="S42" s="7">
        <f t="shared" si="7"/>
        <v>74.409042738071335</v>
      </c>
      <c r="T42" s="7">
        <f t="shared" si="7"/>
        <v>78.575949131403334</v>
      </c>
      <c r="U42" s="7">
        <f t="shared" si="7"/>
        <v>82.544034562539196</v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3:32" x14ac:dyDescent="0.25">
      <c r="C43" s="2" t="s">
        <v>22</v>
      </c>
      <c r="H43" s="29" t="s">
        <v>136</v>
      </c>
      <c r="I43" s="31">
        <f>SUM(I39:I42)</f>
        <v>193.2</v>
      </c>
      <c r="J43" s="31">
        <f>SUM(J39:J42)</f>
        <v>301</v>
      </c>
      <c r="K43" s="31">
        <f>SUM(K39:K42)</f>
        <v>394</v>
      </c>
      <c r="L43" s="34">
        <f t="shared" ref="L43:U43" si="8">SUM(L39:L42)</f>
        <v>433.40000000000003</v>
      </c>
      <c r="M43" s="34">
        <f t="shared" si="8"/>
        <v>474.35630000000003</v>
      </c>
      <c r="N43" s="34">
        <f t="shared" si="8"/>
        <v>516.57401070000003</v>
      </c>
      <c r="O43" s="34">
        <f t="shared" si="8"/>
        <v>559.70794059344996</v>
      </c>
      <c r="P43" s="34">
        <f t="shared" si="8"/>
        <v>603.36515995973912</v>
      </c>
      <c r="Q43" s="34">
        <f t="shared" si="8"/>
        <v>647.10913405682027</v>
      </c>
      <c r="R43" s="34">
        <f t="shared" si="8"/>
        <v>690.46544603862708</v>
      </c>
      <c r="S43" s="34">
        <f t="shared" si="8"/>
        <v>732.92907097000261</v>
      </c>
      <c r="T43" s="34">
        <f t="shared" si="8"/>
        <v>773.97309894432283</v>
      </c>
      <c r="U43" s="34">
        <f t="shared" si="8"/>
        <v>813.05874044101108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6" spans="3:32" x14ac:dyDescent="0.25">
      <c r="C46" t="s">
        <v>137</v>
      </c>
    </row>
    <row r="47" spans="3:32" x14ac:dyDescent="0.25">
      <c r="C47" s="1" t="s">
        <v>18</v>
      </c>
      <c r="H47" s="8" t="s">
        <v>138</v>
      </c>
      <c r="J47" s="10">
        <f>+J39/I39-1</f>
        <v>0.50993377483443703</v>
      </c>
      <c r="K47" s="10">
        <f t="shared" ref="K47:U51" si="9">+K39/J39-1</f>
        <v>0.16666666666666674</v>
      </c>
      <c r="L47">
        <v>0.1</v>
      </c>
      <c r="M47">
        <f>+L47-0.0055</f>
        <v>9.4500000000000001E-2</v>
      </c>
      <c r="N47">
        <f t="shared" ref="N47:U47" si="10">+M47-0.0055</f>
        <v>8.8999999999999996E-2</v>
      </c>
      <c r="O47">
        <f t="shared" si="10"/>
        <v>8.3499999999999991E-2</v>
      </c>
      <c r="P47">
        <f t="shared" si="10"/>
        <v>7.7999999999999986E-2</v>
      </c>
      <c r="Q47">
        <f t="shared" si="10"/>
        <v>7.2499999999999981E-2</v>
      </c>
      <c r="R47">
        <f t="shared" si="10"/>
        <v>6.6999999999999976E-2</v>
      </c>
      <c r="S47">
        <f t="shared" si="10"/>
        <v>6.1499999999999978E-2</v>
      </c>
      <c r="T47">
        <f t="shared" si="10"/>
        <v>5.599999999999998E-2</v>
      </c>
      <c r="U47">
        <f t="shared" si="10"/>
        <v>5.0499999999999982E-2</v>
      </c>
    </row>
    <row r="48" spans="3:32" x14ac:dyDescent="0.25">
      <c r="C48" s="1" t="s">
        <v>19</v>
      </c>
      <c r="H48" s="8" t="s">
        <v>138</v>
      </c>
      <c r="J48" s="10">
        <f t="shared" ref="J48:K48" si="11">+J40/I40-1</f>
        <v>0.7429837518463811</v>
      </c>
      <c r="K48" s="10">
        <f t="shared" si="9"/>
        <v>0.42372881355932202</v>
      </c>
      <c r="L48">
        <v>0.1</v>
      </c>
      <c r="M48">
        <f t="shared" ref="M48:U48" si="12">+L48-0.0055</f>
        <v>9.4500000000000001E-2</v>
      </c>
      <c r="N48">
        <f t="shared" si="12"/>
        <v>8.8999999999999996E-2</v>
      </c>
      <c r="O48">
        <f t="shared" si="12"/>
        <v>8.3499999999999991E-2</v>
      </c>
      <c r="P48">
        <f t="shared" si="12"/>
        <v>7.7999999999999986E-2</v>
      </c>
      <c r="Q48">
        <f t="shared" si="12"/>
        <v>7.2499999999999981E-2</v>
      </c>
      <c r="R48">
        <f t="shared" si="12"/>
        <v>6.6999999999999976E-2</v>
      </c>
      <c r="S48">
        <f t="shared" si="12"/>
        <v>6.1499999999999978E-2</v>
      </c>
      <c r="T48">
        <f t="shared" si="12"/>
        <v>5.599999999999998E-2</v>
      </c>
      <c r="U48">
        <f t="shared" si="12"/>
        <v>5.0499999999999982E-2</v>
      </c>
    </row>
    <row r="49" spans="3:36" x14ac:dyDescent="0.25">
      <c r="C49" s="1" t="s">
        <v>20</v>
      </c>
      <c r="H49" s="8" t="s">
        <v>138</v>
      </c>
      <c r="J49" s="10">
        <f t="shared" ref="J49:K49" si="13">+J41/I41-1</f>
        <v>0.4130434782608694</v>
      </c>
      <c r="K49" s="10">
        <f t="shared" si="9"/>
        <v>0.35897435897435903</v>
      </c>
      <c r="L49">
        <v>0.1</v>
      </c>
      <c r="M49">
        <f t="shared" ref="M49:U49" si="14">+L49-0.0055</f>
        <v>9.4500000000000001E-2</v>
      </c>
      <c r="N49">
        <f t="shared" si="14"/>
        <v>8.8999999999999996E-2</v>
      </c>
      <c r="O49">
        <f t="shared" si="14"/>
        <v>8.3499999999999991E-2</v>
      </c>
      <c r="P49">
        <f t="shared" si="14"/>
        <v>7.7999999999999986E-2</v>
      </c>
      <c r="Q49">
        <f t="shared" si="14"/>
        <v>7.2499999999999981E-2</v>
      </c>
      <c r="R49">
        <f t="shared" si="14"/>
        <v>6.6999999999999976E-2</v>
      </c>
      <c r="S49">
        <f t="shared" si="14"/>
        <v>6.1499999999999978E-2</v>
      </c>
      <c r="T49">
        <f t="shared" si="14"/>
        <v>5.599999999999998E-2</v>
      </c>
      <c r="U49">
        <f t="shared" si="14"/>
        <v>5.0499999999999982E-2</v>
      </c>
    </row>
    <row r="50" spans="3:36" x14ac:dyDescent="0.25">
      <c r="C50" s="1" t="s">
        <v>21</v>
      </c>
      <c r="H50" s="8" t="s">
        <v>138</v>
      </c>
      <c r="J50" s="10">
        <f t="shared" ref="J50:K50" si="15">+J42/I42-1</f>
        <v>0.33928571428571441</v>
      </c>
      <c r="K50" s="10">
        <f t="shared" si="9"/>
        <v>0.33333333333333326</v>
      </c>
      <c r="L50">
        <v>0.1</v>
      </c>
      <c r="M50">
        <f t="shared" ref="M50:U50" si="16">+L50-0.0055</f>
        <v>9.4500000000000001E-2</v>
      </c>
      <c r="N50">
        <f t="shared" si="16"/>
        <v>8.8999999999999996E-2</v>
      </c>
      <c r="O50">
        <f t="shared" si="16"/>
        <v>8.3499999999999991E-2</v>
      </c>
      <c r="P50">
        <f t="shared" si="16"/>
        <v>7.7999999999999986E-2</v>
      </c>
      <c r="Q50">
        <f t="shared" si="16"/>
        <v>7.2499999999999981E-2</v>
      </c>
      <c r="R50">
        <f t="shared" si="16"/>
        <v>6.6999999999999976E-2</v>
      </c>
      <c r="S50">
        <f t="shared" si="16"/>
        <v>6.1499999999999978E-2</v>
      </c>
      <c r="T50">
        <f t="shared" si="16"/>
        <v>5.599999999999998E-2</v>
      </c>
      <c r="U50">
        <f t="shared" si="16"/>
        <v>5.0499999999999982E-2</v>
      </c>
    </row>
    <row r="51" spans="3:36" x14ac:dyDescent="0.25">
      <c r="C51" s="2" t="s">
        <v>22</v>
      </c>
      <c r="J51" s="10">
        <f t="shared" ref="J51:K51" si="17">+J43/I43-1</f>
        <v>0.55797101449275366</v>
      </c>
      <c r="K51" s="10">
        <f t="shared" si="9"/>
        <v>0.308970099667774</v>
      </c>
      <c r="L51" s="10">
        <f t="shared" si="9"/>
        <v>0.10000000000000009</v>
      </c>
      <c r="M51" s="10">
        <f t="shared" si="9"/>
        <v>9.4500000000000028E-2</v>
      </c>
      <c r="N51" s="10">
        <f t="shared" si="9"/>
        <v>8.8999999999999968E-2</v>
      </c>
      <c r="O51" s="10">
        <f t="shared" si="9"/>
        <v>8.3499999999999908E-2</v>
      </c>
      <c r="P51" s="10">
        <f t="shared" si="9"/>
        <v>7.8000000000000069E-2</v>
      </c>
      <c r="Q51" s="10">
        <f t="shared" si="9"/>
        <v>7.2500000000000009E-2</v>
      </c>
      <c r="R51" s="10">
        <f t="shared" si="9"/>
        <v>6.6999999999999726E-2</v>
      </c>
      <c r="S51" s="10">
        <f t="shared" si="9"/>
        <v>6.1499999999999888E-2</v>
      </c>
      <c r="T51" s="10">
        <f t="shared" si="9"/>
        <v>5.600000000000005E-2</v>
      </c>
      <c r="U51" s="10">
        <f t="shared" si="9"/>
        <v>5.0499999999999989E-2</v>
      </c>
    </row>
    <row r="53" spans="3:36" x14ac:dyDescent="0.25">
      <c r="C53" t="s">
        <v>139</v>
      </c>
      <c r="J53" s="9"/>
      <c r="K53" s="9"/>
    </row>
    <row r="54" spans="3:36" x14ac:dyDescent="0.25">
      <c r="C54" s="1" t="s">
        <v>18</v>
      </c>
      <c r="H54" s="30"/>
      <c r="I54" s="7">
        <f>+I32/I39</f>
        <v>174.83443708609272</v>
      </c>
      <c r="J54" s="7">
        <f t="shared" ref="J54:K54" si="18">+J32/J39</f>
        <v>221.97368421052633</v>
      </c>
      <c r="K54" s="7">
        <f t="shared" si="18"/>
        <v>242.45112781954887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3:36" x14ac:dyDescent="0.25">
      <c r="C55" s="1" t="s">
        <v>19</v>
      </c>
      <c r="I55" s="7">
        <f t="shared" ref="I55:K55" si="19">+I33/I40</f>
        <v>97.488921713441655</v>
      </c>
      <c r="J55" s="7">
        <f t="shared" si="19"/>
        <v>123.78813559322033</v>
      </c>
      <c r="K55" s="7">
        <f t="shared" si="19"/>
        <v>127.89285714285714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3:36" x14ac:dyDescent="0.25">
      <c r="C56" s="1" t="s">
        <v>20</v>
      </c>
      <c r="I56" s="7">
        <f t="shared" ref="I56:K56" si="20">+I34/I41</f>
        <v>86.956521739130437</v>
      </c>
      <c r="J56" s="7">
        <f t="shared" si="20"/>
        <v>95.025641025641022</v>
      </c>
      <c r="K56" s="7">
        <f t="shared" si="20"/>
        <v>91.283018867924525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3:36" x14ac:dyDescent="0.25">
      <c r="C57" s="1" t="s">
        <v>21</v>
      </c>
      <c r="I57" s="7">
        <f t="shared" ref="I57:K57" si="21">+I35/I42</f>
        <v>75.892857142857153</v>
      </c>
      <c r="J57" s="7">
        <f t="shared" si="21"/>
        <v>108.63333333333334</v>
      </c>
      <c r="K57" s="7">
        <f t="shared" si="21"/>
        <v>116.05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3:36" x14ac:dyDescent="0.25">
      <c r="C58" s="2" t="s">
        <v>22</v>
      </c>
      <c r="I58" s="7">
        <f t="shared" ref="I58:K58" si="22">+I36/I43</f>
        <v>123.70600414078676</v>
      </c>
      <c r="J58" s="7">
        <f t="shared" si="22"/>
        <v>155.73754152823921</v>
      </c>
      <c r="K58" s="7">
        <f t="shared" si="22"/>
        <v>160.43654822335026</v>
      </c>
      <c r="L58" s="7">
        <f>+K58*(1+L60)</f>
        <v>165.24964467005077</v>
      </c>
      <c r="M58" s="7">
        <f t="shared" ref="M58:U58" si="23">+L58*(1+M60)</f>
        <v>170.20713401015229</v>
      </c>
      <c r="N58" s="7">
        <f t="shared" si="23"/>
        <v>175.31334803045686</v>
      </c>
      <c r="O58" s="7">
        <f t="shared" si="23"/>
        <v>180.57274847137057</v>
      </c>
      <c r="P58" s="7">
        <f t="shared" si="23"/>
        <v>185.98993092551169</v>
      </c>
      <c r="Q58" s="7">
        <f t="shared" si="23"/>
        <v>191.56962885327704</v>
      </c>
      <c r="R58" s="7">
        <f t="shared" si="23"/>
        <v>197.31671771887537</v>
      </c>
      <c r="S58" s="7">
        <f t="shared" si="23"/>
        <v>203.23621925044162</v>
      </c>
      <c r="T58" s="7">
        <f t="shared" si="23"/>
        <v>209.33330582795489</v>
      </c>
      <c r="U58" s="7">
        <f t="shared" si="23"/>
        <v>215.61330500279354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3:36" x14ac:dyDescent="0.25">
      <c r="C59" s="2"/>
      <c r="K59" s="9"/>
    </row>
    <row r="60" spans="3:36" x14ac:dyDescent="0.25">
      <c r="C60" s="35" t="s">
        <v>142</v>
      </c>
      <c r="K60" s="9"/>
      <c r="L60" s="10">
        <v>0.03</v>
      </c>
      <c r="M60" s="10">
        <v>0.03</v>
      </c>
      <c r="N60" s="10">
        <v>0.03</v>
      </c>
      <c r="O60" s="10">
        <v>0.03</v>
      </c>
      <c r="P60" s="10">
        <v>0.03</v>
      </c>
      <c r="Q60" s="10">
        <v>0.03</v>
      </c>
      <c r="R60" s="10">
        <v>0.03</v>
      </c>
      <c r="S60" s="10">
        <v>0.03</v>
      </c>
      <c r="T60" s="10">
        <v>0.03</v>
      </c>
      <c r="U60" s="10">
        <v>0.03</v>
      </c>
    </row>
    <row r="61" spans="3:36" x14ac:dyDescent="0.25">
      <c r="C61" s="2"/>
      <c r="K61" s="9"/>
    </row>
    <row r="62" spans="3:36" x14ac:dyDescent="0.25">
      <c r="C62" s="2"/>
      <c r="K62" s="9"/>
    </row>
    <row r="63" spans="3:36" x14ac:dyDescent="0.25">
      <c r="C63" t="s">
        <v>141</v>
      </c>
      <c r="I63" s="10">
        <f>+I25/I32</f>
        <v>0.13636363636363635</v>
      </c>
      <c r="J63" s="10">
        <f t="shared" ref="J63:K63" si="24">+J25/J32</f>
        <v>0.12649673977474807</v>
      </c>
      <c r="K63" s="10">
        <f t="shared" si="24"/>
        <v>0.13055882900204677</v>
      </c>
      <c r="L63" s="10">
        <f>+AVERAGE(I63:K63)</f>
        <v>0.1311397350468104</v>
      </c>
      <c r="M63" s="10">
        <f>+L63</f>
        <v>0.1311397350468104</v>
      </c>
      <c r="N63" s="10">
        <f t="shared" ref="N63:U63" si="25">+M63</f>
        <v>0.1311397350468104</v>
      </c>
      <c r="O63" s="10">
        <f t="shared" si="25"/>
        <v>0.1311397350468104</v>
      </c>
      <c r="P63" s="10">
        <f t="shared" si="25"/>
        <v>0.1311397350468104</v>
      </c>
      <c r="Q63" s="10">
        <f t="shared" si="25"/>
        <v>0.1311397350468104</v>
      </c>
      <c r="R63" s="10">
        <f t="shared" si="25"/>
        <v>0.1311397350468104</v>
      </c>
      <c r="S63" s="10">
        <f t="shared" si="25"/>
        <v>0.1311397350468104</v>
      </c>
      <c r="T63" s="10">
        <f t="shared" si="25"/>
        <v>0.1311397350468104</v>
      </c>
      <c r="U63" s="10">
        <f t="shared" si="25"/>
        <v>0.1311397350468104</v>
      </c>
      <c r="V63" s="10"/>
      <c r="W63" s="10"/>
      <c r="X63" s="10"/>
      <c r="Y63" s="10"/>
      <c r="Z63" s="10"/>
    </row>
    <row r="64" spans="3:36" x14ac:dyDescent="0.25">
      <c r="C64" s="1" t="s">
        <v>18</v>
      </c>
      <c r="I64" s="10">
        <f t="shared" ref="I64:K64" si="26">+I26/I33</f>
        <v>0.15151515151515152</v>
      </c>
      <c r="J64" s="10">
        <f t="shared" si="26"/>
        <v>0.13219689190114328</v>
      </c>
      <c r="K64" s="10">
        <f t="shared" si="26"/>
        <v>0.13608861584287443</v>
      </c>
      <c r="L64" s="10">
        <f t="shared" ref="L64:L66" si="27">+AVERAGE(I64:K64)</f>
        <v>0.13993355308638974</v>
      </c>
      <c r="M64" s="10">
        <f t="shared" ref="M64:U64" si="28">+L64</f>
        <v>0.13993355308638974</v>
      </c>
      <c r="N64" s="10">
        <f t="shared" si="28"/>
        <v>0.13993355308638974</v>
      </c>
      <c r="O64" s="10">
        <f t="shared" si="28"/>
        <v>0.13993355308638974</v>
      </c>
      <c r="P64" s="10">
        <f t="shared" si="28"/>
        <v>0.13993355308638974</v>
      </c>
      <c r="Q64" s="10">
        <f t="shared" si="28"/>
        <v>0.13993355308638974</v>
      </c>
      <c r="R64" s="10">
        <f t="shared" si="28"/>
        <v>0.13993355308638974</v>
      </c>
      <c r="S64" s="10">
        <f t="shared" si="28"/>
        <v>0.13993355308638974</v>
      </c>
      <c r="T64" s="10">
        <f t="shared" si="28"/>
        <v>0.13993355308638974</v>
      </c>
      <c r="U64" s="10">
        <f t="shared" si="28"/>
        <v>0.13993355308638974</v>
      </c>
      <c r="V64" s="10"/>
      <c r="W64" s="10"/>
      <c r="X64" s="10"/>
      <c r="Y64" s="10"/>
      <c r="Z64" s="10"/>
    </row>
    <row r="65" spans="3:26" x14ac:dyDescent="0.25">
      <c r="C65" s="1" t="s">
        <v>19</v>
      </c>
      <c r="I65" s="10">
        <f t="shared" ref="I65:K65" si="29">+I27/I34</f>
        <v>0.125</v>
      </c>
      <c r="J65" s="10">
        <f t="shared" si="29"/>
        <v>0.11629789530491096</v>
      </c>
      <c r="K65" s="10">
        <f t="shared" si="29"/>
        <v>0.13290615957007026</v>
      </c>
      <c r="L65" s="10">
        <f t="shared" si="27"/>
        <v>0.12473468495832707</v>
      </c>
      <c r="M65" s="10">
        <f t="shared" ref="M65:U65" si="30">+L65</f>
        <v>0.12473468495832707</v>
      </c>
      <c r="N65" s="10">
        <f t="shared" si="30"/>
        <v>0.12473468495832707</v>
      </c>
      <c r="O65" s="10">
        <f t="shared" si="30"/>
        <v>0.12473468495832707</v>
      </c>
      <c r="P65" s="10">
        <f t="shared" si="30"/>
        <v>0.12473468495832707</v>
      </c>
      <c r="Q65" s="10">
        <f t="shared" si="30"/>
        <v>0.12473468495832707</v>
      </c>
      <c r="R65" s="10">
        <f t="shared" si="30"/>
        <v>0.12473468495832707</v>
      </c>
      <c r="S65" s="10">
        <f t="shared" si="30"/>
        <v>0.12473468495832707</v>
      </c>
      <c r="T65" s="10">
        <f t="shared" si="30"/>
        <v>0.12473468495832707</v>
      </c>
      <c r="U65" s="10">
        <f t="shared" si="30"/>
        <v>0.12473468495832707</v>
      </c>
      <c r="V65" s="10"/>
      <c r="W65" s="10"/>
      <c r="X65" s="10"/>
      <c r="Y65" s="10"/>
      <c r="Z65" s="10"/>
    </row>
    <row r="66" spans="3:26" x14ac:dyDescent="0.25">
      <c r="C66" s="1" t="s">
        <v>20</v>
      </c>
      <c r="I66" s="10">
        <f t="shared" ref="I66:K66" si="31">+I28/I35</f>
        <v>0.17647058823529413</v>
      </c>
      <c r="J66" s="10">
        <f t="shared" si="31"/>
        <v>0.13163547100337528</v>
      </c>
      <c r="K66" s="10">
        <f t="shared" si="31"/>
        <v>0.13399396811719086</v>
      </c>
      <c r="L66" s="10">
        <f t="shared" si="27"/>
        <v>0.14736667578528675</v>
      </c>
      <c r="M66" s="10">
        <f t="shared" ref="M66:U67" si="32">+L66</f>
        <v>0.14736667578528675</v>
      </c>
      <c r="N66" s="10">
        <f t="shared" si="32"/>
        <v>0.14736667578528675</v>
      </c>
      <c r="O66" s="10">
        <f t="shared" si="32"/>
        <v>0.14736667578528675</v>
      </c>
      <c r="P66" s="10">
        <f t="shared" si="32"/>
        <v>0.14736667578528675</v>
      </c>
      <c r="Q66" s="10">
        <f t="shared" si="32"/>
        <v>0.14736667578528675</v>
      </c>
      <c r="R66" s="10">
        <f t="shared" si="32"/>
        <v>0.14736667578528675</v>
      </c>
      <c r="S66" s="10">
        <f t="shared" si="32"/>
        <v>0.14736667578528675</v>
      </c>
      <c r="T66" s="10">
        <f t="shared" si="32"/>
        <v>0.14736667578528675</v>
      </c>
      <c r="U66" s="10">
        <f t="shared" si="32"/>
        <v>0.14736667578528675</v>
      </c>
      <c r="V66" s="10"/>
      <c r="W66" s="10"/>
      <c r="X66" s="10"/>
      <c r="Y66" s="10"/>
      <c r="Z66" s="10"/>
    </row>
    <row r="67" spans="3:26" x14ac:dyDescent="0.25">
      <c r="C67" s="1" t="s">
        <v>21</v>
      </c>
      <c r="I67" s="10">
        <f t="shared" ref="I67:K67" si="33">+I29/I36</f>
        <v>0.14225941422594143</v>
      </c>
      <c r="J67" s="10">
        <f t="shared" si="33"/>
        <v>0.12782387951447405</v>
      </c>
      <c r="K67" s="10">
        <f t="shared" si="33"/>
        <v>0.13287034107447954</v>
      </c>
      <c r="L67" s="10">
        <f>+AVERAGE(I67:K67)</f>
        <v>0.13431787827163169</v>
      </c>
      <c r="M67" s="10">
        <f t="shared" si="32"/>
        <v>0.13431787827163169</v>
      </c>
      <c r="N67" s="10">
        <f t="shared" si="32"/>
        <v>0.13431787827163169</v>
      </c>
      <c r="O67" s="10">
        <f t="shared" si="32"/>
        <v>0.13431787827163169</v>
      </c>
      <c r="P67" s="10">
        <f t="shared" si="32"/>
        <v>0.13431787827163169</v>
      </c>
      <c r="Q67" s="10">
        <f t="shared" si="32"/>
        <v>0.13431787827163169</v>
      </c>
      <c r="R67" s="10">
        <f t="shared" si="32"/>
        <v>0.13431787827163169</v>
      </c>
      <c r="S67" s="10">
        <f t="shared" si="32"/>
        <v>0.13431787827163169</v>
      </c>
      <c r="T67" s="10">
        <f t="shared" si="32"/>
        <v>0.13431787827163169</v>
      </c>
      <c r="U67" s="10">
        <f t="shared" si="32"/>
        <v>0.13431787827163169</v>
      </c>
    </row>
    <row r="68" spans="3:26" x14ac:dyDescent="0.25">
      <c r="C68" s="36" t="s">
        <v>22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70" spans="3:26" x14ac:dyDescent="0.25">
      <c r="C70" s="35" t="s">
        <v>143</v>
      </c>
      <c r="I70" s="31">
        <f>+is!E14</f>
        <v>-3590</v>
      </c>
      <c r="J70" s="31">
        <f>+is!F14</f>
        <v>429</v>
      </c>
      <c r="K70" s="31">
        <f>+is!G14</f>
        <v>1802</v>
      </c>
      <c r="L70" s="7">
        <f>+L29*L72</f>
        <v>2116.3424590528293</v>
      </c>
      <c r="M70" s="7">
        <f t="shared" ref="M70:U70" si="34">+M29*M72</f>
        <v>2412.938595690825</v>
      </c>
      <c r="N70" s="7">
        <f t="shared" si="34"/>
        <v>2736.9311810850281</v>
      </c>
      <c r="O70" s="7">
        <f t="shared" si="34"/>
        <v>3088.3669814439827</v>
      </c>
      <c r="P70" s="7">
        <f t="shared" si="34"/>
        <v>3466.8202226839462</v>
      </c>
      <c r="Q70" s="7">
        <f t="shared" si="34"/>
        <v>3871.3369080748384</v>
      </c>
      <c r="R70" s="7">
        <f t="shared" si="34"/>
        <v>4300.3867707771269</v>
      </c>
      <c r="S70" s="7">
        <f t="shared" si="34"/>
        <v>4751.8255906388849</v>
      </c>
      <c r="T70" s="7">
        <f t="shared" si="34"/>
        <v>5222.8705600937465</v>
      </c>
      <c r="U70" s="7">
        <f t="shared" si="34"/>
        <v>5710.0912087577499</v>
      </c>
    </row>
    <row r="71" spans="3:26" x14ac:dyDescent="0.25">
      <c r="I71" s="37"/>
      <c r="J71" s="37"/>
      <c r="K71" s="37"/>
    </row>
    <row r="72" spans="3:26" x14ac:dyDescent="0.25">
      <c r="C72" t="s">
        <v>144</v>
      </c>
      <c r="I72" s="38">
        <f>+I70/I29</f>
        <v>-1.0558823529411765</v>
      </c>
      <c r="J72" s="38">
        <f t="shared" ref="J72:K72" si="35">+J70/J29</f>
        <v>7.1595460614152201E-2</v>
      </c>
      <c r="K72" s="38">
        <f t="shared" si="35"/>
        <v>0.21454935111322776</v>
      </c>
      <c r="L72" s="10">
        <v>0.22</v>
      </c>
      <c r="M72" s="10">
        <f>+L72+0.0025</f>
        <v>0.2225</v>
      </c>
      <c r="N72" s="10">
        <f t="shared" ref="N72:U72" si="36">+M72+0.0025</f>
        <v>0.22500000000000001</v>
      </c>
      <c r="O72" s="10">
        <f t="shared" si="36"/>
        <v>0.22750000000000001</v>
      </c>
      <c r="P72" s="10">
        <f t="shared" si="36"/>
        <v>0.23</v>
      </c>
      <c r="Q72" s="10">
        <f t="shared" si="36"/>
        <v>0.23250000000000001</v>
      </c>
      <c r="R72" s="10">
        <f t="shared" si="36"/>
        <v>0.23500000000000001</v>
      </c>
      <c r="S72" s="10">
        <f t="shared" si="36"/>
        <v>0.23750000000000002</v>
      </c>
      <c r="T72" s="10">
        <f t="shared" si="36"/>
        <v>0.24000000000000002</v>
      </c>
      <c r="U72" s="10">
        <f t="shared" si="36"/>
        <v>0.24250000000000002</v>
      </c>
    </row>
    <row r="74" spans="3:26" x14ac:dyDescent="0.25">
      <c r="C74" t="s">
        <v>145</v>
      </c>
      <c r="I74" s="7">
        <f>+ABS(is!E53)</f>
        <v>37</v>
      </c>
      <c r="J74" s="7">
        <f>+ABS(is!F53)</f>
        <v>25</v>
      </c>
      <c r="K74" s="7">
        <f>+ABS(is!G53)</f>
        <v>25</v>
      </c>
      <c r="L74" s="7">
        <f>+L75*L29</f>
        <v>57.818243207576835</v>
      </c>
      <c r="M74" s="7">
        <f t="shared" ref="M74:U74" si="37">+M75*M29</f>
        <v>47.568871265938363</v>
      </c>
      <c r="N74" s="7">
        <f t="shared" si="37"/>
        <v>54.224907932638374</v>
      </c>
      <c r="O74" s="7">
        <f t="shared" si="37"/>
        <v>67.217921555504901</v>
      </c>
      <c r="P74" s="7">
        <f t="shared" si="37"/>
        <v>69.314601275872576</v>
      </c>
      <c r="Q74" s="7">
        <f t="shared" si="37"/>
        <v>77.747715591085679</v>
      </c>
      <c r="R74" s="7">
        <f t="shared" si="37"/>
        <v>86.735686933145757</v>
      </c>
      <c r="S74" s="7">
        <f t="shared" si="37"/>
        <v>93.419958716294815</v>
      </c>
      <c r="T74" s="7">
        <f t="shared" si="37"/>
        <v>102.12351407988413</v>
      </c>
      <c r="U74" s="7">
        <f t="shared" si="37"/>
        <v>110.68343926683966</v>
      </c>
    </row>
    <row r="75" spans="3:26" x14ac:dyDescent="0.25">
      <c r="C75" t="s">
        <v>150</v>
      </c>
      <c r="I75" s="40">
        <f>+I74/I29</f>
        <v>1.088235294117647E-2</v>
      </c>
      <c r="J75" s="40">
        <f t="shared" ref="J75:K75" si="38">+J74/J29</f>
        <v>4.1722296395193589E-3</v>
      </c>
      <c r="K75" s="40">
        <f t="shared" si="38"/>
        <v>2.9765448267650911E-3</v>
      </c>
      <c r="L75" s="40">
        <f>+AVERAGE(I75:K75)</f>
        <v>6.0103758024869737E-3</v>
      </c>
      <c r="M75" s="40">
        <f t="shared" ref="M75:U75" si="39">+AVERAGE(J75:L75)</f>
        <v>4.3863834229238077E-3</v>
      </c>
      <c r="N75" s="40">
        <f t="shared" si="39"/>
        <v>4.4577680173919576E-3</v>
      </c>
      <c r="O75" s="40">
        <f t="shared" si="39"/>
        <v>4.9515090809342461E-3</v>
      </c>
      <c r="P75" s="40">
        <f t="shared" si="39"/>
        <v>4.5985535070833363E-3</v>
      </c>
      <c r="Q75" s="40">
        <f t="shared" si="39"/>
        <v>4.6692768684698472E-3</v>
      </c>
      <c r="R75" s="40">
        <f t="shared" si="39"/>
        <v>4.7397798188291429E-3</v>
      </c>
      <c r="S75" s="40">
        <f t="shared" si="39"/>
        <v>4.6692033981274418E-3</v>
      </c>
      <c r="T75" s="40">
        <f t="shared" si="39"/>
        <v>4.6927533618088104E-3</v>
      </c>
      <c r="U75" s="40">
        <f t="shared" si="39"/>
        <v>4.7005788595884642E-3</v>
      </c>
    </row>
    <row r="77" spans="3:26" x14ac:dyDescent="0.25">
      <c r="C77" t="s">
        <v>146</v>
      </c>
      <c r="L77" s="7">
        <f>+L70*-tax</f>
        <v>-105.81712295264147</v>
      </c>
      <c r="M77" s="7">
        <f>+M70*-tax</f>
        <v>-120.64692978454126</v>
      </c>
      <c r="N77" s="7">
        <f>+N70*-tax</f>
        <v>-136.8465590542514</v>
      </c>
      <c r="O77" s="7">
        <f>+O70*-tax</f>
        <v>-154.41834907219913</v>
      </c>
      <c r="P77" s="7">
        <f>+P70*-tax</f>
        <v>-173.34101113419732</v>
      </c>
      <c r="Q77" s="7">
        <f>+Q70*-tax</f>
        <v>-193.56684540374192</v>
      </c>
      <c r="R77" s="7">
        <f>+R70*-tax</f>
        <v>-215.01933853885635</v>
      </c>
      <c r="S77" s="7">
        <f>+S70*-tax</f>
        <v>-237.59127953194425</v>
      </c>
      <c r="T77" s="7">
        <f>+T70*-tax</f>
        <v>-261.14352800468731</v>
      </c>
      <c r="U77" s="7">
        <f>+U70*-tax</f>
        <v>-285.50456043788751</v>
      </c>
    </row>
    <row r="79" spans="3:26" x14ac:dyDescent="0.25">
      <c r="C79" t="s">
        <v>147</v>
      </c>
      <c r="L79" s="7">
        <f>+L70+L77</f>
        <v>2010.5253361001878</v>
      </c>
      <c r="M79" s="7">
        <f t="shared" ref="M79:U79" si="40">+M70+M77</f>
        <v>2292.2916659062839</v>
      </c>
      <c r="N79" s="7">
        <f t="shared" si="40"/>
        <v>2600.0846220307767</v>
      </c>
      <c r="O79" s="7">
        <f t="shared" si="40"/>
        <v>2933.9486323717838</v>
      </c>
      <c r="P79" s="7">
        <f t="shared" si="40"/>
        <v>3293.4792115497489</v>
      </c>
      <c r="Q79" s="7">
        <f t="shared" si="40"/>
        <v>3677.7700626710966</v>
      </c>
      <c r="R79" s="7">
        <f t="shared" si="40"/>
        <v>4085.3674322382703</v>
      </c>
      <c r="S79" s="7">
        <f t="shared" si="40"/>
        <v>4514.2343111069404</v>
      </c>
      <c r="T79" s="7">
        <f t="shared" si="40"/>
        <v>4961.7270320890593</v>
      </c>
      <c r="U79" s="7">
        <f t="shared" si="40"/>
        <v>5424.5866483198624</v>
      </c>
    </row>
    <row r="81" spans="3:21" x14ac:dyDescent="0.25">
      <c r="C81" s="11" t="s">
        <v>148</v>
      </c>
    </row>
    <row r="83" spans="3:21" x14ac:dyDescent="0.25">
      <c r="C83" t="s">
        <v>149</v>
      </c>
      <c r="I83" s="7">
        <f>+is!E32</f>
        <v>126</v>
      </c>
      <c r="J83" s="7">
        <f>+is!F32</f>
        <v>138</v>
      </c>
      <c r="K83" s="7">
        <f>+is!G32</f>
        <v>81</v>
      </c>
      <c r="L83" s="7">
        <f>+L84*L29</f>
        <v>96.197384502401334</v>
      </c>
      <c r="M83" s="7">
        <f t="shared" ref="M83:U83" si="41">+M84*M29</f>
        <v>108.4466784580146</v>
      </c>
      <c r="N83" s="7">
        <f t="shared" si="41"/>
        <v>121.64138582600124</v>
      </c>
      <c r="O83" s="7">
        <f t="shared" si="41"/>
        <v>135.75239478874647</v>
      </c>
      <c r="P83" s="7">
        <f t="shared" si="41"/>
        <v>150.73131402973678</v>
      </c>
      <c r="Q83" s="7">
        <f t="shared" si="41"/>
        <v>166.50911432579949</v>
      </c>
      <c r="R83" s="7">
        <f t="shared" si="41"/>
        <v>182.99518173519689</v>
      </c>
      <c r="S83" s="7">
        <f t="shared" si="41"/>
        <v>200.07686697426882</v>
      </c>
      <c r="T83" s="7">
        <f t="shared" si="41"/>
        <v>217.61960667057275</v>
      </c>
      <c r="U83" s="7">
        <f t="shared" si="41"/>
        <v>235.46767871165977</v>
      </c>
    </row>
    <row r="84" spans="3:21" x14ac:dyDescent="0.25">
      <c r="C84" t="s">
        <v>150</v>
      </c>
      <c r="I84" s="10">
        <f>+I83/I29</f>
        <v>3.7058823529411762E-2</v>
      </c>
      <c r="J84" s="10">
        <f t="shared" ref="J84:K84" si="42">+J83/J29</f>
        <v>2.3030707610146861E-2</v>
      </c>
      <c r="K84" s="10">
        <f t="shared" si="42"/>
        <v>9.6440052387188942E-3</v>
      </c>
      <c r="L84" s="10">
        <v>0.01</v>
      </c>
      <c r="M84" s="10">
        <v>0.01</v>
      </c>
      <c r="N84" s="10">
        <v>0.01</v>
      </c>
      <c r="O84" s="10">
        <v>0.01</v>
      </c>
      <c r="P84" s="10">
        <v>0.01</v>
      </c>
      <c r="Q84" s="10">
        <v>0.01</v>
      </c>
      <c r="R84" s="10">
        <v>0.01</v>
      </c>
      <c r="S84" s="10">
        <v>0.01</v>
      </c>
      <c r="T84" s="10">
        <v>0.01</v>
      </c>
      <c r="U84" s="10">
        <v>0.01</v>
      </c>
    </row>
    <row r="86" spans="3:21" x14ac:dyDescent="0.25">
      <c r="C86" t="s">
        <v>151</v>
      </c>
      <c r="L86" s="7">
        <v>-4</v>
      </c>
      <c r="M86" s="7">
        <v>-4</v>
      </c>
      <c r="N86" s="7">
        <v>-4</v>
      </c>
      <c r="O86" s="7">
        <v>-4</v>
      </c>
      <c r="P86" s="7">
        <v>-4</v>
      </c>
      <c r="Q86" s="7">
        <v>-4</v>
      </c>
      <c r="R86" s="7">
        <v>-4</v>
      </c>
      <c r="S86" s="7">
        <v>-4</v>
      </c>
      <c r="T86" s="7">
        <v>-4</v>
      </c>
      <c r="U86" s="7">
        <v>-4</v>
      </c>
    </row>
    <row r="87" spans="3:21" x14ac:dyDescent="0.25">
      <c r="C87" t="s">
        <v>152</v>
      </c>
    </row>
    <row r="89" spans="3:21" x14ac:dyDescent="0.25">
      <c r="C89" t="s">
        <v>153</v>
      </c>
      <c r="L89">
        <v>228</v>
      </c>
      <c r="M89">
        <v>228</v>
      </c>
      <c r="N89">
        <v>228</v>
      </c>
      <c r="O89">
        <v>228</v>
      </c>
      <c r="P89">
        <v>228</v>
      </c>
      <c r="Q89">
        <v>228</v>
      </c>
      <c r="R89">
        <v>228</v>
      </c>
      <c r="S89">
        <v>228</v>
      </c>
      <c r="T89">
        <v>228</v>
      </c>
      <c r="U89">
        <v>228</v>
      </c>
    </row>
    <row r="93" spans="3:21" x14ac:dyDescent="0.25">
      <c r="C93" t="s">
        <v>154</v>
      </c>
      <c r="I93" s="7">
        <v>-37</v>
      </c>
      <c r="J93" s="7">
        <v>-25</v>
      </c>
      <c r="K93" s="7">
        <v>-25</v>
      </c>
      <c r="L93" s="7">
        <f>+-L74</f>
        <v>-57.818243207576835</v>
      </c>
      <c r="M93" s="7">
        <f t="shared" ref="M93:U93" si="43">+-M74</f>
        <v>-47.568871265938363</v>
      </c>
      <c r="N93" s="7">
        <f t="shared" si="43"/>
        <v>-54.224907932638374</v>
      </c>
      <c r="O93" s="7">
        <f t="shared" si="43"/>
        <v>-67.217921555504901</v>
      </c>
      <c r="P93" s="7">
        <f t="shared" si="43"/>
        <v>-69.314601275872576</v>
      </c>
      <c r="Q93" s="7">
        <f t="shared" si="43"/>
        <v>-77.747715591085679</v>
      </c>
      <c r="R93" s="7">
        <f t="shared" si="43"/>
        <v>-86.735686933145757</v>
      </c>
      <c r="S93" s="7">
        <f t="shared" si="43"/>
        <v>-93.419958716294815</v>
      </c>
      <c r="T93" s="7">
        <f t="shared" si="43"/>
        <v>-102.12351407988413</v>
      </c>
      <c r="U93" s="7">
        <f t="shared" si="43"/>
        <v>-110.68343926683966</v>
      </c>
    </row>
    <row r="94" spans="3:21" x14ac:dyDescent="0.25">
      <c r="C94" t="s">
        <v>150</v>
      </c>
    </row>
    <row r="96" spans="3:21" x14ac:dyDescent="0.25">
      <c r="C96" t="s">
        <v>156</v>
      </c>
      <c r="L96" s="7">
        <f>+L79+L83+L86+L89+L93</f>
        <v>2272.9044773950122</v>
      </c>
      <c r="M96" s="7">
        <f t="shared" ref="M96:U96" si="44">+M79+M83+M86+M89+M93</f>
        <v>2577.16947309836</v>
      </c>
      <c r="N96" s="7">
        <f t="shared" si="44"/>
        <v>2891.5010999241395</v>
      </c>
      <c r="O96" s="7">
        <f t="shared" si="44"/>
        <v>3226.4831056050257</v>
      </c>
      <c r="P96" s="7">
        <f t="shared" si="44"/>
        <v>3598.8959243036134</v>
      </c>
      <c r="Q96" s="7">
        <f t="shared" si="44"/>
        <v>3990.5314614058107</v>
      </c>
      <c r="R96" s="7">
        <f t="shared" si="44"/>
        <v>4405.6269270403209</v>
      </c>
      <c r="S96" s="7">
        <f t="shared" si="44"/>
        <v>4844.8912193649148</v>
      </c>
      <c r="T96" s="7">
        <f t="shared" si="44"/>
        <v>5301.2231246797473</v>
      </c>
      <c r="U96" s="7">
        <f t="shared" si="44"/>
        <v>5773.3708877646823</v>
      </c>
    </row>
    <row r="97" spans="3:21" x14ac:dyDescent="0.25">
      <c r="C97" t="s">
        <v>157</v>
      </c>
      <c r="M97" s="9">
        <f>+M96/L96-1</f>
        <v>0.13386616055773159</v>
      </c>
      <c r="N97" s="9">
        <f t="shared" ref="N97:U97" si="45">+N96/M96-1</f>
        <v>0.12196777515290047</v>
      </c>
      <c r="O97" s="9">
        <f t="shared" si="45"/>
        <v>0.11585055447140413</v>
      </c>
      <c r="P97" s="9">
        <f t="shared" si="45"/>
        <v>0.11542376219222539</v>
      </c>
      <c r="Q97" s="9">
        <f t="shared" si="45"/>
        <v>0.10882102326367749</v>
      </c>
      <c r="R97" s="9">
        <f t="shared" si="45"/>
        <v>0.10402009598197171</v>
      </c>
      <c r="S97" s="9">
        <f t="shared" si="45"/>
        <v>9.9705285898933349E-2</v>
      </c>
      <c r="T97" s="9">
        <f t="shared" si="45"/>
        <v>9.4188266496239237E-2</v>
      </c>
      <c r="U97" s="9">
        <f t="shared" si="45"/>
        <v>8.9063929583883983E-2</v>
      </c>
    </row>
    <row r="99" spans="3:21" x14ac:dyDescent="0.25">
      <c r="C99" t="s">
        <v>158</v>
      </c>
      <c r="L99">
        <v>1</v>
      </c>
      <c r="M99">
        <v>2</v>
      </c>
      <c r="N99">
        <v>3</v>
      </c>
      <c r="O99">
        <v>4</v>
      </c>
      <c r="P99">
        <v>5</v>
      </c>
      <c r="Q99">
        <v>6</v>
      </c>
      <c r="R99">
        <v>7</v>
      </c>
      <c r="S99">
        <v>8</v>
      </c>
      <c r="T99">
        <v>9</v>
      </c>
      <c r="U99">
        <v>10</v>
      </c>
    </row>
    <row r="100" spans="3:21" x14ac:dyDescent="0.25">
      <c r="C100" t="s">
        <v>159</v>
      </c>
      <c r="L100" s="7">
        <f>+L96/(1+wacc)^L99</f>
        <v>2031.1925624620305</v>
      </c>
      <c r="M100" s="7">
        <f>+M96/(1+wacc)^M99</f>
        <v>2058.1774013871695</v>
      </c>
      <c r="N100" s="7">
        <f>+N96/(1+wacc)^N99</f>
        <v>2063.6360320860954</v>
      </c>
      <c r="O100" s="7">
        <f>+O96/(1+wacc)^O99</f>
        <v>2057.8278915374781</v>
      </c>
      <c r="P100" s="7">
        <f>+P96/(1+wacc)^P99</f>
        <v>2051.251232102617</v>
      </c>
      <c r="Q100" s="7">
        <f>+Q96/(1+wacc)^Q99</f>
        <v>2032.5920376683671</v>
      </c>
      <c r="R100" s="7">
        <f>+R96/(1+wacc)^R99</f>
        <v>2005.3819986763378</v>
      </c>
      <c r="S100" s="7">
        <f>+S96/(1+wacc)^S99</f>
        <v>1970.8035604923471</v>
      </c>
      <c r="T100" s="7">
        <f>+T96/(1+wacc)^T99</f>
        <v>1927.1046751204087</v>
      </c>
      <c r="U100" s="7">
        <f>+U96/(1+wacc)^U99</f>
        <v>1875.5497678338754</v>
      </c>
    </row>
    <row r="101" spans="3:21" x14ac:dyDescent="0.25">
      <c r="C101" t="s">
        <v>161</v>
      </c>
      <c r="U101" s="7">
        <f>+SUM(L100:U100)</f>
        <v>20073.517159366726</v>
      </c>
    </row>
    <row r="102" spans="3:21" x14ac:dyDescent="0.25">
      <c r="C102" t="s">
        <v>162</v>
      </c>
      <c r="U102" s="7">
        <f>+U100*(1+tgr)/(wacc-tgr)</f>
        <v>19323.846092833872</v>
      </c>
    </row>
    <row r="103" spans="3:21" x14ac:dyDescent="0.25">
      <c r="C103" t="s">
        <v>163</v>
      </c>
      <c r="U103" s="7">
        <f>+U101+U102</f>
        <v>39397.363252200594</v>
      </c>
    </row>
    <row r="105" spans="3:21" x14ac:dyDescent="0.25">
      <c r="C105" s="41" t="s">
        <v>164</v>
      </c>
      <c r="U105" s="7">
        <f>+is!G90</f>
        <v>7378</v>
      </c>
    </row>
    <row r="106" spans="3:21" x14ac:dyDescent="0.25">
      <c r="C106" s="41" t="s">
        <v>165</v>
      </c>
      <c r="U106" s="7">
        <f>-+is!G112</f>
        <v>-1987</v>
      </c>
    </row>
    <row r="108" spans="3:21" x14ac:dyDescent="0.25">
      <c r="C108" t="s">
        <v>166</v>
      </c>
      <c r="U108" s="42">
        <f>+U103+U105+U106</f>
        <v>44788.363252200594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BDE6-520E-4E19-AE92-82030171FA2A}">
  <dimension ref="B2:O131"/>
  <sheetViews>
    <sheetView topLeftCell="A91" zoomScale="80" zoomScaleNormal="80" workbookViewId="0">
      <selection activeCell="I35" sqref="I35"/>
    </sheetView>
  </sheetViews>
  <sheetFormatPr defaultRowHeight="15" x14ac:dyDescent="0.25"/>
  <cols>
    <col min="1" max="1" width="2.7109375" customWidth="1"/>
    <col min="2" max="2" width="73.5703125" customWidth="1"/>
    <col min="3" max="4" width="9.7109375" bestFit="1" customWidth="1"/>
  </cols>
  <sheetData>
    <row r="2" spans="2:7" x14ac:dyDescent="0.25">
      <c r="B2" s="11" t="s">
        <v>49</v>
      </c>
    </row>
    <row r="3" spans="2:7" x14ac:dyDescent="0.25">
      <c r="C3">
        <f t="shared" ref="C3:E3" si="0">+D3-1</f>
        <v>2018</v>
      </c>
      <c r="D3">
        <f t="shared" si="0"/>
        <v>2019</v>
      </c>
      <c r="E3">
        <f t="shared" si="0"/>
        <v>2020</v>
      </c>
      <c r="F3">
        <f>+G3-1</f>
        <v>2021</v>
      </c>
      <c r="G3">
        <v>2022</v>
      </c>
    </row>
    <row r="4" spans="2:7" x14ac:dyDescent="0.25">
      <c r="B4" t="s">
        <v>29</v>
      </c>
      <c r="C4" s="7">
        <v>3651.9850000000001</v>
      </c>
      <c r="D4" s="7">
        <v>4805.2389999999996</v>
      </c>
      <c r="E4" s="7">
        <v>3378</v>
      </c>
      <c r="F4" s="7">
        <v>5992</v>
      </c>
      <c r="G4" s="7">
        <v>8399</v>
      </c>
    </row>
    <row r="5" spans="2:7" x14ac:dyDescent="0.25">
      <c r="B5" t="s">
        <v>30</v>
      </c>
      <c r="C5" s="7"/>
      <c r="D5" s="7"/>
      <c r="E5" s="7"/>
      <c r="F5" s="7"/>
      <c r="G5" s="7"/>
    </row>
    <row r="6" spans="2:7" x14ac:dyDescent="0.25">
      <c r="B6" t="s">
        <v>31</v>
      </c>
      <c r="C6" s="7">
        <v>864.03200000000004</v>
      </c>
      <c r="D6" s="7">
        <v>1196.3130000000001</v>
      </c>
      <c r="E6" s="7">
        <v>876</v>
      </c>
      <c r="F6" s="7">
        <v>1156</v>
      </c>
      <c r="G6" s="7">
        <v>1499</v>
      </c>
    </row>
    <row r="7" spans="2:7" x14ac:dyDescent="0.25">
      <c r="B7" t="s">
        <v>52</v>
      </c>
      <c r="C7" s="7">
        <v>82.400999999999996</v>
      </c>
      <c r="D7" s="7">
        <v>114.16200000000001</v>
      </c>
      <c r="E7" s="7">
        <v>126</v>
      </c>
      <c r="F7" s="7">
        <v>138</v>
      </c>
      <c r="G7" s="7">
        <v>81</v>
      </c>
    </row>
    <row r="8" spans="2:7" x14ac:dyDescent="0.25">
      <c r="B8" t="s">
        <v>32</v>
      </c>
      <c r="C8" s="7">
        <v>527</v>
      </c>
      <c r="D8" s="7">
        <v>701</v>
      </c>
      <c r="E8" s="7">
        <v>752</v>
      </c>
      <c r="F8" s="7">
        <v>709</v>
      </c>
      <c r="G8" s="7">
        <v>960</v>
      </c>
    </row>
    <row r="9" spans="2:7" x14ac:dyDescent="0.25">
      <c r="B9" t="s">
        <v>33</v>
      </c>
      <c r="C9" s="7">
        <v>579.19299999999998</v>
      </c>
      <c r="D9" s="7">
        <v>976.69500000000005</v>
      </c>
      <c r="E9" s="7">
        <v>2753</v>
      </c>
      <c r="F9" s="7">
        <v>1425</v>
      </c>
      <c r="G9" s="7">
        <v>1502</v>
      </c>
    </row>
    <row r="10" spans="2:7" x14ac:dyDescent="0.25">
      <c r="B10" t="s">
        <v>34</v>
      </c>
      <c r="C10" s="7">
        <v>1101.327</v>
      </c>
      <c r="D10" s="7">
        <v>1621.519</v>
      </c>
      <c r="E10" s="7">
        <v>1175</v>
      </c>
      <c r="F10" s="7">
        <v>1186</v>
      </c>
      <c r="G10" s="7">
        <v>1516</v>
      </c>
    </row>
    <row r="11" spans="2:7" x14ac:dyDescent="0.25">
      <c r="B11" t="s">
        <v>35</v>
      </c>
      <c r="C11" s="7">
        <v>479.48700000000002</v>
      </c>
      <c r="D11" s="7">
        <v>697.18100000000004</v>
      </c>
      <c r="E11" s="7">
        <v>1135</v>
      </c>
      <c r="F11" s="7">
        <v>836</v>
      </c>
      <c r="G11" s="7">
        <v>950</v>
      </c>
    </row>
    <row r="12" spans="2:7" x14ac:dyDescent="0.25">
      <c r="B12" t="s">
        <v>36</v>
      </c>
      <c r="C12" s="7">
        <v>0</v>
      </c>
      <c r="D12" s="7">
        <v>0</v>
      </c>
      <c r="E12" s="7">
        <v>151</v>
      </c>
      <c r="F12" s="7">
        <v>113</v>
      </c>
      <c r="G12" s="7">
        <v>89</v>
      </c>
    </row>
    <row r="13" spans="2:7" x14ac:dyDescent="0.25">
      <c r="B13" t="s">
        <v>46</v>
      </c>
      <c r="C13" s="7">
        <f t="shared" ref="C13:F13" si="1">SUM(C6:C12)</f>
        <v>3633.4400000000005</v>
      </c>
      <c r="D13" s="7">
        <f t="shared" ref="D13" si="2">SUM(D6:D12)</f>
        <v>5306.8700000000008</v>
      </c>
      <c r="E13" s="7">
        <f t="shared" si="1"/>
        <v>6968</v>
      </c>
      <c r="F13" s="7">
        <f t="shared" si="1"/>
        <v>5563</v>
      </c>
      <c r="G13" s="7">
        <f>SUM(G6:G12)</f>
        <v>6597</v>
      </c>
    </row>
    <row r="14" spans="2:7" x14ac:dyDescent="0.25">
      <c r="B14" t="s">
        <v>37</v>
      </c>
      <c r="C14" s="7">
        <f>+C4-C13</f>
        <v>18.544999999999618</v>
      </c>
      <c r="D14" s="7">
        <f>+D4-D13</f>
        <v>-501.63100000000122</v>
      </c>
      <c r="E14" s="7">
        <f>+E4-E13</f>
        <v>-3590</v>
      </c>
      <c r="F14" s="7">
        <f>+F4-F13</f>
        <v>429</v>
      </c>
      <c r="G14" s="7">
        <f>+G4-G13</f>
        <v>1802</v>
      </c>
    </row>
    <row r="15" spans="2:7" x14ac:dyDescent="0.25">
      <c r="B15" t="s">
        <v>38</v>
      </c>
      <c r="C15" s="7">
        <v>66.793000000000006</v>
      </c>
      <c r="D15" s="7">
        <v>85.902000000000001</v>
      </c>
      <c r="E15" s="7">
        <v>27</v>
      </c>
      <c r="F15" s="7">
        <v>13</v>
      </c>
      <c r="G15" s="7">
        <v>186</v>
      </c>
    </row>
    <row r="16" spans="2:7" x14ac:dyDescent="0.25">
      <c r="B16" t="s">
        <v>39</v>
      </c>
      <c r="C16" s="7">
        <v>-26.143000000000001</v>
      </c>
      <c r="D16" s="7">
        <v>-9.968</v>
      </c>
      <c r="E16" s="7">
        <v>-172</v>
      </c>
      <c r="F16" s="7">
        <v>-438</v>
      </c>
      <c r="G16" s="7">
        <v>-24</v>
      </c>
    </row>
    <row r="17" spans="2:7" x14ac:dyDescent="0.25">
      <c r="B17" t="s">
        <v>40</v>
      </c>
      <c r="C17" s="7">
        <v>-12.361000000000001</v>
      </c>
      <c r="D17" s="7">
        <v>13.906000000000001</v>
      </c>
      <c r="E17" s="7">
        <v>-947</v>
      </c>
      <c r="F17" s="7">
        <v>-304</v>
      </c>
      <c r="G17" s="7">
        <v>25</v>
      </c>
    </row>
    <row r="18" spans="2:7" x14ac:dyDescent="0.25">
      <c r="B18" t="s">
        <v>41</v>
      </c>
      <c r="C18" s="7">
        <f t="shared" ref="C18:F18" si="3">SUM(C14:C17)</f>
        <v>46.833999999999619</v>
      </c>
      <c r="D18" s="7">
        <f t="shared" si="3"/>
        <v>-411.79100000000125</v>
      </c>
      <c r="E18" s="7">
        <f t="shared" si="3"/>
        <v>-4682</v>
      </c>
      <c r="F18" s="7">
        <f t="shared" si="3"/>
        <v>-300</v>
      </c>
      <c r="G18" s="7">
        <f>SUM(G14:G17)</f>
        <v>1989</v>
      </c>
    </row>
    <row r="19" spans="2:7" x14ac:dyDescent="0.25">
      <c r="B19" t="s">
        <v>43</v>
      </c>
      <c r="C19" s="7">
        <v>-63.893000000000001</v>
      </c>
      <c r="D19" s="7">
        <v>-262.63600000000002</v>
      </c>
      <c r="E19" s="7">
        <v>97</v>
      </c>
      <c r="F19" s="7">
        <v>-52</v>
      </c>
      <c r="G19" s="7">
        <v>-96</v>
      </c>
    </row>
    <row r="20" spans="2:7" x14ac:dyDescent="0.25">
      <c r="B20" t="s">
        <v>42</v>
      </c>
      <c r="C20" s="7">
        <f t="shared" ref="C20:F20" si="4">SUM(C18:C19)</f>
        <v>-17.059000000000381</v>
      </c>
      <c r="D20" s="7">
        <f t="shared" si="4"/>
        <v>-674.42700000000127</v>
      </c>
      <c r="E20" s="7">
        <f t="shared" si="4"/>
        <v>-4585</v>
      </c>
      <c r="F20" s="7">
        <f t="shared" si="4"/>
        <v>-352</v>
      </c>
      <c r="G20" s="7">
        <f>SUM(G18:G19)</f>
        <v>1893</v>
      </c>
    </row>
    <row r="22" spans="2:7" x14ac:dyDescent="0.25">
      <c r="B22" s="12" t="s">
        <v>44</v>
      </c>
      <c r="C22" s="25"/>
      <c r="D22" s="26">
        <f>+D4/C4-1</f>
        <v>0.31578826309527552</v>
      </c>
      <c r="E22" s="26">
        <f t="shared" ref="E22:G22" si="5">+E4/D4-1</f>
        <v>-0.29701727635191499</v>
      </c>
      <c r="F22" s="26">
        <f t="shared" si="5"/>
        <v>0.77383066903493192</v>
      </c>
      <c r="G22" s="27">
        <f t="shared" si="5"/>
        <v>0.401702269692924</v>
      </c>
    </row>
    <row r="23" spans="2:7" x14ac:dyDescent="0.25">
      <c r="B23" s="15" t="s">
        <v>45</v>
      </c>
      <c r="C23" s="18">
        <f>+(C4-C6)/C4</f>
        <v>0.76340757149878757</v>
      </c>
      <c r="D23" s="18">
        <f t="shared" ref="D23:G23" si="6">+(D4-D6)/D4</f>
        <v>0.75103985462533696</v>
      </c>
      <c r="E23" s="18">
        <f t="shared" si="6"/>
        <v>0.74067495559502661</v>
      </c>
      <c r="F23" s="18">
        <f t="shared" si="6"/>
        <v>0.80707610146862485</v>
      </c>
      <c r="G23" s="19">
        <f t="shared" si="6"/>
        <v>0.82152637218716518</v>
      </c>
    </row>
    <row r="24" spans="2:7" x14ac:dyDescent="0.25">
      <c r="B24" s="15" t="s">
        <v>135</v>
      </c>
      <c r="C24" s="18">
        <f>+(C14+C7)/C4</f>
        <v>2.7641405975106583E-2</v>
      </c>
      <c r="D24" s="18">
        <f t="shared" ref="D24:G24" si="7">+(D14+D7)/D4</f>
        <v>-8.0634698919242354E-2</v>
      </c>
      <c r="E24" s="18">
        <f t="shared" si="7"/>
        <v>-1.0254588513913558</v>
      </c>
      <c r="F24" s="18">
        <f t="shared" si="7"/>
        <v>9.4626168224299062E-2</v>
      </c>
      <c r="G24" s="19">
        <f t="shared" si="7"/>
        <v>0.22419335635194665</v>
      </c>
    </row>
    <row r="25" spans="2:7" x14ac:dyDescent="0.25">
      <c r="B25" s="15" t="s">
        <v>47</v>
      </c>
      <c r="C25" s="18">
        <f>+C14/C4</f>
        <v>5.0780602877612087E-3</v>
      </c>
      <c r="D25" s="18">
        <f t="shared" ref="D25:G25" si="8">+D14/D4</f>
        <v>-0.10439251824935269</v>
      </c>
      <c r="E25" s="18">
        <f t="shared" si="8"/>
        <v>-1.0627590290112492</v>
      </c>
      <c r="F25" s="18">
        <f t="shared" si="8"/>
        <v>7.1595460614152201E-2</v>
      </c>
      <c r="G25" s="19">
        <f t="shared" si="8"/>
        <v>0.21454935111322776</v>
      </c>
    </row>
    <row r="26" spans="2:7" x14ac:dyDescent="0.25">
      <c r="B26" s="6" t="s">
        <v>48</v>
      </c>
      <c r="C26" s="28">
        <f>+C20/C4</f>
        <v>-4.6711582878901144E-3</v>
      </c>
      <c r="D26" s="23">
        <f t="shared" ref="D26:G26" si="9">+D20/D4</f>
        <v>-0.14035243616394549</v>
      </c>
      <c r="E26" s="23">
        <f t="shared" si="9"/>
        <v>-1.3573120189461219</v>
      </c>
      <c r="F26" s="23">
        <f t="shared" si="9"/>
        <v>-5.8744993324432573E-2</v>
      </c>
      <c r="G26" s="24">
        <f t="shared" si="9"/>
        <v>0.22538397428265269</v>
      </c>
    </row>
    <row r="27" spans="2:7" x14ac:dyDescent="0.25">
      <c r="B27" s="39" t="s">
        <v>6</v>
      </c>
      <c r="C27" s="9">
        <f>+C19/C18</f>
        <v>-1.3642439253533869</v>
      </c>
    </row>
    <row r="29" spans="2:7" x14ac:dyDescent="0.25">
      <c r="B29" s="11" t="s">
        <v>50</v>
      </c>
    </row>
    <row r="30" spans="2:7" x14ac:dyDescent="0.25">
      <c r="C30">
        <f t="shared" ref="C30:E30" si="10">+D30-1</f>
        <v>2018</v>
      </c>
      <c r="D30">
        <f t="shared" si="10"/>
        <v>2019</v>
      </c>
      <c r="E30">
        <f t="shared" si="10"/>
        <v>2020</v>
      </c>
      <c r="F30">
        <f>+G30-1</f>
        <v>2021</v>
      </c>
      <c r="G30">
        <v>2022</v>
      </c>
    </row>
    <row r="31" spans="2:7" x14ac:dyDescent="0.25">
      <c r="B31" t="s">
        <v>51</v>
      </c>
      <c r="C31" s="7">
        <v>-16.86</v>
      </c>
      <c r="D31" s="7">
        <v>-674.33900000000006</v>
      </c>
      <c r="E31" s="7">
        <v>-4585</v>
      </c>
      <c r="F31" s="7">
        <v>-352</v>
      </c>
      <c r="G31" s="7">
        <v>1893</v>
      </c>
    </row>
    <row r="32" spans="2:7" x14ac:dyDescent="0.25">
      <c r="B32" t="s">
        <v>52</v>
      </c>
      <c r="C32" s="7">
        <v>82.400999999999996</v>
      </c>
      <c r="D32" s="7">
        <v>114.16200000000001</v>
      </c>
      <c r="E32" s="7">
        <v>126</v>
      </c>
      <c r="F32" s="7">
        <v>138</v>
      </c>
      <c r="G32" s="7">
        <v>81</v>
      </c>
    </row>
    <row r="33" spans="2:15" x14ac:dyDescent="0.25">
      <c r="B33" t="s">
        <v>53</v>
      </c>
      <c r="C33" s="7">
        <v>49.027999999999999</v>
      </c>
      <c r="D33" s="7">
        <v>77.052999999999997</v>
      </c>
      <c r="E33" s="7">
        <v>108</v>
      </c>
      <c r="F33" s="7">
        <v>27</v>
      </c>
      <c r="G33" s="7">
        <v>49</v>
      </c>
    </row>
    <row r="34" spans="2:15" x14ac:dyDescent="0.25">
      <c r="B34" t="s">
        <v>54</v>
      </c>
      <c r="C34" s="7">
        <v>53.893000000000001</v>
      </c>
      <c r="D34" s="7">
        <v>97.546999999999997</v>
      </c>
      <c r="E34" s="7">
        <v>3003</v>
      </c>
      <c r="F34" s="7">
        <v>899</v>
      </c>
      <c r="G34" s="7">
        <v>930</v>
      </c>
    </row>
    <row r="35" spans="2:15" x14ac:dyDescent="0.25">
      <c r="B35" t="s">
        <v>55</v>
      </c>
      <c r="C35" s="7">
        <v>-5.0170000000000003</v>
      </c>
      <c r="D35" s="7">
        <v>-5.6269999999999998</v>
      </c>
      <c r="E35" s="7">
        <v>-20</v>
      </c>
      <c r="F35" s="7">
        <v>11</v>
      </c>
      <c r="G35" s="7">
        <v>-1</v>
      </c>
      <c r="I35" s="7">
        <f>+AVERAGE(C35:G35)</f>
        <v>-4.1288</v>
      </c>
    </row>
    <row r="36" spans="2:15" x14ac:dyDescent="0.25">
      <c r="B36" t="s">
        <v>56</v>
      </c>
      <c r="C36" s="7">
        <v>0</v>
      </c>
      <c r="D36" s="7">
        <v>27.751000000000001</v>
      </c>
      <c r="E36" s="7">
        <v>82</v>
      </c>
      <c r="F36" s="7">
        <v>3</v>
      </c>
      <c r="G36" s="7">
        <v>0</v>
      </c>
    </row>
    <row r="37" spans="2:15" x14ac:dyDescent="0.25">
      <c r="B37" t="s">
        <v>57</v>
      </c>
      <c r="C37" s="7">
        <v>0</v>
      </c>
      <c r="D37" s="7">
        <v>-38.472000000000001</v>
      </c>
      <c r="E37" s="7">
        <v>31</v>
      </c>
      <c r="F37" s="7">
        <v>-8</v>
      </c>
      <c r="G37" s="7">
        <v>-2</v>
      </c>
    </row>
    <row r="38" spans="2:15" x14ac:dyDescent="0.25">
      <c r="B38" t="s">
        <v>58</v>
      </c>
      <c r="C38" s="7">
        <v>3.4729999999999999</v>
      </c>
      <c r="D38" s="7">
        <v>-0.28599999999999998</v>
      </c>
      <c r="E38" s="7">
        <v>869</v>
      </c>
      <c r="F38" s="7">
        <v>292</v>
      </c>
      <c r="G38" s="7" t="s">
        <v>77</v>
      </c>
    </row>
    <row r="39" spans="2:15" x14ac:dyDescent="0.25">
      <c r="B39" t="s">
        <v>59</v>
      </c>
      <c r="C39" s="7">
        <v>0</v>
      </c>
      <c r="D39" s="7">
        <v>0</v>
      </c>
      <c r="E39" s="7">
        <v>-53</v>
      </c>
      <c r="F39" s="7">
        <v>24</v>
      </c>
      <c r="G39" s="7">
        <v>62</v>
      </c>
    </row>
    <row r="40" spans="2:15" x14ac:dyDescent="0.25">
      <c r="B40" t="s">
        <v>60</v>
      </c>
      <c r="C40" s="7">
        <v>-6.3579999999999997</v>
      </c>
      <c r="D40" s="7">
        <v>4.1529999999999996</v>
      </c>
      <c r="E40" s="7">
        <v>36</v>
      </c>
      <c r="F40" s="7">
        <v>113</v>
      </c>
      <c r="G40" s="7">
        <v>91</v>
      </c>
    </row>
    <row r="41" spans="2:15" x14ac:dyDescent="0.25">
      <c r="B41" t="s">
        <v>61</v>
      </c>
      <c r="C41" s="7">
        <v>5.9640000000000004</v>
      </c>
      <c r="D41" s="7">
        <v>2.927</v>
      </c>
      <c r="E41" s="7">
        <v>0</v>
      </c>
      <c r="F41" s="7">
        <v>377</v>
      </c>
      <c r="G41" s="7" t="s">
        <v>77</v>
      </c>
    </row>
    <row r="42" spans="2:15" x14ac:dyDescent="0.25">
      <c r="C42" s="7">
        <v>0</v>
      </c>
      <c r="D42" s="7"/>
      <c r="E42" s="7"/>
      <c r="F42" s="7"/>
      <c r="G42" s="7"/>
    </row>
    <row r="43" spans="2:15" x14ac:dyDescent="0.25">
      <c r="B43" t="s">
        <v>62</v>
      </c>
      <c r="C43" s="7">
        <v>8.0039999999999996</v>
      </c>
      <c r="D43" s="7">
        <v>-2.524</v>
      </c>
      <c r="E43" s="7">
        <v>58</v>
      </c>
      <c r="F43" s="7">
        <v>28</v>
      </c>
      <c r="G43" s="7">
        <v>8</v>
      </c>
      <c r="J43" s="7"/>
      <c r="K43" s="7"/>
      <c r="L43" s="7"/>
    </row>
    <row r="44" spans="2:15" x14ac:dyDescent="0.25">
      <c r="B44" t="s">
        <v>63</v>
      </c>
      <c r="C44" s="7">
        <v>-102.80800000000001</v>
      </c>
      <c r="D44" s="7">
        <v>-186.44499999999999</v>
      </c>
      <c r="E44" s="7">
        <v>-4</v>
      </c>
      <c r="F44" s="7">
        <v>-54</v>
      </c>
      <c r="G44" s="7">
        <v>-226</v>
      </c>
    </row>
    <row r="45" spans="2:15" x14ac:dyDescent="0.25">
      <c r="B45" t="s">
        <v>64</v>
      </c>
      <c r="C45" s="7">
        <v>0</v>
      </c>
      <c r="D45" s="7">
        <v>49.125999999999998</v>
      </c>
      <c r="E45" s="7">
        <v>-33</v>
      </c>
      <c r="F45" s="7">
        <v>25</v>
      </c>
      <c r="G45" s="7">
        <v>41</v>
      </c>
    </row>
    <row r="46" spans="2:15" x14ac:dyDescent="0.25">
      <c r="B46" t="s">
        <v>65</v>
      </c>
      <c r="C46" s="7">
        <v>29.837</v>
      </c>
      <c r="D46" s="7">
        <v>75.715999999999994</v>
      </c>
      <c r="E46" s="7">
        <v>-73</v>
      </c>
      <c r="F46" s="7">
        <v>40</v>
      </c>
      <c r="G46" s="7">
        <v>20</v>
      </c>
      <c r="K46" s="7">
        <f>+SUM(E44:E49)</f>
        <v>-395</v>
      </c>
      <c r="L46" s="7">
        <f t="shared" ref="L46:M46" si="11">+SUM(F44:F49)</f>
        <v>761</v>
      </c>
      <c r="M46" s="7">
        <f t="shared" si="11"/>
        <v>319</v>
      </c>
      <c r="O46" s="7">
        <f>+AVERAGE(K46:M46)</f>
        <v>228.33333333333334</v>
      </c>
    </row>
    <row r="47" spans="2:15" x14ac:dyDescent="0.25">
      <c r="B47" t="s">
        <v>66</v>
      </c>
      <c r="C47" s="7">
        <v>348.10500000000002</v>
      </c>
      <c r="D47" s="7">
        <v>547.654</v>
      </c>
      <c r="E47" s="7">
        <v>-79</v>
      </c>
      <c r="F47" s="7">
        <v>288</v>
      </c>
      <c r="G47" s="7">
        <v>273</v>
      </c>
    </row>
    <row r="48" spans="2:15" x14ac:dyDescent="0.25">
      <c r="B48" t="s">
        <v>67</v>
      </c>
      <c r="C48" s="7">
        <v>0</v>
      </c>
      <c r="D48" s="7">
        <v>-41.923000000000002</v>
      </c>
      <c r="E48" s="7">
        <v>61</v>
      </c>
      <c r="F48" s="7">
        <v>-34</v>
      </c>
      <c r="G48" s="7">
        <v>-69</v>
      </c>
    </row>
    <row r="49" spans="2:9" x14ac:dyDescent="0.25">
      <c r="B49" t="s">
        <v>68</v>
      </c>
      <c r="C49" s="7">
        <v>145.89500000000001</v>
      </c>
      <c r="D49" s="7">
        <v>176.25399999999999</v>
      </c>
      <c r="E49" s="7">
        <v>-267</v>
      </c>
      <c r="F49" s="7">
        <v>496</v>
      </c>
      <c r="G49" s="7">
        <v>280</v>
      </c>
    </row>
    <row r="50" spans="2:9" x14ac:dyDescent="0.25">
      <c r="B50" s="11" t="s">
        <v>69</v>
      </c>
      <c r="C50" s="7">
        <f t="shared" ref="C50:F50" si="12">SUM(C31:C49)</f>
        <v>595.55700000000002</v>
      </c>
      <c r="D50" s="7">
        <f t="shared" si="12"/>
        <v>222.72700000000006</v>
      </c>
      <c r="E50" s="7">
        <f t="shared" si="12"/>
        <v>-740</v>
      </c>
      <c r="F50" s="7">
        <f t="shared" si="12"/>
        <v>2313</v>
      </c>
      <c r="G50" s="7">
        <f>SUM(G31:G49)</f>
        <v>3430</v>
      </c>
    </row>
    <row r="51" spans="2:9" x14ac:dyDescent="0.25">
      <c r="C51" s="7"/>
      <c r="D51" s="7"/>
      <c r="E51" s="7"/>
      <c r="F51" s="7"/>
      <c r="G51" s="7"/>
    </row>
    <row r="52" spans="2:9" x14ac:dyDescent="0.25">
      <c r="B52" s="11" t="s">
        <v>70</v>
      </c>
      <c r="C52" s="7"/>
      <c r="D52" s="7"/>
      <c r="E52" s="7"/>
      <c r="F52" s="7"/>
      <c r="G52" s="7"/>
    </row>
    <row r="53" spans="2:9" x14ac:dyDescent="0.25">
      <c r="B53" t="s">
        <v>71</v>
      </c>
      <c r="C53" s="7">
        <v>-90.623999999999995</v>
      </c>
      <c r="D53" s="7">
        <v>-125.452</v>
      </c>
      <c r="E53" s="7">
        <v>-37</v>
      </c>
      <c r="F53" s="7">
        <v>-25</v>
      </c>
      <c r="G53" s="7">
        <v>-25</v>
      </c>
      <c r="I53" s="7">
        <f>+AVERAGE(E53:G53)</f>
        <v>-29</v>
      </c>
    </row>
    <row r="54" spans="2:9" x14ac:dyDescent="0.25">
      <c r="B54" t="s">
        <v>72</v>
      </c>
      <c r="C54" s="7">
        <v>-1270.578</v>
      </c>
      <c r="D54" s="7">
        <v>-1016.155</v>
      </c>
      <c r="E54" s="7">
        <v>-3033</v>
      </c>
      <c r="F54" s="7">
        <v>-4938</v>
      </c>
      <c r="G54" s="7">
        <v>-4072</v>
      </c>
    </row>
    <row r="55" spans="2:9" x14ac:dyDescent="0.25">
      <c r="B55" t="s">
        <v>73</v>
      </c>
      <c r="C55" s="7">
        <v>555.16099999999994</v>
      </c>
      <c r="D55" s="7">
        <v>609.43799999999999</v>
      </c>
      <c r="E55" s="7">
        <v>1348</v>
      </c>
      <c r="F55" s="7">
        <v>1584</v>
      </c>
      <c r="G55" s="7">
        <v>909</v>
      </c>
    </row>
    <row r="56" spans="2:9" x14ac:dyDescent="0.25">
      <c r="B56" t="s">
        <v>74</v>
      </c>
      <c r="C56" s="7">
        <v>201.31</v>
      </c>
      <c r="D56" s="7">
        <v>551.64700000000005</v>
      </c>
      <c r="E56" s="7">
        <v>1810</v>
      </c>
      <c r="F56" s="7">
        <v>2027</v>
      </c>
      <c r="G56" s="7">
        <v>3162</v>
      </c>
    </row>
    <row r="57" spans="2:9" x14ac:dyDescent="0.25">
      <c r="B57" t="s">
        <v>78</v>
      </c>
      <c r="C57" s="7">
        <v>-28.85</v>
      </c>
      <c r="D57" s="7">
        <v>-208.18199999999999</v>
      </c>
      <c r="E57" s="7"/>
      <c r="F57" s="7"/>
      <c r="G57" s="7"/>
    </row>
    <row r="58" spans="2:9" x14ac:dyDescent="0.25">
      <c r="B58" t="s">
        <v>79</v>
      </c>
      <c r="C58" s="7">
        <v>-31.3</v>
      </c>
      <c r="D58" s="7">
        <v>-192.11600000000001</v>
      </c>
      <c r="E58" s="7"/>
      <c r="F58" s="7"/>
      <c r="G58" s="7"/>
    </row>
    <row r="59" spans="2:9" x14ac:dyDescent="0.25">
      <c r="B59" t="s">
        <v>75</v>
      </c>
      <c r="C59" s="7">
        <v>-3.29</v>
      </c>
      <c r="D59" s="7">
        <v>33.664999999999999</v>
      </c>
      <c r="E59" s="7">
        <v>-8</v>
      </c>
      <c r="F59" s="7">
        <v>0</v>
      </c>
      <c r="G59" s="7">
        <v>-2</v>
      </c>
    </row>
    <row r="60" spans="2:9" x14ac:dyDescent="0.25">
      <c r="B60" s="11" t="s">
        <v>76</v>
      </c>
      <c r="C60" s="7">
        <f t="shared" ref="C60:F60" si="13">SUM(C53:C59)</f>
        <v>-668.17099999999994</v>
      </c>
      <c r="D60" s="7">
        <f t="shared" si="13"/>
        <v>-347.15499999999992</v>
      </c>
      <c r="E60" s="7">
        <f t="shared" si="13"/>
        <v>80</v>
      </c>
      <c r="F60" s="7">
        <f t="shared" si="13"/>
        <v>-1352</v>
      </c>
      <c r="G60" s="7">
        <f>SUM(G53:G59)</f>
        <v>-28</v>
      </c>
    </row>
    <row r="61" spans="2:9" x14ac:dyDescent="0.25">
      <c r="C61" s="7"/>
      <c r="D61" s="7"/>
      <c r="E61" s="7"/>
      <c r="F61" s="7"/>
      <c r="G61" s="7"/>
    </row>
    <row r="62" spans="2:9" x14ac:dyDescent="0.25">
      <c r="B62" s="11" t="s">
        <v>80</v>
      </c>
      <c r="C62" s="7"/>
      <c r="D62" s="7"/>
      <c r="E62" s="7"/>
      <c r="F62" s="7"/>
      <c r="G62" s="7"/>
    </row>
    <row r="63" spans="2:9" x14ac:dyDescent="0.25">
      <c r="B63" t="s">
        <v>94</v>
      </c>
      <c r="C63" s="7"/>
      <c r="D63" s="7">
        <v>0</v>
      </c>
      <c r="E63" s="7">
        <v>3651</v>
      </c>
      <c r="F63" s="7">
        <v>0</v>
      </c>
      <c r="G63" s="7">
        <v>0</v>
      </c>
    </row>
    <row r="64" spans="2:9" x14ac:dyDescent="0.25">
      <c r="B64" t="s">
        <v>81</v>
      </c>
      <c r="C64" s="7"/>
      <c r="D64" s="7">
        <v>0</v>
      </c>
      <c r="E64" s="7">
        <v>-1527</v>
      </c>
      <c r="F64" s="7">
        <v>-177</v>
      </c>
      <c r="G64" s="7">
        <v>-607</v>
      </c>
    </row>
    <row r="65" spans="2:7" x14ac:dyDescent="0.25">
      <c r="B65" t="s">
        <v>82</v>
      </c>
      <c r="C65" s="7">
        <v>16.042999999999999</v>
      </c>
      <c r="D65" s="7">
        <v>5.8730000000000002</v>
      </c>
      <c r="E65" s="7">
        <v>15</v>
      </c>
      <c r="F65" s="7">
        <v>138</v>
      </c>
      <c r="G65" s="7">
        <v>40</v>
      </c>
    </row>
    <row r="66" spans="2:7" x14ac:dyDescent="0.25">
      <c r="B66" t="s">
        <v>83</v>
      </c>
      <c r="C66" s="7"/>
      <c r="D66" s="7">
        <v>0</v>
      </c>
      <c r="E66" s="7">
        <v>0</v>
      </c>
      <c r="F66" s="7">
        <v>51</v>
      </c>
      <c r="G66" s="7">
        <v>48</v>
      </c>
    </row>
    <row r="67" spans="2:7" x14ac:dyDescent="0.25">
      <c r="B67" t="s">
        <v>84</v>
      </c>
      <c r="C67" s="7"/>
      <c r="D67" s="7"/>
      <c r="E67" s="7">
        <v>0</v>
      </c>
      <c r="F67" s="7">
        <v>0</v>
      </c>
      <c r="G67" s="7">
        <v>-1500</v>
      </c>
    </row>
    <row r="68" spans="2:7" x14ac:dyDescent="0.25">
      <c r="B68" t="s">
        <v>85</v>
      </c>
      <c r="C68" s="7"/>
      <c r="D68" s="7"/>
      <c r="E68" s="7">
        <v>-5</v>
      </c>
      <c r="F68" s="7">
        <v>-1995</v>
      </c>
      <c r="G68" s="7">
        <v>0</v>
      </c>
    </row>
    <row r="69" spans="2:7" x14ac:dyDescent="0.25">
      <c r="B69" t="s">
        <v>86</v>
      </c>
      <c r="C69" s="7"/>
      <c r="D69" s="7"/>
      <c r="E69" s="7">
        <v>0</v>
      </c>
      <c r="F69" s="7">
        <v>-213</v>
      </c>
      <c r="G69" s="7">
        <v>0</v>
      </c>
    </row>
    <row r="70" spans="2:7" x14ac:dyDescent="0.25">
      <c r="B70" t="s">
        <v>87</v>
      </c>
      <c r="C70" s="7"/>
      <c r="D70" s="7"/>
      <c r="E70" s="7">
        <v>1929</v>
      </c>
      <c r="F70" s="7">
        <v>0</v>
      </c>
      <c r="G70" s="7">
        <v>0</v>
      </c>
    </row>
    <row r="71" spans="2:7" x14ac:dyDescent="0.25">
      <c r="B71" t="s">
        <v>88</v>
      </c>
      <c r="C71" s="7"/>
      <c r="D71" s="7"/>
      <c r="E71" s="7">
        <v>0</v>
      </c>
      <c r="F71" s="7">
        <v>1979</v>
      </c>
      <c r="G71" s="7">
        <v>0</v>
      </c>
    </row>
    <row r="72" spans="2:7" x14ac:dyDescent="0.25">
      <c r="B72" t="s">
        <v>89</v>
      </c>
      <c r="C72" s="7"/>
      <c r="D72" s="7"/>
      <c r="E72" s="7">
        <v>0</v>
      </c>
      <c r="F72" s="7">
        <v>-100</v>
      </c>
      <c r="G72" s="7">
        <v>0</v>
      </c>
    </row>
    <row r="73" spans="2:7" x14ac:dyDescent="0.25">
      <c r="B73" t="s">
        <v>90</v>
      </c>
      <c r="C73" s="7">
        <v>117.587</v>
      </c>
      <c r="D73" s="7">
        <v>848.70600000000002</v>
      </c>
      <c r="E73" s="7">
        <v>-1024</v>
      </c>
      <c r="F73" s="7">
        <v>1625</v>
      </c>
      <c r="G73" s="7">
        <v>1330</v>
      </c>
    </row>
    <row r="74" spans="2:7" x14ac:dyDescent="0.25">
      <c r="B74" t="s">
        <v>91</v>
      </c>
      <c r="C74" s="7">
        <v>6.8860000000000001</v>
      </c>
      <c r="D74" s="7">
        <v>0</v>
      </c>
      <c r="E74" s="7">
        <v>12</v>
      </c>
      <c r="F74" s="7">
        <v>0</v>
      </c>
      <c r="G74" s="7">
        <v>0</v>
      </c>
    </row>
    <row r="75" spans="2:7" x14ac:dyDescent="0.25">
      <c r="B75" s="11" t="s">
        <v>92</v>
      </c>
      <c r="C75" s="7">
        <f t="shared" ref="C75" si="14">SUM(C63:C74)</f>
        <v>140.51599999999999</v>
      </c>
      <c r="D75" s="7">
        <f t="shared" ref="D75" si="15">SUM(D63:D74)</f>
        <v>854.57900000000006</v>
      </c>
      <c r="E75" s="7">
        <f t="shared" ref="E75:F75" si="16">SUM(E63:E74)</f>
        <v>3051</v>
      </c>
      <c r="F75" s="7">
        <f t="shared" si="16"/>
        <v>1308</v>
      </c>
      <c r="G75" s="7">
        <f>SUM(G63:G74)</f>
        <v>-689</v>
      </c>
    </row>
    <row r="76" spans="2:7" x14ac:dyDescent="0.25">
      <c r="C76" s="7"/>
      <c r="D76" s="7"/>
      <c r="E76" s="7"/>
      <c r="F76" s="7"/>
      <c r="G76" s="7"/>
    </row>
    <row r="77" spans="2:7" x14ac:dyDescent="0.25">
      <c r="B77" t="s">
        <v>95</v>
      </c>
      <c r="C77" s="7">
        <v>-158.91900000000001</v>
      </c>
      <c r="D77" s="7">
        <v>-25.283999999999999</v>
      </c>
      <c r="E77" s="7">
        <v>134.137</v>
      </c>
      <c r="F77" s="7">
        <v>-210</v>
      </c>
      <c r="G77" s="7">
        <v>-337</v>
      </c>
    </row>
    <row r="78" spans="2:7" x14ac:dyDescent="0.25">
      <c r="B78" s="11" t="s">
        <v>93</v>
      </c>
      <c r="C78" s="7">
        <f t="shared" ref="C78:F78" si="17">+C50+C60+C75+C77</f>
        <v>-91.016999999999939</v>
      </c>
      <c r="D78" s="7">
        <f t="shared" si="17"/>
        <v>704.86700000000019</v>
      </c>
      <c r="E78" s="7">
        <f t="shared" si="17"/>
        <v>2525.1370000000002</v>
      </c>
      <c r="F78" s="7">
        <f t="shared" si="17"/>
        <v>2059</v>
      </c>
      <c r="G78" s="7">
        <f>+G50+G60+G75+G77</f>
        <v>2376</v>
      </c>
    </row>
    <row r="79" spans="2:7" x14ac:dyDescent="0.25">
      <c r="C79" s="7"/>
      <c r="D79" s="7"/>
      <c r="E79" s="7"/>
      <c r="F79" s="7"/>
      <c r="G79" s="7"/>
    </row>
    <row r="80" spans="2:7" x14ac:dyDescent="0.25">
      <c r="C80" s="7"/>
      <c r="D80" s="7"/>
      <c r="E80" s="7"/>
      <c r="F80" s="7"/>
      <c r="G80" s="7"/>
    </row>
    <row r="81" spans="2:7" x14ac:dyDescent="0.25">
      <c r="B81" s="12" t="s">
        <v>97</v>
      </c>
      <c r="C81" s="13">
        <f>+C50+C53</f>
        <v>504.93299999999999</v>
      </c>
      <c r="D81" s="13">
        <f t="shared" ref="D81:G81" si="18">+D50+D53</f>
        <v>97.275000000000063</v>
      </c>
      <c r="E81" s="13">
        <f t="shared" si="18"/>
        <v>-777</v>
      </c>
      <c r="F81" s="13">
        <f t="shared" si="18"/>
        <v>2288</v>
      </c>
      <c r="G81" s="14">
        <f t="shared" si="18"/>
        <v>3405</v>
      </c>
    </row>
    <row r="82" spans="2:7" x14ac:dyDescent="0.25">
      <c r="B82" s="15" t="s">
        <v>98</v>
      </c>
      <c r="C82" s="16"/>
      <c r="D82" s="18">
        <f>+D81/C81-1</f>
        <v>-0.80735067820879192</v>
      </c>
      <c r="E82" s="18">
        <f t="shared" ref="E82:G82" si="19">+E81/D81-1</f>
        <v>-8.98766383962991</v>
      </c>
      <c r="F82" s="18">
        <f t="shared" si="19"/>
        <v>-3.9446589446589448</v>
      </c>
      <c r="G82" s="19">
        <f t="shared" si="19"/>
        <v>0.48819930069930062</v>
      </c>
    </row>
    <row r="83" spans="2:7" x14ac:dyDescent="0.25">
      <c r="B83" s="6" t="s">
        <v>99</v>
      </c>
      <c r="C83" s="23">
        <f>+C81/C4</f>
        <v>0.13826261608412957</v>
      </c>
      <c r="D83" s="23">
        <f t="shared" ref="D83:G83" si="20">+D81/D4</f>
        <v>2.0243530030452195E-2</v>
      </c>
      <c r="E83" s="23">
        <f t="shared" si="20"/>
        <v>-0.23001776198934282</v>
      </c>
      <c r="F83" s="23">
        <f t="shared" si="20"/>
        <v>0.38184245660881178</v>
      </c>
      <c r="G83" s="24">
        <f t="shared" si="20"/>
        <v>0.40540540540540543</v>
      </c>
    </row>
    <row r="84" spans="2:7" x14ac:dyDescent="0.25">
      <c r="C84" s="7"/>
      <c r="D84" s="7"/>
      <c r="E84" s="7"/>
      <c r="F84" s="7"/>
      <c r="G84" s="7"/>
    </row>
    <row r="85" spans="2:7" x14ac:dyDescent="0.25">
      <c r="C85" s="7"/>
      <c r="D85" s="7"/>
      <c r="E85" s="7"/>
      <c r="F85" s="7"/>
      <c r="G85" s="7"/>
    </row>
    <row r="86" spans="2:7" x14ac:dyDescent="0.25">
      <c r="B86" t="s">
        <v>96</v>
      </c>
      <c r="C86" s="7"/>
      <c r="D86" s="7"/>
      <c r="E86" s="7"/>
      <c r="F86" s="7"/>
      <c r="G86" s="7"/>
    </row>
    <row r="87" spans="2:7" x14ac:dyDescent="0.25">
      <c r="C87">
        <f t="shared" ref="C87:E87" si="21">+D87-1</f>
        <v>2018</v>
      </c>
      <c r="D87">
        <f t="shared" si="21"/>
        <v>2019</v>
      </c>
      <c r="E87">
        <f t="shared" si="21"/>
        <v>2020</v>
      </c>
      <c r="F87">
        <f>+G87-1</f>
        <v>2021</v>
      </c>
      <c r="G87">
        <v>2022</v>
      </c>
    </row>
    <row r="88" spans="2:7" x14ac:dyDescent="0.25">
      <c r="B88" t="s">
        <v>100</v>
      </c>
      <c r="C88" s="7"/>
      <c r="D88" s="7"/>
      <c r="E88" s="7"/>
      <c r="F88" s="7"/>
      <c r="G88" s="7"/>
    </row>
    <row r="89" spans="2:7" x14ac:dyDescent="0.25">
      <c r="B89" t="s">
        <v>101</v>
      </c>
      <c r="C89" s="7"/>
      <c r="D89" s="7"/>
      <c r="E89" s="7"/>
      <c r="F89" s="7"/>
      <c r="G89" s="7"/>
    </row>
    <row r="90" spans="2:7" x14ac:dyDescent="0.25">
      <c r="B90" t="s">
        <v>102</v>
      </c>
      <c r="C90" s="7"/>
      <c r="D90" s="7">
        <f>2013.547+0.115</f>
        <v>2013.662</v>
      </c>
      <c r="E90" s="7">
        <f>5480.557+33.846</f>
        <v>5514.4029999999993</v>
      </c>
      <c r="F90" s="7">
        <v>6067</v>
      </c>
      <c r="G90" s="7">
        <v>7378</v>
      </c>
    </row>
    <row r="91" spans="2:7" x14ac:dyDescent="0.25">
      <c r="B91" t="s">
        <v>103</v>
      </c>
      <c r="C91" s="7"/>
      <c r="D91" s="7">
        <v>1060.7260000000001</v>
      </c>
      <c r="E91" s="7">
        <v>910.7</v>
      </c>
      <c r="F91" s="7">
        <v>2255</v>
      </c>
      <c r="G91" s="7">
        <v>2244</v>
      </c>
    </row>
    <row r="92" spans="2:7" x14ac:dyDescent="0.25">
      <c r="B92" t="s">
        <v>106</v>
      </c>
      <c r="C92" s="7"/>
      <c r="D92" s="7">
        <v>3145.4569999999999</v>
      </c>
      <c r="E92" s="7">
        <v>2181.3290000000002</v>
      </c>
      <c r="F92" s="7">
        <v>3715</v>
      </c>
      <c r="G92" s="7">
        <v>4783</v>
      </c>
    </row>
    <row r="93" spans="2:7" x14ac:dyDescent="0.25">
      <c r="B93" t="s">
        <v>104</v>
      </c>
      <c r="C93" s="7"/>
      <c r="D93" s="7">
        <v>129.47399999999999</v>
      </c>
      <c r="E93" s="7">
        <v>189.75299999999999</v>
      </c>
      <c r="F93" s="7">
        <v>143</v>
      </c>
      <c r="G93" s="7">
        <v>200</v>
      </c>
    </row>
    <row r="94" spans="2:7" x14ac:dyDescent="0.25">
      <c r="B94" t="s">
        <v>105</v>
      </c>
      <c r="C94" s="7"/>
      <c r="D94" s="7">
        <v>213</v>
      </c>
      <c r="E94" s="7">
        <v>120</v>
      </c>
      <c r="F94" s="7">
        <v>206</v>
      </c>
      <c r="G94" s="7">
        <v>256</v>
      </c>
    </row>
    <row r="95" spans="2:7" x14ac:dyDescent="0.25">
      <c r="B95" t="s">
        <v>22</v>
      </c>
      <c r="C95" s="7">
        <f t="shared" ref="C95:F95" si="22">SUM(C90:C94)</f>
        <v>0</v>
      </c>
      <c r="D95" s="7">
        <f t="shared" si="22"/>
        <v>6562.3189999999995</v>
      </c>
      <c r="E95" s="7">
        <f t="shared" si="22"/>
        <v>8916.1849999999995</v>
      </c>
      <c r="F95" s="7">
        <f t="shared" si="22"/>
        <v>12386</v>
      </c>
      <c r="G95" s="7">
        <f>SUM(G90:G94)</f>
        <v>14861</v>
      </c>
    </row>
    <row r="96" spans="2:7" x14ac:dyDescent="0.25">
      <c r="B96" t="s">
        <v>107</v>
      </c>
      <c r="C96" s="7"/>
      <c r="D96" s="7">
        <v>301.27300000000002</v>
      </c>
      <c r="E96" s="7">
        <v>270.19400000000002</v>
      </c>
      <c r="F96" s="7">
        <v>157</v>
      </c>
      <c r="G96" s="7">
        <v>121</v>
      </c>
    </row>
    <row r="97" spans="2:7" x14ac:dyDescent="0.25">
      <c r="B97" t="s">
        <v>129</v>
      </c>
      <c r="C97" s="7"/>
      <c r="D97" s="7">
        <v>385.59399999999999</v>
      </c>
      <c r="E97" s="7">
        <v>384.06799999999998</v>
      </c>
      <c r="F97" s="7">
        <v>272</v>
      </c>
      <c r="G97" s="7">
        <v>138</v>
      </c>
    </row>
    <row r="98" spans="2:7" x14ac:dyDescent="0.25">
      <c r="B98" t="s">
        <v>108</v>
      </c>
      <c r="C98" s="7"/>
      <c r="D98" s="7">
        <v>102.91200000000001</v>
      </c>
      <c r="E98" s="7">
        <v>75.885999999999996</v>
      </c>
      <c r="F98" s="7">
        <v>52</v>
      </c>
      <c r="G98" s="7">
        <v>34</v>
      </c>
    </row>
    <row r="99" spans="2:7" x14ac:dyDescent="0.25">
      <c r="B99" t="s">
        <v>109</v>
      </c>
      <c r="C99" s="7"/>
      <c r="D99" s="7">
        <v>652.08799999999997</v>
      </c>
      <c r="E99" s="7">
        <v>655.80100000000004</v>
      </c>
      <c r="F99" s="7">
        <v>653</v>
      </c>
      <c r="G99" s="7">
        <v>650</v>
      </c>
    </row>
    <row r="100" spans="2:7" x14ac:dyDescent="0.25">
      <c r="B100" t="s">
        <v>110</v>
      </c>
      <c r="C100" s="7"/>
      <c r="D100" s="7">
        <v>306.80900000000003</v>
      </c>
      <c r="E100" s="7">
        <v>189.16399999999999</v>
      </c>
      <c r="F100" s="7">
        <v>188</v>
      </c>
      <c r="G100" s="7">
        <v>234</v>
      </c>
    </row>
    <row r="101" spans="2:7" x14ac:dyDescent="0.25">
      <c r="B101" t="s">
        <v>111</v>
      </c>
      <c r="C101" s="7">
        <f ca="1">SUM(C95:C101)</f>
        <v>0</v>
      </c>
      <c r="D101" s="7">
        <f>SUM(D95:D100)</f>
        <v>8310.994999999999</v>
      </c>
      <c r="E101" s="7">
        <f t="shared" ref="E101:G101" si="23">SUM(E95:E100)</f>
        <v>10491.297999999999</v>
      </c>
      <c r="F101" s="7">
        <f t="shared" si="23"/>
        <v>13708</v>
      </c>
      <c r="G101" s="7">
        <f t="shared" si="23"/>
        <v>16038</v>
      </c>
    </row>
    <row r="102" spans="2:7" x14ac:dyDescent="0.25">
      <c r="B102" t="s">
        <v>112</v>
      </c>
    </row>
    <row r="103" spans="2:7" x14ac:dyDescent="0.25">
      <c r="B103" t="s">
        <v>113</v>
      </c>
      <c r="C103" s="7"/>
      <c r="D103" s="7"/>
      <c r="E103" s="7"/>
      <c r="F103" s="7"/>
      <c r="G103" s="7"/>
    </row>
    <row r="104" spans="2:7" x14ac:dyDescent="0.25">
      <c r="B104" t="s">
        <v>114</v>
      </c>
      <c r="C104" s="7"/>
      <c r="D104" s="7">
        <v>151.417</v>
      </c>
      <c r="E104" s="7">
        <v>79.897999999999996</v>
      </c>
      <c r="F104" s="7">
        <v>118</v>
      </c>
      <c r="G104" s="7">
        <v>137</v>
      </c>
    </row>
    <row r="105" spans="2:7" x14ac:dyDescent="0.25">
      <c r="B105" t="s">
        <v>115</v>
      </c>
      <c r="C105" s="7"/>
      <c r="D105" s="7">
        <v>38.021999999999998</v>
      </c>
      <c r="E105" s="7">
        <v>56.585999999999999</v>
      </c>
      <c r="F105" s="7">
        <v>63</v>
      </c>
      <c r="G105" s="7">
        <v>59</v>
      </c>
    </row>
    <row r="106" spans="2:7" x14ac:dyDescent="0.25">
      <c r="B106" t="s">
        <v>116</v>
      </c>
      <c r="C106" s="7"/>
      <c r="D106" s="7">
        <v>1224.08</v>
      </c>
      <c r="E106" s="7">
        <v>2414.0709999999999</v>
      </c>
      <c r="F106" s="7">
        <v>1559</v>
      </c>
      <c r="G106" s="7">
        <v>1817</v>
      </c>
    </row>
    <row r="107" spans="2:7" x14ac:dyDescent="0.25">
      <c r="B107" t="s">
        <v>117</v>
      </c>
      <c r="C107" s="7"/>
      <c r="D107" s="7">
        <v>3145.4569999999999</v>
      </c>
      <c r="E107" s="7">
        <v>2181.3290000000002</v>
      </c>
      <c r="F107" s="7">
        <v>3715</v>
      </c>
      <c r="G107" s="7">
        <v>4783</v>
      </c>
    </row>
    <row r="108" spans="2:7" x14ac:dyDescent="0.25">
      <c r="B108" t="s">
        <v>118</v>
      </c>
      <c r="C108" s="7"/>
      <c r="D108" s="7">
        <v>674.78800000000001</v>
      </c>
      <c r="E108" s="7">
        <v>407.89499999999998</v>
      </c>
      <c r="F108" s="7">
        <v>904</v>
      </c>
      <c r="G108" s="7">
        <v>1182</v>
      </c>
    </row>
    <row r="109" spans="2:7" x14ac:dyDescent="0.25">
      <c r="B109" t="s">
        <v>119</v>
      </c>
      <c r="C109" s="7"/>
      <c r="D109" s="7">
        <f t="shared" ref="D109:F109" si="24">SUM(D104:D108)</f>
        <v>5233.7639999999992</v>
      </c>
      <c r="E109" s="7">
        <f t="shared" si="24"/>
        <v>5139.7790000000005</v>
      </c>
      <c r="F109" s="7">
        <f t="shared" si="24"/>
        <v>6359</v>
      </c>
      <c r="G109" s="7">
        <f>SUM(G104:G108)</f>
        <v>7978</v>
      </c>
    </row>
    <row r="110" spans="2:7" x14ac:dyDescent="0.25">
      <c r="C110" s="7"/>
      <c r="D110" s="7"/>
      <c r="E110" s="7"/>
      <c r="F110" s="7"/>
      <c r="G110" s="7"/>
    </row>
    <row r="111" spans="2:7" x14ac:dyDescent="0.25">
      <c r="C111" s="7"/>
      <c r="D111" s="7"/>
      <c r="E111" s="7"/>
      <c r="F111" s="7"/>
      <c r="G111" s="7"/>
    </row>
    <row r="112" spans="2:7" x14ac:dyDescent="0.25">
      <c r="B112" t="s">
        <v>120</v>
      </c>
      <c r="C112" s="7"/>
      <c r="D112" s="7">
        <v>0</v>
      </c>
      <c r="E112" s="7">
        <v>1815.5619999999999</v>
      </c>
      <c r="F112" s="7">
        <v>1983</v>
      </c>
      <c r="G112" s="7">
        <v>1987</v>
      </c>
    </row>
    <row r="113" spans="2:7" x14ac:dyDescent="0.25">
      <c r="B113" t="s">
        <v>121</v>
      </c>
      <c r="C113" s="7"/>
      <c r="D113" s="7">
        <v>381.37400000000002</v>
      </c>
      <c r="E113" s="7">
        <v>430.90499999999997</v>
      </c>
      <c r="F113" s="7">
        <v>372</v>
      </c>
      <c r="G113" s="7">
        <v>295</v>
      </c>
    </row>
    <row r="114" spans="2:7" x14ac:dyDescent="0.25">
      <c r="B114" t="s">
        <v>62</v>
      </c>
      <c r="C114" s="7"/>
      <c r="D114" s="7">
        <v>271.16399999999999</v>
      </c>
      <c r="E114" s="7">
        <v>203.47</v>
      </c>
      <c r="F114" s="7">
        <v>219</v>
      </c>
      <c r="G114" s="7">
        <v>218</v>
      </c>
    </row>
    <row r="115" spans="2:7" x14ac:dyDescent="0.25">
      <c r="B115" t="s">
        <v>122</v>
      </c>
      <c r="C115" s="7"/>
      <c r="D115" s="7">
        <f t="shared" ref="D115:F115" si="25">SUM(D112:D114)+D109</f>
        <v>5886.3019999999997</v>
      </c>
      <c r="E115" s="7">
        <f t="shared" si="25"/>
        <v>7589.7160000000003</v>
      </c>
      <c r="F115" s="7">
        <f t="shared" si="25"/>
        <v>8933</v>
      </c>
      <c r="G115" s="7">
        <f>SUM(G112:G114)+G109</f>
        <v>10478</v>
      </c>
    </row>
    <row r="116" spans="2:7" x14ac:dyDescent="0.25">
      <c r="B116" t="s">
        <v>123</v>
      </c>
      <c r="C116" s="7"/>
      <c r="D116" s="7"/>
      <c r="E116" s="7"/>
      <c r="F116" s="7"/>
      <c r="G116" s="7"/>
    </row>
    <row r="117" spans="2:7" x14ac:dyDescent="0.25">
      <c r="B117" t="s">
        <v>130</v>
      </c>
      <c r="C117" s="7"/>
      <c r="D117" s="7">
        <v>3231.502</v>
      </c>
      <c r="E117" s="7"/>
      <c r="F117" s="7"/>
      <c r="G117" s="7"/>
    </row>
    <row r="118" spans="2:7" x14ac:dyDescent="0.25">
      <c r="B118" t="s">
        <v>124</v>
      </c>
      <c r="C118" s="7"/>
      <c r="D118" s="7">
        <v>617.69000000000005</v>
      </c>
      <c r="E118" s="7">
        <v>8904.7909999999993</v>
      </c>
      <c r="F118" s="7">
        <v>11140</v>
      </c>
      <c r="G118" s="7">
        <v>11557</v>
      </c>
    </row>
    <row r="119" spans="2:7" x14ac:dyDescent="0.25">
      <c r="B119" t="s">
        <v>125</v>
      </c>
      <c r="C119" s="7"/>
      <c r="D119" s="7">
        <v>-4.41</v>
      </c>
      <c r="E119" s="7">
        <v>8904.7909999999993</v>
      </c>
      <c r="F119" s="7">
        <v>-7</v>
      </c>
      <c r="G119" s="7">
        <v>-32</v>
      </c>
    </row>
    <row r="120" spans="2:7" x14ac:dyDescent="0.25">
      <c r="B120" t="s">
        <v>126</v>
      </c>
      <c r="C120" s="7"/>
      <c r="D120" s="7">
        <v>-1420.991</v>
      </c>
      <c r="E120" s="7">
        <v>2.6389999999999998</v>
      </c>
      <c r="F120" s="7">
        <v>-6358</v>
      </c>
      <c r="G120" s="7">
        <v>-5965</v>
      </c>
    </row>
    <row r="121" spans="2:7" x14ac:dyDescent="0.25">
      <c r="B121" t="s">
        <v>127</v>
      </c>
      <c r="C121" s="7"/>
      <c r="D121" s="7">
        <f>SUM(D117:D120)</f>
        <v>2423.7910000000002</v>
      </c>
      <c r="E121" s="7">
        <f t="shared" ref="E121:G121" si="26">SUM(E118:E120)</f>
        <v>17812.220999999998</v>
      </c>
      <c r="F121" s="7">
        <f t="shared" si="26"/>
        <v>4775</v>
      </c>
      <c r="G121" s="7">
        <f t="shared" si="26"/>
        <v>5560</v>
      </c>
    </row>
    <row r="122" spans="2:7" x14ac:dyDescent="0.25">
      <c r="B122" t="s">
        <v>128</v>
      </c>
      <c r="C122" s="7">
        <f t="shared" ref="C122" si="27">SUM(C119:C121)</f>
        <v>0</v>
      </c>
      <c r="D122" s="7">
        <f>+D115+D121</f>
        <v>8310.0930000000008</v>
      </c>
      <c r="E122" s="7">
        <f t="shared" ref="E122:G122" si="28">+E115+E121</f>
        <v>25401.936999999998</v>
      </c>
      <c r="F122" s="7">
        <f t="shared" si="28"/>
        <v>13708</v>
      </c>
      <c r="G122" s="7">
        <f t="shared" si="28"/>
        <v>16038</v>
      </c>
    </row>
    <row r="123" spans="2:7" x14ac:dyDescent="0.25">
      <c r="C123" s="7"/>
      <c r="D123" s="7"/>
      <c r="E123" s="7"/>
      <c r="F123" s="7"/>
      <c r="G123" s="7"/>
    </row>
    <row r="124" spans="2:7" x14ac:dyDescent="0.25">
      <c r="C124" s="7"/>
      <c r="D124" s="7"/>
      <c r="E124" s="7"/>
      <c r="F124" s="7"/>
      <c r="G124" s="7"/>
    </row>
    <row r="125" spans="2:7" x14ac:dyDescent="0.25">
      <c r="B125" s="12" t="s">
        <v>132</v>
      </c>
      <c r="C125" s="13"/>
      <c r="D125" s="13">
        <f>+(D93/D4)*365</f>
        <v>9.8346846015359493</v>
      </c>
      <c r="E125" s="13">
        <f t="shared" ref="E125:G125" si="29">+(E93/E4)*365</f>
        <v>20.50321047957371</v>
      </c>
      <c r="F125" s="13">
        <f t="shared" si="29"/>
        <v>8.7107810413885183</v>
      </c>
      <c r="G125" s="14">
        <f t="shared" si="29"/>
        <v>8.6915108941540655</v>
      </c>
    </row>
    <row r="126" spans="2:7" x14ac:dyDescent="0.25">
      <c r="B126" s="15" t="s">
        <v>133</v>
      </c>
      <c r="C126" s="16"/>
      <c r="D126" s="16">
        <f>+(D104/D6)*365</f>
        <v>46.197947359930048</v>
      </c>
      <c r="E126" s="16">
        <f t="shared" ref="E126:G126" si="30">+(E104/E6)*365</f>
        <v>33.290833333333332</v>
      </c>
      <c r="F126" s="16">
        <f t="shared" si="30"/>
        <v>37.257785467128024</v>
      </c>
      <c r="G126" s="17">
        <f t="shared" si="30"/>
        <v>33.358905937291532</v>
      </c>
    </row>
    <row r="127" spans="2:7" x14ac:dyDescent="0.25">
      <c r="B127" s="15" t="s">
        <v>134</v>
      </c>
      <c r="C127" s="16"/>
      <c r="D127" s="18">
        <f>+D112/D101</f>
        <v>0</v>
      </c>
      <c r="E127" s="18">
        <f t="shared" ref="E127:G127" si="31">+E112/E101</f>
        <v>0.17305408730168564</v>
      </c>
      <c r="F127" s="18">
        <f t="shared" si="31"/>
        <v>0.14466005252407355</v>
      </c>
      <c r="G127" s="19">
        <f t="shared" si="31"/>
        <v>0.12389325352288315</v>
      </c>
    </row>
    <row r="128" spans="2:7" x14ac:dyDescent="0.25">
      <c r="B128" s="6" t="s">
        <v>131</v>
      </c>
      <c r="C128" s="20"/>
      <c r="D128" s="21">
        <f>+D95/D109</f>
        <v>1.2538431232283307</v>
      </c>
      <c r="E128" s="21">
        <f t="shared" ref="E128:G128" si="32">+E95/E109</f>
        <v>1.7347409295224558</v>
      </c>
      <c r="F128" s="21">
        <f t="shared" si="32"/>
        <v>1.947790533102689</v>
      </c>
      <c r="G128" s="22">
        <f t="shared" si="32"/>
        <v>1.8627475557783906</v>
      </c>
    </row>
    <row r="129" spans="2:7" x14ac:dyDescent="0.25">
      <c r="C129" s="7"/>
      <c r="D129" s="7"/>
      <c r="E129" s="7"/>
      <c r="F129" s="7"/>
      <c r="G129" s="7"/>
    </row>
    <row r="130" spans="2:7" x14ac:dyDescent="0.25">
      <c r="B130" t="s">
        <v>155</v>
      </c>
      <c r="C130" s="7"/>
      <c r="D130" s="7">
        <f>+D95-D109</f>
        <v>1328.5550000000003</v>
      </c>
      <c r="E130" s="7">
        <f t="shared" ref="E130:G130" si="33">+E95-E109</f>
        <v>3776.405999999999</v>
      </c>
      <c r="F130" s="7">
        <f t="shared" si="33"/>
        <v>6027</v>
      </c>
      <c r="G130" s="7">
        <f t="shared" si="33"/>
        <v>6883</v>
      </c>
    </row>
    <row r="131" spans="2:7" x14ac:dyDescent="0.25">
      <c r="C131" s="7"/>
      <c r="D131" s="7"/>
      <c r="E131" s="10">
        <f>+E130/D130-1</f>
        <v>1.8424912781179539</v>
      </c>
      <c r="F131" s="10">
        <f t="shared" ref="F131:G131" si="34">+F130/E130-1</f>
        <v>0.59596187486197238</v>
      </c>
      <c r="G131" s="10">
        <f t="shared" si="34"/>
        <v>0.14202754272440687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2EA729E40B64C9E3BDE9867A86F8E" ma:contentTypeVersion="8" ma:contentTypeDescription="Create a new document." ma:contentTypeScope="" ma:versionID="1ce72829a67417a6037511a09d451c62">
  <xsd:schema xmlns:xsd="http://www.w3.org/2001/XMLSchema" xmlns:xs="http://www.w3.org/2001/XMLSchema" xmlns:p="http://schemas.microsoft.com/office/2006/metadata/properties" xmlns:ns3="8c43cc51-5868-4a98-ab1b-1dfe0ccc5bca" xmlns:ns4="f3f9a561-298b-4309-aa23-401c63cea76b" targetNamespace="http://schemas.microsoft.com/office/2006/metadata/properties" ma:root="true" ma:fieldsID="fd5fe56108e95763f7a61f577992653a" ns3:_="" ns4:_="">
    <xsd:import namespace="8c43cc51-5868-4a98-ab1b-1dfe0ccc5bca"/>
    <xsd:import namespace="f3f9a561-298b-4309-aa23-401c63cea7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cc51-5868-4a98-ab1b-1dfe0ccc5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a561-298b-4309-aa23-401c63cea7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43cc51-5868-4a98-ab1b-1dfe0ccc5bca" xsi:nil="true"/>
  </documentManagement>
</p:properties>
</file>

<file path=customXml/itemProps1.xml><?xml version="1.0" encoding="utf-8"?>
<ds:datastoreItem xmlns:ds="http://schemas.openxmlformats.org/officeDocument/2006/customXml" ds:itemID="{8FAA6115-1BC5-457D-A525-C7A4857A4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49210A-82B1-40CA-BBC6-7DF9ED17ED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cc51-5868-4a98-ab1b-1dfe0ccc5bca"/>
    <ds:schemaRef ds:uri="f3f9a561-298b-4309-aa23-401c63cea7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02D3ED-A8AF-48A3-A07E-F8EFEA10C3A1}">
  <ds:schemaRefs>
    <ds:schemaRef ds:uri="http://schemas.microsoft.com/office/2006/metadata/properties"/>
    <ds:schemaRef ds:uri="http://purl.org/dc/terms/"/>
    <ds:schemaRef ds:uri="http://purl.org/dc/elements/1.1/"/>
    <ds:schemaRef ds:uri="f3f9a561-298b-4309-aa23-401c63cea76b"/>
    <ds:schemaRef ds:uri="http://www.w3.org/XML/1998/namespace"/>
    <ds:schemaRef ds:uri="http://schemas.microsoft.com/office/2006/documentManagement/types"/>
    <ds:schemaRef ds:uri="8c43cc51-5868-4a98-ab1b-1dfe0ccc5bc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dcf</vt:lpstr>
      <vt:lpstr>is</vt:lpstr>
      <vt:lpstr>tax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Umbright, Connor</dc:creator>
  <cp:lastModifiedBy>Connor Umbright</cp:lastModifiedBy>
  <dcterms:created xsi:type="dcterms:W3CDTF">2023-02-20T17:52:24Z</dcterms:created>
  <dcterms:modified xsi:type="dcterms:W3CDTF">2023-02-20T22:44:54Z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0x01010098F2EA729E40B64C9E3BDE9867A86F8E</vt:lpwstr>
  </property>
</Properties>
</file>