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nnor Umbright\Downloads\"/>
    </mc:Choice>
  </mc:AlternateContent>
  <xr:revisionPtr revIDLastSave="0" documentId="8_{5286FC5C-77AD-4DD5-85D9-54EED1917B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W-3-Statements" sheetId="1" r:id="rId1"/>
  </sheets>
  <definedNames>
    <definedName name="Cash_Interest_Rate">'ITW-3-Statements'!$D$41</definedName>
    <definedName name="Company_Name">'ITW-3-Statements'!$D$33</definedName>
    <definedName name="Debt_Interest_Rate">'ITW-3-Statements'!$D$40</definedName>
    <definedName name="GM_Improv">'ITW-3-Statements'!$D$38</definedName>
    <definedName name="Hist_Yr">'ITW-3-Statements'!$D$36</definedName>
    <definedName name="_xlnm.Print_Area" localSheetId="0">'ITW-3-Statements'!$A$1:$M$202</definedName>
    <definedName name="Share_Price">'ITW-3-Statements'!$D$35</definedName>
    <definedName name="Tax_Rate">'ITW-3-Statements'!$D$39</definedName>
  </definedNames>
  <calcPr calcId="191029" calcMode="autoNoTable" iterate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2" i="1" l="1"/>
  <c r="K192" i="1"/>
  <c r="J192" i="1"/>
  <c r="I192" i="1"/>
  <c r="H192" i="1"/>
  <c r="H200" i="1"/>
  <c r="L183" i="1"/>
  <c r="K183" i="1"/>
  <c r="J183" i="1"/>
  <c r="I183" i="1"/>
  <c r="I168" i="1"/>
  <c r="J168" i="1"/>
  <c r="K168" i="1"/>
  <c r="L168" i="1"/>
  <c r="I193" i="1"/>
  <c r="J193" i="1"/>
  <c r="K193" i="1"/>
  <c r="L193" i="1"/>
  <c r="L195" i="1" s="1"/>
  <c r="L199" i="1" s="1"/>
  <c r="H193" i="1"/>
  <c r="L122" i="1"/>
  <c r="K122" i="1"/>
  <c r="J122" i="1"/>
  <c r="I122" i="1"/>
  <c r="L118" i="1"/>
  <c r="K118" i="1"/>
  <c r="J118" i="1"/>
  <c r="I118" i="1"/>
  <c r="I117" i="1"/>
  <c r="J117" i="1"/>
  <c r="K117" i="1"/>
  <c r="K173" i="1" s="1"/>
  <c r="L117" i="1"/>
  <c r="L173" i="1" s="1"/>
  <c r="I116" i="1"/>
  <c r="J116" i="1"/>
  <c r="K116" i="1"/>
  <c r="L116" i="1"/>
  <c r="I114" i="1"/>
  <c r="J114" i="1"/>
  <c r="K114" i="1"/>
  <c r="L114" i="1"/>
  <c r="I112" i="1"/>
  <c r="J112" i="1"/>
  <c r="K112" i="1"/>
  <c r="L112" i="1"/>
  <c r="H112" i="1"/>
  <c r="I151" i="1"/>
  <c r="J151" i="1"/>
  <c r="K151" i="1"/>
  <c r="L151" i="1"/>
  <c r="H151" i="1"/>
  <c r="I59" i="1"/>
  <c r="J59" i="1"/>
  <c r="K59" i="1"/>
  <c r="L59" i="1"/>
  <c r="H59" i="1"/>
  <c r="I56" i="1"/>
  <c r="H56" i="1"/>
  <c r="H57" i="1" s="1"/>
  <c r="I55" i="1" s="1"/>
  <c r="H55" i="1"/>
  <c r="G57" i="1"/>
  <c r="I191" i="1"/>
  <c r="J191" i="1"/>
  <c r="J195" i="1" s="1"/>
  <c r="J199" i="1" s="1"/>
  <c r="K191" i="1"/>
  <c r="K195" i="1" s="1"/>
  <c r="K199" i="1" s="1"/>
  <c r="L191" i="1"/>
  <c r="I171" i="1"/>
  <c r="J171" i="1"/>
  <c r="K171" i="1"/>
  <c r="L171" i="1"/>
  <c r="I172" i="1"/>
  <c r="J172" i="1"/>
  <c r="K172" i="1"/>
  <c r="L172" i="1"/>
  <c r="I173" i="1"/>
  <c r="J173" i="1"/>
  <c r="I174" i="1"/>
  <c r="J174" i="1"/>
  <c r="K174" i="1"/>
  <c r="L174" i="1"/>
  <c r="H172" i="1"/>
  <c r="H174" i="1"/>
  <c r="I83" i="1"/>
  <c r="J83" i="1" s="1"/>
  <c r="H83" i="1"/>
  <c r="F83" i="1"/>
  <c r="G83" i="1"/>
  <c r="E83" i="1"/>
  <c r="I82" i="1"/>
  <c r="J82" i="1" s="1"/>
  <c r="H82" i="1"/>
  <c r="F82" i="1"/>
  <c r="G82" i="1"/>
  <c r="E82" i="1"/>
  <c r="I80" i="1"/>
  <c r="H80" i="1"/>
  <c r="F80" i="1"/>
  <c r="G80" i="1"/>
  <c r="E80" i="1"/>
  <c r="L139" i="1"/>
  <c r="K139" i="1"/>
  <c r="J139" i="1"/>
  <c r="I139" i="1"/>
  <c r="H139" i="1"/>
  <c r="I137" i="1"/>
  <c r="J137" i="1" s="1"/>
  <c r="K137" i="1" s="1"/>
  <c r="L137" i="1" s="1"/>
  <c r="H137" i="1"/>
  <c r="I136" i="1"/>
  <c r="J136" i="1" s="1"/>
  <c r="K136" i="1" s="1"/>
  <c r="L136" i="1" s="1"/>
  <c r="H136" i="1"/>
  <c r="H171" i="1"/>
  <c r="I197" i="1"/>
  <c r="J197" i="1"/>
  <c r="K197" i="1"/>
  <c r="L197" i="1"/>
  <c r="H197" i="1"/>
  <c r="L91" i="1"/>
  <c r="K91" i="1"/>
  <c r="J91" i="1"/>
  <c r="I91" i="1"/>
  <c r="H91" i="1"/>
  <c r="F91" i="1"/>
  <c r="G91" i="1"/>
  <c r="E91" i="1"/>
  <c r="I177" i="1"/>
  <c r="J177" i="1"/>
  <c r="K177" i="1"/>
  <c r="L177" i="1"/>
  <c r="I178" i="1"/>
  <c r="J178" i="1"/>
  <c r="K178" i="1"/>
  <c r="L178" i="1"/>
  <c r="I179" i="1"/>
  <c r="J179" i="1"/>
  <c r="K179" i="1"/>
  <c r="L179" i="1"/>
  <c r="I180" i="1"/>
  <c r="J180" i="1"/>
  <c r="K180" i="1"/>
  <c r="L180" i="1"/>
  <c r="I181" i="1"/>
  <c r="J181" i="1"/>
  <c r="K181" i="1"/>
  <c r="L181" i="1"/>
  <c r="I182" i="1"/>
  <c r="J182" i="1"/>
  <c r="K182" i="1"/>
  <c r="L182" i="1"/>
  <c r="L188" i="1"/>
  <c r="K188" i="1"/>
  <c r="J188" i="1"/>
  <c r="I188" i="1"/>
  <c r="H188" i="1"/>
  <c r="H182" i="1"/>
  <c r="H181" i="1"/>
  <c r="H180" i="1"/>
  <c r="H179" i="1"/>
  <c r="H178" i="1"/>
  <c r="H177" i="1"/>
  <c r="I135" i="1"/>
  <c r="J135" i="1" s="1"/>
  <c r="K135" i="1" s="1"/>
  <c r="L135" i="1" s="1"/>
  <c r="H135" i="1"/>
  <c r="I186" i="1"/>
  <c r="J186" i="1"/>
  <c r="K186" i="1"/>
  <c r="L186" i="1"/>
  <c r="H186" i="1"/>
  <c r="I153" i="1"/>
  <c r="J153" i="1"/>
  <c r="K153" i="1"/>
  <c r="L153" i="1"/>
  <c r="H153" i="1"/>
  <c r="I148" i="1"/>
  <c r="J148" i="1"/>
  <c r="K148" i="1"/>
  <c r="L148" i="1"/>
  <c r="H148" i="1"/>
  <c r="I146" i="1"/>
  <c r="J146" i="1"/>
  <c r="K146" i="1"/>
  <c r="L146" i="1"/>
  <c r="I147" i="1"/>
  <c r="J147" i="1"/>
  <c r="K147" i="1"/>
  <c r="L147" i="1"/>
  <c r="H147" i="1"/>
  <c r="H146" i="1"/>
  <c r="I138" i="1"/>
  <c r="J138" i="1"/>
  <c r="K138" i="1"/>
  <c r="L138" i="1"/>
  <c r="H138" i="1"/>
  <c r="I131" i="1"/>
  <c r="J131" i="1"/>
  <c r="K131" i="1"/>
  <c r="L131" i="1"/>
  <c r="H131" i="1"/>
  <c r="I145" i="1"/>
  <c r="J145" i="1"/>
  <c r="K145" i="1"/>
  <c r="L145" i="1"/>
  <c r="H145" i="1"/>
  <c r="I130" i="1"/>
  <c r="J130" i="1"/>
  <c r="K130" i="1"/>
  <c r="L130" i="1"/>
  <c r="H130" i="1"/>
  <c r="I129" i="1"/>
  <c r="J129" i="1"/>
  <c r="K129" i="1"/>
  <c r="L129" i="1"/>
  <c r="H129" i="1"/>
  <c r="I73" i="1"/>
  <c r="J73" i="1" s="1"/>
  <c r="H73" i="1"/>
  <c r="I74" i="1"/>
  <c r="H74" i="1"/>
  <c r="I71" i="1"/>
  <c r="I70" i="1"/>
  <c r="H71" i="1"/>
  <c r="H70" i="1"/>
  <c r="I69" i="1"/>
  <c r="H69" i="1"/>
  <c r="I108" i="1"/>
  <c r="J108" i="1"/>
  <c r="K108" i="1"/>
  <c r="L108" i="1"/>
  <c r="H108" i="1"/>
  <c r="I170" i="1"/>
  <c r="J170" i="1"/>
  <c r="K170" i="1"/>
  <c r="L170" i="1"/>
  <c r="H170" i="1"/>
  <c r="I78" i="1"/>
  <c r="H78" i="1"/>
  <c r="G78" i="1"/>
  <c r="F78" i="1"/>
  <c r="E78" i="1"/>
  <c r="L106" i="1"/>
  <c r="K106" i="1"/>
  <c r="J106" i="1"/>
  <c r="I106" i="1"/>
  <c r="H106" i="1"/>
  <c r="L105" i="1"/>
  <c r="K105" i="1"/>
  <c r="J105" i="1"/>
  <c r="I105" i="1"/>
  <c r="H105" i="1"/>
  <c r="L104" i="1"/>
  <c r="K104" i="1"/>
  <c r="J104" i="1"/>
  <c r="I104" i="1"/>
  <c r="H104" i="1"/>
  <c r="L103" i="1"/>
  <c r="K103" i="1"/>
  <c r="J103" i="1"/>
  <c r="I103" i="1"/>
  <c r="H103" i="1"/>
  <c r="L98" i="1"/>
  <c r="K98" i="1"/>
  <c r="J98" i="1"/>
  <c r="I98" i="1"/>
  <c r="H98" i="1"/>
  <c r="I100" i="1"/>
  <c r="J100" i="1"/>
  <c r="K100" i="1"/>
  <c r="L100" i="1"/>
  <c r="H100" i="1"/>
  <c r="I96" i="1"/>
  <c r="J96" i="1" s="1"/>
  <c r="K96" i="1" s="1"/>
  <c r="L96" i="1" s="1"/>
  <c r="H96" i="1"/>
  <c r="F69" i="1"/>
  <c r="G69" i="1"/>
  <c r="F70" i="1"/>
  <c r="G70" i="1"/>
  <c r="F71" i="1"/>
  <c r="G71" i="1"/>
  <c r="F73" i="1"/>
  <c r="G73" i="1"/>
  <c r="F74" i="1"/>
  <c r="G74" i="1"/>
  <c r="E74" i="1"/>
  <c r="E73" i="1"/>
  <c r="E71" i="1"/>
  <c r="E70" i="1"/>
  <c r="E69" i="1"/>
  <c r="I67" i="1"/>
  <c r="I66" i="1"/>
  <c r="I65" i="1"/>
  <c r="H67" i="1"/>
  <c r="H66" i="1"/>
  <c r="H65" i="1"/>
  <c r="F67" i="1"/>
  <c r="G67" i="1"/>
  <c r="E67" i="1"/>
  <c r="F66" i="1"/>
  <c r="G66" i="1"/>
  <c r="E66" i="1"/>
  <c r="G65" i="1"/>
  <c r="F65" i="1"/>
  <c r="E65" i="1"/>
  <c r="I47" i="1"/>
  <c r="J47" i="1" s="1"/>
  <c r="K47" i="1" s="1"/>
  <c r="L47" i="1" s="1"/>
  <c r="H47" i="1"/>
  <c r="G47" i="1"/>
  <c r="F47" i="1"/>
  <c r="E47" i="1"/>
  <c r="I195" i="1" l="1"/>
  <c r="I199" i="1" s="1"/>
  <c r="I57" i="1"/>
  <c r="J55" i="1" s="1"/>
  <c r="K83" i="1"/>
  <c r="L83" i="1" s="1"/>
  <c r="K82" i="1"/>
  <c r="L82" i="1" s="1"/>
  <c r="J80" i="1"/>
  <c r="K73" i="1"/>
  <c r="L73" i="1" s="1"/>
  <c r="J74" i="1"/>
  <c r="L74" i="1" s="1"/>
  <c r="K74" i="1"/>
  <c r="J71" i="1"/>
  <c r="K71" i="1" s="1"/>
  <c r="K70" i="1"/>
  <c r="J70" i="1"/>
  <c r="L70" i="1" s="1"/>
  <c r="J69" i="1"/>
  <c r="J78" i="1"/>
  <c r="L78" i="1" s="1"/>
  <c r="K78" i="1"/>
  <c r="J65" i="1"/>
  <c r="J66" i="1"/>
  <c r="L66" i="1" s="1"/>
  <c r="J67" i="1"/>
  <c r="K67" i="1" s="1"/>
  <c r="L67" i="1" s="1"/>
  <c r="K66" i="1"/>
  <c r="J56" i="1" l="1"/>
  <c r="J57" i="1" s="1"/>
  <c r="K55" i="1" s="1"/>
  <c r="K80" i="1"/>
  <c r="L80" i="1" s="1"/>
  <c r="L71" i="1"/>
  <c r="K69" i="1"/>
  <c r="L69" i="1" s="1"/>
  <c r="L65" i="1"/>
  <c r="K65" i="1"/>
  <c r="K56" i="1" l="1"/>
  <c r="K57" i="1" s="1"/>
  <c r="L55" i="1" s="1"/>
  <c r="L56" i="1" l="1"/>
  <c r="L57" i="1" s="1"/>
  <c r="D165" i="1" l="1"/>
  <c r="H164" i="1"/>
  <c r="E164" i="1"/>
  <c r="D125" i="1"/>
  <c r="H124" i="1"/>
  <c r="E124" i="1"/>
  <c r="D94" i="1"/>
  <c r="E93" i="1"/>
  <c r="H93" i="1"/>
  <c r="I85" i="1"/>
  <c r="J85" i="1" l="1"/>
  <c r="K85" i="1" l="1"/>
  <c r="L85" i="1" l="1"/>
  <c r="G44" i="1" l="1"/>
  <c r="H44" i="1" l="1"/>
  <c r="G125" i="1"/>
  <c r="G94" i="1"/>
  <c r="G165" i="1"/>
  <c r="F44" i="1"/>
  <c r="I44" i="1" l="1"/>
  <c r="H125" i="1"/>
  <c r="H94" i="1"/>
  <c r="H165" i="1"/>
  <c r="E44" i="1"/>
  <c r="F125" i="1"/>
  <c r="F94" i="1"/>
  <c r="F165" i="1"/>
  <c r="J44" i="1" l="1"/>
  <c r="I94" i="1"/>
  <c r="I165" i="1"/>
  <c r="I125" i="1"/>
  <c r="E165" i="1"/>
  <c r="E125" i="1"/>
  <c r="E94" i="1"/>
  <c r="F85" i="1"/>
  <c r="E85" i="1"/>
  <c r="K44" i="1" l="1"/>
  <c r="J125" i="1"/>
  <c r="J165" i="1"/>
  <c r="J94" i="1"/>
  <c r="G85" i="1"/>
  <c r="L44" i="1" l="1"/>
  <c r="K94" i="1"/>
  <c r="K165" i="1"/>
  <c r="K125" i="1"/>
  <c r="L165" i="1" l="1"/>
  <c r="L125" i="1"/>
  <c r="L94" i="1"/>
  <c r="E162" i="1"/>
  <c r="G162" i="1" l="1"/>
  <c r="F162" i="1"/>
  <c r="B2" i="1"/>
  <c r="H113" i="1" l="1"/>
  <c r="H114" i="1"/>
  <c r="H116" i="1"/>
  <c r="H117" i="1"/>
  <c r="H118" i="1"/>
  <c r="H122" i="1"/>
  <c r="H128" i="1"/>
  <c r="I128" i="1"/>
  <c r="J128" i="1"/>
  <c r="K128" i="1"/>
  <c r="L128" i="1"/>
  <c r="H132" i="1"/>
  <c r="I132" i="1"/>
  <c r="J132" i="1"/>
  <c r="K132" i="1"/>
  <c r="L132" i="1"/>
  <c r="H141" i="1"/>
  <c r="I141" i="1"/>
  <c r="J141" i="1"/>
  <c r="K141" i="1"/>
  <c r="L141" i="1"/>
  <c r="H152" i="1"/>
  <c r="I152" i="1"/>
  <c r="J152" i="1"/>
  <c r="K152" i="1"/>
  <c r="L152" i="1"/>
  <c r="H154" i="1"/>
  <c r="I154" i="1"/>
  <c r="J154" i="1"/>
  <c r="K154" i="1"/>
  <c r="L154" i="1"/>
  <c r="H156" i="1"/>
  <c r="I156" i="1"/>
  <c r="J156" i="1"/>
  <c r="K156" i="1"/>
  <c r="L156" i="1"/>
  <c r="H158" i="1"/>
  <c r="I158" i="1"/>
  <c r="J158" i="1"/>
  <c r="K158" i="1"/>
  <c r="L158" i="1"/>
  <c r="H160" i="1"/>
  <c r="I160" i="1"/>
  <c r="J160" i="1"/>
  <c r="K160" i="1"/>
  <c r="L160" i="1"/>
  <c r="H162" i="1"/>
  <c r="I162" i="1"/>
  <c r="J162" i="1"/>
  <c r="K162" i="1"/>
  <c r="L162" i="1"/>
  <c r="H168" i="1"/>
  <c r="H173" i="1"/>
  <c r="H183" i="1"/>
  <c r="H191" i="1"/>
  <c r="H195" i="1"/>
  <c r="H199" i="1"/>
  <c r="I200" i="1"/>
  <c r="J200" i="1"/>
  <c r="K200" i="1"/>
  <c r="L200" i="1"/>
  <c r="H201" i="1"/>
  <c r="I201" i="1"/>
  <c r="J201" i="1"/>
  <c r="K201" i="1"/>
  <c r="L201" i="1"/>
</calcChain>
</file>

<file path=xl/sharedStrings.xml><?xml version="1.0" encoding="utf-8"?>
<sst xmlns="http://schemas.openxmlformats.org/spreadsheetml/2006/main" count="243" uniqueCount="138">
  <si>
    <t>General Assumptions:</t>
  </si>
  <si>
    <t>Company Name:</t>
  </si>
  <si>
    <t>Ticker:</t>
  </si>
  <si>
    <t>Last Historical Year:</t>
  </si>
  <si>
    <t>($ in Millions Except Per Share and Per Unit Data)</t>
  </si>
  <si>
    <t>Historical</t>
  </si>
  <si>
    <t>Projected</t>
  </si>
  <si>
    <t>Income Statement:</t>
  </si>
  <si>
    <t>Gross Profit:</t>
  </si>
  <si>
    <t>Net Income:</t>
  </si>
  <si>
    <t>Balance Sheet:</t>
  </si>
  <si>
    <t>Cash &amp; Equivalents:</t>
  </si>
  <si>
    <t>Inventory:</t>
  </si>
  <si>
    <t>Total Current Assets:</t>
  </si>
  <si>
    <t>Other Long-Term Assets:</t>
  </si>
  <si>
    <t>Total Assets:</t>
  </si>
  <si>
    <t>Accounts Payable:</t>
  </si>
  <si>
    <t>Total Current Liabilities:</t>
  </si>
  <si>
    <t>Other Long-Term Liabilities:</t>
  </si>
  <si>
    <t>Total Liabilities:</t>
  </si>
  <si>
    <t>Cash Flow Statement:</t>
  </si>
  <si>
    <t>ITW</t>
  </si>
  <si>
    <t>Amortization of Intangible Assets:</t>
  </si>
  <si>
    <t>Interest Expense:</t>
  </si>
  <si>
    <t>Income from Continuing Operations:</t>
  </si>
  <si>
    <t>Income from Discontinued Operations:</t>
  </si>
  <si>
    <t>Goodwill:</t>
  </si>
  <si>
    <t>Accrued Expenses:</t>
  </si>
  <si>
    <t>Gross Margin:</t>
  </si>
  <si>
    <t>Revenue Growth:</t>
  </si>
  <si>
    <t>Total Revenue:</t>
  </si>
  <si>
    <t>Operating Income (EBIT):</t>
  </si>
  <si>
    <t>Operating (EBIT) Margin:</t>
  </si>
  <si>
    <t>Other Income / (Expense):</t>
  </si>
  <si>
    <t>Total Other Income / (Expense):</t>
  </si>
  <si>
    <t>Pre-Tax Income:</t>
  </si>
  <si>
    <t>ASSETS:</t>
  </si>
  <si>
    <t>Current Assets:</t>
  </si>
  <si>
    <t>Non-Current Assets:</t>
  </si>
  <si>
    <t>Total Non-Current Assets:</t>
  </si>
  <si>
    <t>LIABILITIES AND EQUITY:</t>
  </si>
  <si>
    <t>Current Liabilities:</t>
  </si>
  <si>
    <t>Non-Current Liabilities:</t>
  </si>
  <si>
    <t>Equity:</t>
  </si>
  <si>
    <t>Balance Check:</t>
  </si>
  <si>
    <t>CASH FLOWS FROM OPERATING ACTIVITIES:</t>
  </si>
  <si>
    <t/>
  </si>
  <si>
    <t>Adjustments for Non-Cash Charges:</t>
  </si>
  <si>
    <t>(+) Depreciation:</t>
  </si>
  <si>
    <t>(+) Stock-Based Compensation:</t>
  </si>
  <si>
    <t>Changes in Operating Assets and Liabilities:</t>
  </si>
  <si>
    <t>Net Cash Provided by Operating Activities:</t>
  </si>
  <si>
    <t>CASH FLOWS FROM INVESTING ACTIVITIES:</t>
  </si>
  <si>
    <t>Net Cash Used in Investing Activities:</t>
  </si>
  <si>
    <t>CASH FLOWS FROM FINANCING ACTIVITIES:</t>
  </si>
  <si>
    <t>Net Cash Provided by Financing Activities:</t>
  </si>
  <si>
    <t>Beginning Cash:</t>
  </si>
  <si>
    <t>Ending Cash:</t>
  </si>
  <si>
    <t>Financial Statement Drivers:</t>
  </si>
  <si>
    <t>Income Statement Drivers:</t>
  </si>
  <si>
    <t>Balance Sheet Drivers:</t>
  </si>
  <si>
    <t>Cash Flow Statement Drivers:</t>
  </si>
  <si>
    <t>Units:</t>
  </si>
  <si>
    <t>%</t>
  </si>
  <si>
    <t>(-) Interest Expense:</t>
  </si>
  <si>
    <t>Effective Tax Rate:</t>
  </si>
  <si>
    <t>Current Share Price:</t>
  </si>
  <si>
    <t>Cost of Goods Sold (COGS):</t>
  </si>
  <si>
    <t>Other Liabilities:</t>
  </si>
  <si>
    <t>Long-Term Debt:</t>
  </si>
  <si>
    <t>Total Liabilities &amp; Equity:</t>
  </si>
  <si>
    <t>(-) Dividends Paid:</t>
  </si>
  <si>
    <t>(+/-) Other Non-Cash Items:</t>
  </si>
  <si>
    <t>Impairment of Goodwill:</t>
  </si>
  <si>
    <t>Accounts Receivable:</t>
  </si>
  <si>
    <t>Deferred Tax Liability:</t>
  </si>
  <si>
    <t>(-) Provision For Income Taxes:</t>
  </si>
  <si>
    <t>Annual Gross Margin Improvement:</t>
  </si>
  <si>
    <t>Operating Expenses:</t>
  </si>
  <si>
    <t>Total Operating Expenses:</t>
  </si>
  <si>
    <t>SG&amp;A % Revenue:</t>
  </si>
  <si>
    <t>$ M</t>
  </si>
  <si>
    <t>Interest Rate on Debt:</t>
  </si>
  <si>
    <t>Amortization of Debt:</t>
  </si>
  <si>
    <t>Capital Expenditures:</t>
  </si>
  <si>
    <t>Stock Repurchases:</t>
  </si>
  <si>
    <t>(-) Stock Repurchases:</t>
  </si>
  <si>
    <t>Beginning Debt Balance:</t>
  </si>
  <si>
    <t>Net PP&amp;E:</t>
  </si>
  <si>
    <t>Other Intangible Assets:</t>
  </si>
  <si>
    <t>(-) Amortization:</t>
  </si>
  <si>
    <t>Ending Debt Balance:</t>
  </si>
  <si>
    <t>(+) Debt Issuances / (-) Repayments:</t>
  </si>
  <si>
    <t>Interest Income:</t>
  </si>
  <si>
    <t>Interest Rate on Cash:</t>
  </si>
  <si>
    <t>(+) Impairment of Goodwill:</t>
  </si>
  <si>
    <t>(+) Amortization of Other Intangibles:</t>
  </si>
  <si>
    <t>(+) Selling, General &amp; Administrative:</t>
  </si>
  <si>
    <t>(+) Amortization of Intangible Assets:</t>
  </si>
  <si>
    <t>Prepaid Expenses &amp; Other Current Assets:</t>
  </si>
  <si>
    <t>Prepaid Expenses &amp; Other Assets:</t>
  </si>
  <si>
    <t>(+) Income from Discontinued Operations:</t>
  </si>
  <si>
    <t>Dividends % Net Income:</t>
  </si>
  <si>
    <t>Depreciation % Revenue:</t>
  </si>
  <si>
    <t># Days</t>
  </si>
  <si>
    <t>Days Sales of Inventory:</t>
  </si>
  <si>
    <t>Days Sales Outstanding:</t>
  </si>
  <si>
    <t>Days Payable Outstanding:</t>
  </si>
  <si>
    <t>Other Long-Term Assets % Revenue:</t>
  </si>
  <si>
    <t>Other Current Liabilities:</t>
  </si>
  <si>
    <t>(+) Other Financing Items:</t>
  </si>
  <si>
    <t>(+/-) Other Investing Items:</t>
  </si>
  <si>
    <t>FX Rate Effects:</t>
  </si>
  <si>
    <t>Stock-Based Compensation % Revenue:</t>
  </si>
  <si>
    <t>FX Rate Effects % Revenue:</t>
  </si>
  <si>
    <t>Other Investing Items:</t>
  </si>
  <si>
    <t>Other Financing Items:</t>
  </si>
  <si>
    <t>(+/-) Deferred Taxes:</t>
  </si>
  <si>
    <t>Deferred Taxes % Taxes:</t>
  </si>
  <si>
    <t>Other Non-Cash Items:</t>
  </si>
  <si>
    <t>Change in Cash &amp; Cash Equivalents:</t>
  </si>
  <si>
    <t>(+) Interest and Other Income:</t>
  </si>
  <si>
    <t>INSTRUCTIONS:</t>
  </si>
  <si>
    <t>Illinois Tool Works Inc.</t>
  </si>
  <si>
    <t>Use the following template and assumptions to build a 3-statement projection model over 5 years for Illinois Tool Works (ITW), a global manufacturing company.</t>
  </si>
  <si>
    <t>Please clearly note any additional assumptions or modifications you make. Assume that the company's performance will be similar to its performance over</t>
  </si>
  <si>
    <r>
      <t xml:space="preserve">You have </t>
    </r>
    <r>
      <rPr>
        <b/>
        <sz val="12"/>
        <color theme="1"/>
        <rFont val="Calibri"/>
        <family val="2"/>
        <scheme val="minor"/>
      </rPr>
      <t>30 minutes</t>
    </r>
    <r>
      <rPr>
        <sz val="12"/>
        <color theme="1"/>
        <rFont val="Calibri"/>
        <family val="2"/>
        <scheme val="minor"/>
      </rPr>
      <t xml:space="preserve"> to complete as much of the model as you can.</t>
    </r>
  </si>
  <si>
    <t>Prepaid Expenses &amp; Other % SG&amp;A:</t>
  </si>
  <si>
    <t>Accrued Expenses % SG&amp;A:</t>
  </si>
  <si>
    <t>Other Current Liabilities % SG&amp;A:</t>
  </si>
  <si>
    <t>Other Long-Term Liabilities % SG&amp;A:</t>
  </si>
  <si>
    <t>the past 3 years, except where otherwise noted in the assumptions.</t>
  </si>
  <si>
    <t>1) What is the MAIN reason why the company's Cash balance changes the way it does over these 5 years?</t>
  </si>
  <si>
    <t>2) What would you recommend to company management as the best financing decision over the next several years?</t>
  </si>
  <si>
    <r>
      <t xml:space="preserve">If you have additional time remaining at the end, please write </t>
    </r>
    <r>
      <rPr>
        <b/>
        <sz val="12"/>
        <color theme="1"/>
        <rFont val="Calibri"/>
        <family val="2"/>
        <scheme val="minor"/>
      </rPr>
      <t>1-2 sentence answers</t>
    </r>
    <r>
      <rPr>
        <sz val="12"/>
        <color theme="1"/>
        <rFont val="Calibri"/>
        <family val="2"/>
        <scheme val="minor"/>
      </rPr>
      <t xml:space="preserve"> for the following case study questions:</t>
    </r>
  </si>
  <si>
    <t>3) Would it benefit this company more to focus on sales growth or margin improvement? What would you recommend to management?</t>
  </si>
  <si>
    <t>(-) Capital Expenditures:</t>
  </si>
  <si>
    <t>Total Non-Current Liabilities: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</si>
</sst>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  <numFmt numFmtId="165" formatCode="&quot;FY&quot;yy"/>
    <numFmt numFmtId="166" formatCode="_(#,##0.0%_);\(#,##0.0%\);_(&quot;–&quot;_)_%;_(@_)_%"/>
    <numFmt numFmtId="167" formatCode="_(#,##0.00%_);\(#,##0.00%\);_(&quot;–&quot;_)_%;_(@_)_%"/>
    <numFmt numFmtId="168" formatCode="_(* #,##0.0_);_(* \(#,##0.0\);_(* &quot;-&quot;?_);_(@_)"/>
    <numFmt numFmtId="169" formatCode="0.0%"/>
    <numFmt numFmtId="170" formatCode="_(&quot;$&quot;* #,##0.0_);_(&quot;$&quot;* \(#,##0.0\);_(&quot;$&quot;* &quot;-&quot;?_);_(@_)"/>
    <numFmt numFmtId="171" formatCode="&quot;$&quot;#,##0.000\);\(&quot;$&quot;#,##0.000\);&quot;OK!&quot;;&quot;ERROR&quot;"/>
    <numFmt numFmtId="172" formatCode="_(* #,##0.000_);_(* \(#,##0.000\);_(* &quot;-&quot;?_);_(@_)"/>
    <numFmt numFmtId="173" formatCode="0.0%;\(0.0%\)"/>
    <numFmt numFmtId="174" formatCode="#,##0.0_);\(#,##0.0\)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i/>
      <sz val="12"/>
      <color rgb="FFFFFFFF"/>
      <name val="Calibri"/>
      <family val="2"/>
      <scheme val="minor"/>
    </font>
    <font>
      <b/>
      <i/>
      <sz val="12"/>
      <color rgb="FFFFFFFF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i/>
      <sz val="12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85">
    <xf numFmtId="0" fontId="0" fillId="0" borderId="0" xfId="0"/>
    <xf numFmtId="168" fontId="0" fillId="0" borderId="0" xfId="0" applyNumberFormat="1"/>
    <xf numFmtId="39" fontId="4" fillId="5" borderId="2" xfId="1" applyNumberFormat="1" applyFont="1" applyFill="1" applyBorder="1" applyAlignment="1">
      <alignment horizontal="centerContinuous"/>
    </xf>
    <xf numFmtId="0" fontId="5" fillId="0" borderId="0" xfId="0" applyFont="1"/>
    <xf numFmtId="0" fontId="6" fillId="0" borderId="0" xfId="0" applyFont="1"/>
    <xf numFmtId="0" fontId="7" fillId="3" borderId="6" xfId="0" applyFont="1" applyFill="1" applyBorder="1"/>
    <xf numFmtId="0" fontId="8" fillId="3" borderId="6" xfId="0" applyFont="1" applyFill="1" applyBorder="1"/>
    <xf numFmtId="0" fontId="9" fillId="3" borderId="6" xfId="0" applyFont="1" applyFill="1" applyBorder="1"/>
    <xf numFmtId="0" fontId="4" fillId="5" borderId="1" xfId="1" applyFont="1" applyFill="1" applyAlignment="1">
      <alignment horizontal="center"/>
    </xf>
    <xf numFmtId="44" fontId="4" fillId="5" borderId="1" xfId="1" applyNumberFormat="1" applyFont="1" applyFill="1" applyAlignment="1">
      <alignment horizontal="center"/>
    </xf>
    <xf numFmtId="164" fontId="4" fillId="5" borderId="1" xfId="1" applyNumberFormat="1" applyFont="1" applyFill="1" applyAlignment="1">
      <alignment horizontal="center"/>
    </xf>
    <xf numFmtId="167" fontId="4" fillId="5" borderId="1" xfId="1" applyNumberFormat="1" applyFont="1" applyFill="1" applyAlignment="1">
      <alignment horizontal="center"/>
    </xf>
    <xf numFmtId="0" fontId="7" fillId="3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Continuous" vertical="center"/>
    </xf>
    <xf numFmtId="0" fontId="7" fillId="3" borderId="4" xfId="0" applyFont="1" applyFill="1" applyBorder="1" applyAlignment="1">
      <alignment horizontal="centerContinuous" vertical="center"/>
    </xf>
    <xf numFmtId="0" fontId="10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165" fontId="7" fillId="3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166" fontId="11" fillId="0" borderId="0" xfId="0" applyNumberFormat="1" applyFont="1"/>
    <xf numFmtId="170" fontId="5" fillId="0" borderId="0" xfId="0" applyNumberFormat="1" applyFont="1"/>
    <xf numFmtId="0" fontId="11" fillId="0" borderId="0" xfId="0" applyFont="1" applyAlignment="1">
      <alignment horizontal="center"/>
    </xf>
    <xf numFmtId="168" fontId="5" fillId="0" borderId="0" xfId="0" applyNumberFormat="1" applyFont="1"/>
    <xf numFmtId="172" fontId="5" fillId="0" borderId="0" xfId="0" applyNumberFormat="1" applyFont="1"/>
    <xf numFmtId="170" fontId="4" fillId="0" borderId="0" xfId="0" applyNumberFormat="1" applyFont="1"/>
    <xf numFmtId="0" fontId="11" fillId="0" borderId="0" xfId="0" applyFont="1" applyAlignment="1">
      <alignment horizontal="left" indent="1"/>
    </xf>
    <xf numFmtId="168" fontId="4" fillId="0" borderId="0" xfId="0" applyNumberFormat="1" applyFont="1"/>
    <xf numFmtId="0" fontId="6" fillId="0" borderId="0" xfId="0" applyFont="1" applyAlignment="1">
      <alignment horizontal="left"/>
    </xf>
    <xf numFmtId="168" fontId="6" fillId="0" borderId="0" xfId="0" applyNumberFormat="1" applyFont="1"/>
    <xf numFmtId="16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indent="1"/>
    </xf>
    <xf numFmtId="49" fontId="5" fillId="0" borderId="6" xfId="0" applyNumberFormat="1" applyFont="1" applyBorder="1" applyAlignment="1">
      <alignment horizontal="left" indent="1"/>
    </xf>
    <xf numFmtId="168" fontId="4" fillId="0" borderId="6" xfId="0" applyNumberFormat="1" applyFont="1" applyBorder="1"/>
    <xf numFmtId="168" fontId="5" fillId="0" borderId="6" xfId="0" applyNumberFormat="1" applyFont="1" applyBorder="1"/>
    <xf numFmtId="49" fontId="6" fillId="0" borderId="0" xfId="0" applyNumberFormat="1" applyFont="1" applyAlignment="1">
      <alignment horizontal="left"/>
    </xf>
    <xf numFmtId="168" fontId="12" fillId="0" borderId="0" xfId="0" applyNumberFormat="1" applyFont="1"/>
    <xf numFmtId="168" fontId="5" fillId="0" borderId="8" xfId="0" applyNumberFormat="1" applyFont="1" applyBorder="1"/>
    <xf numFmtId="0" fontId="5" fillId="0" borderId="0" xfId="0" applyFont="1" applyAlignment="1">
      <alignment horizontal="left"/>
    </xf>
    <xf numFmtId="170" fontId="6" fillId="0" borderId="0" xfId="0" applyNumberFormat="1" applyFont="1"/>
    <xf numFmtId="49" fontId="6" fillId="4" borderId="6" xfId="0" applyNumberFormat="1" applyFont="1" applyFill="1" applyBorder="1"/>
    <xf numFmtId="0" fontId="5" fillId="0" borderId="6" xfId="0" applyFont="1" applyBorder="1" applyAlignment="1">
      <alignment horizontal="left" indent="1"/>
    </xf>
    <xf numFmtId="0" fontId="11" fillId="0" borderId="0" xfId="0" applyFont="1"/>
    <xf numFmtId="171" fontId="11" fillId="0" borderId="0" xfId="0" applyNumberFormat="1" applyFont="1"/>
    <xf numFmtId="168" fontId="6" fillId="0" borderId="7" xfId="0" applyNumberFormat="1" applyFont="1" applyBorder="1"/>
    <xf numFmtId="168" fontId="13" fillId="0" borderId="0" xfId="0" applyNumberFormat="1" applyFont="1"/>
    <xf numFmtId="170" fontId="6" fillId="0" borderId="7" xfId="0" applyNumberFormat="1" applyFont="1" applyBorder="1"/>
    <xf numFmtId="169" fontId="11" fillId="0" borderId="0" xfId="0" applyNumberFormat="1" applyFont="1"/>
    <xf numFmtId="0" fontId="6" fillId="0" borderId="9" xfId="0" applyFont="1" applyBorder="1" applyAlignment="1">
      <alignment horizontal="left"/>
    </xf>
    <xf numFmtId="0" fontId="5" fillId="0" borderId="9" xfId="0" applyFont="1" applyBorder="1"/>
    <xf numFmtId="168" fontId="6" fillId="0" borderId="9" xfId="0" applyNumberFormat="1" applyFont="1" applyBorder="1"/>
    <xf numFmtId="0" fontId="6" fillId="0" borderId="9" xfId="0" applyFont="1" applyBorder="1"/>
    <xf numFmtId="166" fontId="5" fillId="0" borderId="0" xfId="0" applyNumberFormat="1" applyFont="1"/>
    <xf numFmtId="173" fontId="14" fillId="5" borderId="1" xfId="1" applyNumberFormat="1" applyFont="1" applyFill="1" applyAlignment="1"/>
    <xf numFmtId="173" fontId="15" fillId="5" borderId="1" xfId="1" applyNumberFormat="1" applyFont="1" applyFill="1" applyAlignment="1"/>
    <xf numFmtId="173" fontId="14" fillId="5" borderId="1" xfId="1" applyNumberFormat="1" applyFont="1" applyFill="1" applyAlignment="1">
      <alignment horizontal="center"/>
    </xf>
    <xf numFmtId="168" fontId="4" fillId="5" borderId="1" xfId="1" applyNumberFormat="1" applyFont="1" applyFill="1"/>
    <xf numFmtId="0" fontId="7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indent="2"/>
    </xf>
    <xf numFmtId="0" fontId="6" fillId="0" borderId="9" xfId="0" applyFont="1" applyBorder="1" applyAlignment="1">
      <alignment horizontal="left" indent="1"/>
    </xf>
    <xf numFmtId="43" fontId="5" fillId="0" borderId="0" xfId="0" applyNumberFormat="1" applyFont="1"/>
    <xf numFmtId="173" fontId="14" fillId="0" borderId="0" xfId="1" applyNumberFormat="1" applyFont="1" applyFill="1" applyBorder="1" applyAlignment="1"/>
    <xf numFmtId="0" fontId="6" fillId="0" borderId="0" xfId="0" applyFont="1" applyAlignment="1">
      <alignment horizontal="left" indent="1"/>
    </xf>
    <xf numFmtId="0" fontId="11" fillId="0" borderId="6" xfId="0" applyFont="1" applyBorder="1" applyAlignment="1">
      <alignment horizontal="center"/>
    </xf>
    <xf numFmtId="168" fontId="16" fillId="0" borderId="0" xfId="1" applyNumberFormat="1" applyFont="1" applyFill="1" applyBorder="1"/>
    <xf numFmtId="43" fontId="0" fillId="0" borderId="0" xfId="0" applyNumberFormat="1"/>
    <xf numFmtId="174" fontId="5" fillId="0" borderId="0" xfId="0" applyNumberFormat="1" applyFont="1"/>
    <xf numFmtId="0" fontId="5" fillId="0" borderId="0" xfId="0" applyFont="1" applyAlignment="1">
      <alignment horizontal="left" wrapText="1" indent="1"/>
    </xf>
    <xf numFmtId="0" fontId="6" fillId="4" borderId="11" xfId="0" applyFont="1" applyFill="1" applyBorder="1"/>
    <xf numFmtId="168" fontId="16" fillId="5" borderId="1" xfId="1" applyNumberFormat="1" applyFont="1" applyFill="1"/>
    <xf numFmtId="170" fontId="17" fillId="0" borderId="0" xfId="0" applyNumberFormat="1" applyFont="1"/>
    <xf numFmtId="168" fontId="4" fillId="0" borderId="8" xfId="0" applyNumberFormat="1" applyFont="1" applyBorder="1"/>
    <xf numFmtId="39" fontId="4" fillId="5" borderId="1" xfId="1" applyNumberFormat="1" applyFont="1" applyFill="1" applyAlignment="1">
      <alignment horizontal="centerContinuous"/>
    </xf>
    <xf numFmtId="174" fontId="16" fillId="5" borderId="1" xfId="1" applyNumberFormat="1" applyFont="1" applyFill="1"/>
    <xf numFmtId="168" fontId="17" fillId="0" borderId="0" xfId="0" applyNumberFormat="1" applyFont="1"/>
    <xf numFmtId="169" fontId="18" fillId="0" borderId="0" xfId="0" applyNumberFormat="1" applyFont="1"/>
    <xf numFmtId="168" fontId="17" fillId="0" borderId="9" xfId="0" applyNumberFormat="1" applyFont="1" applyBorder="1"/>
    <xf numFmtId="168" fontId="17" fillId="0" borderId="7" xfId="0" applyNumberFormat="1" applyFont="1" applyBorder="1"/>
    <xf numFmtId="170" fontId="17" fillId="0" borderId="7" xfId="0" applyNumberFormat="1" applyFont="1" applyBorder="1"/>
    <xf numFmtId="0" fontId="2" fillId="0" borderId="0" xfId="0" applyFont="1"/>
    <xf numFmtId="168" fontId="5" fillId="0" borderId="9" xfId="0" applyNumberFormat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52917</xdr:colOff>
      <xdr:row>16</xdr:row>
      <xdr:rowOff>95250</xdr:rowOff>
    </xdr:from>
    <xdr:to>
      <xdr:col>7</xdr:col>
      <xdr:colOff>412750</xdr:colOff>
      <xdr:row>19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F462CD-796A-06F5-60B1-3BA481F1BD05}"/>
            </a:ext>
          </a:extLst>
        </xdr:cNvPr>
        <xdr:cNvSpPr txBox="1"/>
      </xdr:nvSpPr>
      <xdr:spPr>
        <a:xfrm>
          <a:off x="433917" y="3312583"/>
          <a:ext cx="6582833" cy="613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can see most of the companies cash is being used on stock repurchases</a:t>
          </a:r>
          <a:r>
            <a:rPr lang="en-US" sz="1100" baseline="0"/>
            <a:t> followed by dividends and debt repayments. </a:t>
          </a:r>
          <a:endParaRPr lang="en-US" sz="1100"/>
        </a:p>
      </xdr:txBody>
    </xdr:sp>
    <xdr:clientData/>
  </xdr:twoCellAnchor>
  <xdr:twoCellAnchor>
    <xdr:from>
      <xdr:col>2</xdr:col>
      <xdr:colOff>63500</xdr:colOff>
      <xdr:row>21</xdr:row>
      <xdr:rowOff>52916</xdr:rowOff>
    </xdr:from>
    <xdr:to>
      <xdr:col>7</xdr:col>
      <xdr:colOff>444500</xdr:colOff>
      <xdr:row>24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B922B5-948B-4287-B1F2-3062D40F4642}"/>
            </a:ext>
          </a:extLst>
        </xdr:cNvPr>
        <xdr:cNvSpPr txBox="1"/>
      </xdr:nvSpPr>
      <xdr:spPr>
        <a:xfrm>
          <a:off x="444500" y="4275666"/>
          <a:ext cx="6604000" cy="677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They</a:t>
          </a:r>
          <a:r>
            <a:rPr lang="en-US" sz="1100" baseline="0"/>
            <a:t> could add more debt to their capital structure as their interest expense is relatively low compared to other expenses and their debt balance is low as well.</a:t>
          </a:r>
          <a:endParaRPr lang="en-US" sz="1100"/>
        </a:p>
      </xdr:txBody>
    </xdr:sp>
    <xdr:clientData/>
  </xdr:twoCellAnchor>
  <xdr:twoCellAnchor>
    <xdr:from>
      <xdr:col>2</xdr:col>
      <xdr:colOff>63500</xdr:colOff>
      <xdr:row>26</xdr:row>
      <xdr:rowOff>84666</xdr:rowOff>
    </xdr:from>
    <xdr:to>
      <xdr:col>7</xdr:col>
      <xdr:colOff>444500</xdr:colOff>
      <xdr:row>29</xdr:row>
      <xdr:rowOff>158750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61F900-FC43-419D-A244-DD093F9444F6}"/>
            </a:ext>
          </a:extLst>
        </xdr:cNvPr>
        <xdr:cNvSpPr txBox="1"/>
      </xdr:nvSpPr>
      <xdr:spPr>
        <a:xfrm>
          <a:off x="444500" y="5312833"/>
          <a:ext cx="6604000" cy="677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companies seems to be heading towards maturity and lower sales growth, so it would be more beneficial to increase margins rather than wasting capital to pursue more growth.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V201"/>
  <sheetViews>
    <sheetView showGridLines="0" tabSelected="1" zoomScale="60" zoomScaleNormal="60" workbookViewId="0">
      <selection activeCell="L24" sqref="L24"/>
    </sheetView>
  </sheetViews>
  <sheetFormatPr defaultRowHeight="14.5" x14ac:dyDescent="0.35"/>
  <cols>
    <col min="1" max="2" width="2.7265625" customWidth="1"/>
    <col min="3" max="3" width="42.453125" customWidth="1"/>
    <col min="4" max="12" width="11.7265625" customWidth="1"/>
    <col min="13" max="14" width="2.7265625" customWidth="1"/>
    <col min="15" max="22" width="11.7265625" customWidth="1"/>
  </cols>
  <sheetData>
    <row r="1" spans="1:22" ht="15.5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5" x14ac:dyDescent="0.35">
      <c r="A2" s="3"/>
      <c r="B2" s="4" t="str">
        <f>Company_Name&amp;" - Operating Model"</f>
        <v>Illinois Tool Works Inc. - Operating Model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5" x14ac:dyDescent="0.35">
      <c r="A3" s="3"/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5" x14ac:dyDescent="0.35">
      <c r="A5" s="3"/>
      <c r="B5" s="5" t="s">
        <v>122</v>
      </c>
      <c r="C5" s="6"/>
      <c r="D5" s="7"/>
      <c r="E5" s="6"/>
      <c r="F5" s="6"/>
      <c r="G5" s="6"/>
      <c r="H5" s="6"/>
      <c r="I5" s="7"/>
      <c r="J5" s="6"/>
      <c r="K5" s="6"/>
      <c r="L5" s="6"/>
      <c r="M5" s="3"/>
      <c r="N5" s="83"/>
      <c r="O5" s="83"/>
      <c r="P5" s="83"/>
      <c r="Q5" s="83"/>
      <c r="R5" s="83"/>
      <c r="S5" s="83"/>
      <c r="T5" s="83"/>
      <c r="U5" s="83"/>
      <c r="V5" s="83"/>
    </row>
    <row r="6" spans="1:22" ht="15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83"/>
      <c r="O6" s="83"/>
      <c r="P6" s="83"/>
      <c r="Q6" s="83"/>
      <c r="R6" s="83"/>
      <c r="S6" s="83"/>
      <c r="T6" s="83"/>
      <c r="U6" s="83"/>
      <c r="V6" s="83"/>
    </row>
    <row r="7" spans="1:22" ht="15.5" x14ac:dyDescent="0.35">
      <c r="A7" s="3"/>
      <c r="B7" s="3"/>
      <c r="C7" s="3" t="s">
        <v>124</v>
      </c>
      <c r="D7" s="3"/>
      <c r="E7" s="3"/>
      <c r="F7" s="3"/>
      <c r="G7" s="3"/>
      <c r="H7" s="3"/>
      <c r="I7" s="3"/>
      <c r="J7" s="3"/>
      <c r="K7" s="3"/>
      <c r="L7" s="3"/>
      <c r="M7" s="3"/>
      <c r="N7" s="83"/>
      <c r="O7" s="83"/>
      <c r="P7" s="83"/>
      <c r="Q7" s="83"/>
      <c r="R7" s="83"/>
      <c r="S7" s="83"/>
      <c r="T7" s="83"/>
      <c r="U7" s="83"/>
      <c r="V7" s="83"/>
    </row>
    <row r="8" spans="1:22" ht="15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83"/>
      <c r="O8" s="83"/>
      <c r="P8" s="83"/>
      <c r="Q8" s="83"/>
      <c r="R8" s="83"/>
      <c r="S8" s="83"/>
      <c r="T8" s="83"/>
      <c r="U8" s="83"/>
      <c r="V8" s="83"/>
    </row>
    <row r="9" spans="1:22" ht="15.5" x14ac:dyDescent="0.35">
      <c r="A9" s="3"/>
      <c r="B9" s="3"/>
      <c r="C9" s="3" t="s">
        <v>125</v>
      </c>
      <c r="D9" s="3"/>
      <c r="E9" s="3"/>
      <c r="F9" s="3"/>
      <c r="G9" s="3"/>
      <c r="H9" s="3"/>
      <c r="I9" s="3"/>
      <c r="J9" s="3"/>
      <c r="K9" s="3"/>
      <c r="L9" s="3"/>
      <c r="M9" s="3"/>
      <c r="N9" s="83"/>
      <c r="O9" s="83"/>
      <c r="P9" s="83"/>
      <c r="Q9" s="83"/>
      <c r="R9" s="83"/>
      <c r="S9" s="83"/>
      <c r="T9" s="83"/>
      <c r="U9" s="83"/>
      <c r="V9" s="83"/>
    </row>
    <row r="10" spans="1:22" ht="15.5" x14ac:dyDescent="0.35">
      <c r="A10" s="3"/>
      <c r="B10" s="3"/>
      <c r="C10" s="3" t="s">
        <v>131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83"/>
      <c r="O10" s="83"/>
      <c r="P10" s="83"/>
      <c r="Q10" s="83"/>
      <c r="R10" s="83"/>
      <c r="S10" s="83"/>
      <c r="T10" s="83"/>
      <c r="U10" s="83"/>
      <c r="V10" s="83"/>
    </row>
    <row r="11" spans="1:22" ht="15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83"/>
      <c r="O11" s="83"/>
      <c r="P11" s="83"/>
      <c r="Q11" s="83"/>
      <c r="R11" s="83"/>
      <c r="S11" s="83"/>
      <c r="T11" s="83"/>
      <c r="U11" s="83"/>
      <c r="V11" s="83"/>
    </row>
    <row r="12" spans="1:22" ht="15.5" x14ac:dyDescent="0.35">
      <c r="A12" s="3"/>
      <c r="B12" s="3"/>
      <c r="C12" s="3" t="s">
        <v>126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83"/>
      <c r="O12" s="83"/>
      <c r="P12" s="83"/>
      <c r="Q12" s="83"/>
      <c r="R12" s="83"/>
      <c r="S12" s="83"/>
      <c r="T12" s="83"/>
      <c r="U12" s="83"/>
      <c r="V12" s="83"/>
    </row>
    <row r="13" spans="1:22" ht="15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83"/>
      <c r="O13" s="83"/>
      <c r="P13" s="83"/>
      <c r="Q13" s="83"/>
      <c r="R13" s="83"/>
      <c r="S13" s="83"/>
      <c r="T13" s="83"/>
      <c r="U13" s="83"/>
      <c r="V13" s="83"/>
    </row>
    <row r="14" spans="1:22" ht="15.5" x14ac:dyDescent="0.35">
      <c r="A14" s="3"/>
      <c r="B14" s="3"/>
      <c r="C14" s="3" t="s">
        <v>134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83"/>
      <c r="O14" s="83"/>
      <c r="P14" s="83"/>
      <c r="Q14" s="83"/>
      <c r="R14" s="83"/>
      <c r="S14" s="83"/>
      <c r="T14" s="83"/>
      <c r="U14" s="83"/>
      <c r="V14" s="83"/>
    </row>
    <row r="15" spans="1:22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83"/>
      <c r="O15" s="83"/>
      <c r="P15" s="83"/>
      <c r="Q15" s="83"/>
      <c r="R15" s="83"/>
      <c r="S15" s="83"/>
      <c r="T15" s="83"/>
      <c r="U15" s="83"/>
      <c r="V15" s="83"/>
    </row>
    <row r="16" spans="1:22" ht="15.5" x14ac:dyDescent="0.35">
      <c r="A16" s="3"/>
      <c r="B16" s="3"/>
      <c r="C16" s="4" t="s">
        <v>132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83"/>
      <c r="O16" s="83"/>
      <c r="P16" s="83"/>
      <c r="Q16" s="83"/>
      <c r="R16" s="83"/>
      <c r="S16" s="83"/>
      <c r="T16" s="83"/>
      <c r="U16" s="83"/>
      <c r="V16" s="83"/>
    </row>
    <row r="17" spans="1:22" ht="15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83"/>
      <c r="O17" s="83"/>
      <c r="P17" s="83"/>
      <c r="Q17" s="83"/>
      <c r="R17" s="83"/>
      <c r="S17" s="83"/>
      <c r="T17" s="83"/>
      <c r="U17" s="83"/>
      <c r="V17" s="83"/>
    </row>
    <row r="18" spans="1:22" ht="15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83"/>
      <c r="O18" s="83"/>
      <c r="P18" s="83"/>
      <c r="Q18" s="83"/>
      <c r="R18" s="83"/>
      <c r="S18" s="83"/>
      <c r="T18" s="83"/>
      <c r="U18" s="83"/>
      <c r="V18" s="83"/>
    </row>
    <row r="19" spans="1:22" ht="15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83"/>
      <c r="O19" s="83"/>
      <c r="P19" s="83"/>
      <c r="Q19" s="83"/>
      <c r="R19" s="83"/>
      <c r="S19" s="83"/>
      <c r="T19" s="83"/>
      <c r="U19" s="83"/>
      <c r="V19" s="83"/>
    </row>
    <row r="20" spans="1:22" ht="15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83"/>
      <c r="O20" s="83"/>
      <c r="P20" s="83"/>
      <c r="Q20" s="83"/>
      <c r="R20" s="83"/>
      <c r="S20" s="83"/>
      <c r="T20" s="83"/>
      <c r="U20" s="83"/>
      <c r="V20" s="83"/>
    </row>
    <row r="21" spans="1:22" ht="15.5" x14ac:dyDescent="0.35">
      <c r="A21" s="3"/>
      <c r="B21" s="3"/>
      <c r="C21" s="4" t="s">
        <v>133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83"/>
      <c r="O21" s="83"/>
      <c r="P21" s="83"/>
      <c r="Q21" s="83"/>
      <c r="R21" s="83"/>
      <c r="S21" s="83"/>
      <c r="T21" s="83"/>
      <c r="U21" s="83"/>
      <c r="V21" s="83"/>
    </row>
    <row r="22" spans="1:22" ht="15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83"/>
      <c r="O22" s="83"/>
      <c r="P22" s="83"/>
      <c r="Q22" s="83"/>
      <c r="R22" s="83"/>
      <c r="S22" s="83"/>
      <c r="T22" s="83"/>
      <c r="U22" s="83"/>
      <c r="V22" s="83"/>
    </row>
    <row r="23" spans="1:22" ht="15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83"/>
      <c r="O23" s="83"/>
      <c r="P23" s="83"/>
      <c r="Q23" s="83"/>
      <c r="R23" s="83"/>
      <c r="S23" s="83"/>
      <c r="T23" s="83"/>
      <c r="U23" s="83"/>
      <c r="V23" s="83"/>
    </row>
    <row r="24" spans="1:22" ht="15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83"/>
      <c r="O24" s="83"/>
      <c r="P24" s="83"/>
      <c r="Q24" s="83"/>
      <c r="R24" s="83"/>
      <c r="S24" s="83"/>
      <c r="T24" s="83"/>
      <c r="U24" s="83"/>
      <c r="V24" s="83"/>
    </row>
    <row r="25" spans="1:22" ht="15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83"/>
      <c r="O25" s="83"/>
      <c r="P25" s="83"/>
      <c r="Q25" s="83"/>
      <c r="R25" s="83"/>
      <c r="S25" s="83"/>
      <c r="T25" s="83"/>
      <c r="U25" s="83"/>
      <c r="V25" s="83"/>
    </row>
    <row r="26" spans="1:22" ht="15.5" x14ac:dyDescent="0.35">
      <c r="A26" s="3"/>
      <c r="B26" s="3"/>
      <c r="C26" s="4" t="s">
        <v>135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83"/>
      <c r="O26" s="83"/>
      <c r="P26" s="83"/>
      <c r="Q26" s="83"/>
      <c r="R26" s="83"/>
      <c r="S26" s="83"/>
      <c r="T26" s="83"/>
      <c r="U26" s="83"/>
      <c r="V26" s="83"/>
    </row>
    <row r="27" spans="1:22" ht="15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83"/>
      <c r="O27" s="83"/>
      <c r="P27" s="83"/>
      <c r="Q27" s="83"/>
      <c r="R27" s="83"/>
      <c r="S27" s="83"/>
      <c r="T27" s="83"/>
      <c r="U27" s="83"/>
      <c r="V27" s="83"/>
    </row>
    <row r="28" spans="1:22" ht="15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83"/>
      <c r="O28" s="83"/>
      <c r="P28" s="83"/>
      <c r="Q28" s="83"/>
      <c r="R28" s="83"/>
      <c r="S28" s="83"/>
      <c r="T28" s="83"/>
      <c r="U28" s="83"/>
      <c r="V28" s="83"/>
    </row>
    <row r="29" spans="1:22" ht="15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83"/>
      <c r="O29" s="83"/>
      <c r="P29" s="83"/>
      <c r="Q29" s="83"/>
      <c r="R29" s="83"/>
      <c r="S29" s="83"/>
      <c r="T29" s="83"/>
      <c r="U29" s="83"/>
      <c r="V29" s="83"/>
    </row>
    <row r="30" spans="1:22" ht="15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83"/>
      <c r="O30" s="83"/>
      <c r="P30" s="83"/>
      <c r="Q30" s="83"/>
      <c r="R30" s="83"/>
      <c r="S30" s="83"/>
      <c r="T30" s="83"/>
      <c r="U30" s="83"/>
      <c r="V30" s="83"/>
    </row>
    <row r="31" spans="1:22" ht="15.5" x14ac:dyDescent="0.35">
      <c r="A31" s="3"/>
      <c r="B31" s="5" t="s">
        <v>0</v>
      </c>
      <c r="C31" s="6"/>
      <c r="D31" s="7"/>
      <c r="E31" s="6"/>
      <c r="F31" s="6"/>
      <c r="G31" s="6"/>
      <c r="H31" s="6"/>
      <c r="I31" s="7"/>
      <c r="J31" s="6"/>
      <c r="K31" s="6"/>
      <c r="L31" s="6"/>
      <c r="N31" s="83"/>
      <c r="O31" s="83"/>
      <c r="P31" s="83"/>
      <c r="Q31" s="83"/>
      <c r="R31" s="83"/>
      <c r="S31" s="83"/>
      <c r="T31" s="83"/>
      <c r="U31" s="83"/>
      <c r="V31" s="83"/>
    </row>
    <row r="32" spans="1:22" ht="15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N32" s="83"/>
      <c r="O32" s="83"/>
      <c r="P32" s="83"/>
      <c r="Q32" s="83"/>
      <c r="R32" s="83"/>
      <c r="S32" s="83"/>
      <c r="T32" s="83"/>
      <c r="U32" s="83"/>
      <c r="V32" s="83"/>
    </row>
    <row r="33" spans="1:22" ht="15.5" x14ac:dyDescent="0.35">
      <c r="A33" s="3"/>
      <c r="B33" s="3"/>
      <c r="C33" s="3" t="s">
        <v>1</v>
      </c>
      <c r="D33" s="2" t="s">
        <v>123</v>
      </c>
      <c r="E33" s="2"/>
      <c r="F33" s="76"/>
      <c r="G33" s="3"/>
      <c r="H33" s="3"/>
      <c r="I33" s="3"/>
      <c r="J33" s="3"/>
      <c r="K33" s="3"/>
      <c r="L33" s="3"/>
      <c r="N33" s="83"/>
      <c r="O33" s="83"/>
      <c r="P33" s="83"/>
      <c r="Q33" s="83"/>
      <c r="R33" s="83"/>
      <c r="S33" s="83"/>
      <c r="T33" s="83"/>
      <c r="U33" s="83"/>
      <c r="V33" s="83"/>
    </row>
    <row r="34" spans="1:22" ht="15.5" x14ac:dyDescent="0.35">
      <c r="A34" s="3"/>
      <c r="B34" s="3"/>
      <c r="C34" s="3" t="s">
        <v>2</v>
      </c>
      <c r="D34" s="8" t="s">
        <v>21</v>
      </c>
      <c r="E34" s="3"/>
      <c r="F34" s="3"/>
      <c r="G34" s="3"/>
      <c r="H34" s="3"/>
      <c r="I34" s="3"/>
      <c r="J34" s="3"/>
      <c r="K34" s="3"/>
      <c r="L34" s="3"/>
      <c r="N34" s="83"/>
      <c r="O34" s="83"/>
      <c r="P34" s="83"/>
      <c r="Q34" s="83"/>
      <c r="R34" s="83"/>
      <c r="S34" s="83"/>
      <c r="T34" s="83"/>
      <c r="U34" s="83"/>
      <c r="V34" s="83"/>
    </row>
    <row r="35" spans="1:22" ht="15.5" x14ac:dyDescent="0.35">
      <c r="A35" s="3"/>
      <c r="B35" s="3"/>
      <c r="C35" s="3" t="s">
        <v>66</v>
      </c>
      <c r="D35" s="9">
        <v>117.46</v>
      </c>
      <c r="E35" s="3"/>
      <c r="F35" s="3"/>
      <c r="G35" s="3"/>
      <c r="H35" s="3"/>
      <c r="I35" s="3"/>
      <c r="J35" s="3"/>
      <c r="K35" s="3"/>
      <c r="L35" s="3"/>
      <c r="N35" s="83"/>
      <c r="O35" s="83"/>
      <c r="P35" s="83"/>
      <c r="Q35" s="83"/>
      <c r="R35" s="83"/>
      <c r="S35" s="83"/>
      <c r="T35" s="83"/>
      <c r="U35" s="83"/>
      <c r="V35" s="83"/>
    </row>
    <row r="36" spans="1:22" ht="15.5" x14ac:dyDescent="0.35">
      <c r="A36" s="3"/>
      <c r="B36" s="3"/>
      <c r="C36" s="3" t="s">
        <v>3</v>
      </c>
      <c r="D36" s="10">
        <v>42369</v>
      </c>
      <c r="E36" s="3"/>
      <c r="F36" s="3"/>
      <c r="G36" s="3"/>
      <c r="H36" s="3"/>
      <c r="I36" s="3"/>
      <c r="J36" s="3"/>
      <c r="K36" s="3"/>
      <c r="L36" s="3"/>
      <c r="N36" s="83"/>
      <c r="O36" s="83"/>
      <c r="P36" s="83"/>
      <c r="Q36" s="83"/>
      <c r="R36" s="83"/>
      <c r="S36" s="83"/>
      <c r="T36" s="83"/>
      <c r="U36" s="83"/>
      <c r="V36" s="83"/>
    </row>
    <row r="37" spans="1:22" ht="15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N37" s="83"/>
      <c r="O37" s="83"/>
      <c r="P37" s="83"/>
      <c r="Q37" s="83"/>
      <c r="R37" s="83"/>
      <c r="S37" s="83"/>
      <c r="T37" s="83"/>
      <c r="U37" s="83"/>
      <c r="V37" s="83"/>
    </row>
    <row r="38" spans="1:22" ht="15.5" x14ac:dyDescent="0.35">
      <c r="A38" s="3"/>
      <c r="B38" s="3"/>
      <c r="C38" s="3" t="s">
        <v>77</v>
      </c>
      <c r="D38" s="11">
        <v>3.0000000000000001E-3</v>
      </c>
      <c r="E38" s="3"/>
      <c r="F38" s="3"/>
      <c r="G38" s="3"/>
      <c r="H38" s="3"/>
      <c r="I38" s="3"/>
      <c r="J38" s="3"/>
      <c r="K38" s="3"/>
      <c r="L38" s="3"/>
      <c r="N38" s="83"/>
      <c r="O38" s="83"/>
      <c r="P38" s="83"/>
      <c r="Q38" s="83"/>
      <c r="R38" s="83"/>
      <c r="S38" s="83"/>
      <c r="T38" s="83"/>
      <c r="U38" s="83"/>
      <c r="V38" s="83"/>
    </row>
    <row r="39" spans="1:22" ht="15.5" x14ac:dyDescent="0.35">
      <c r="A39" s="3"/>
      <c r="B39" s="3"/>
      <c r="C39" s="3" t="s">
        <v>65</v>
      </c>
      <c r="D39" s="56">
        <v>0.3</v>
      </c>
      <c r="E39" s="3"/>
      <c r="F39" s="3"/>
      <c r="G39" s="3"/>
      <c r="H39" s="3"/>
      <c r="I39" s="3"/>
      <c r="J39" s="3"/>
      <c r="K39" s="3"/>
      <c r="L39" s="3"/>
      <c r="N39" s="83"/>
      <c r="O39" s="83"/>
      <c r="P39" s="83"/>
      <c r="Q39" s="83"/>
      <c r="R39" s="83"/>
      <c r="S39" s="83"/>
      <c r="T39" s="83"/>
      <c r="U39" s="83"/>
      <c r="V39" s="83"/>
    </row>
    <row r="40" spans="1:22" ht="15.5" x14ac:dyDescent="0.35">
      <c r="A40" s="3"/>
      <c r="B40" s="3"/>
      <c r="C40" s="3" t="s">
        <v>82</v>
      </c>
      <c r="D40" s="56">
        <v>0.04</v>
      </c>
      <c r="E40" s="3"/>
      <c r="F40" s="3"/>
      <c r="G40" s="3"/>
      <c r="H40" s="3"/>
      <c r="I40" s="3"/>
      <c r="J40" s="3"/>
      <c r="K40" s="3"/>
      <c r="L40" s="3"/>
      <c r="N40" s="83"/>
      <c r="O40" s="83"/>
      <c r="P40" s="83"/>
      <c r="Q40" s="83"/>
      <c r="R40" s="83"/>
      <c r="S40" s="83"/>
      <c r="T40" s="83"/>
      <c r="U40" s="83"/>
      <c r="V40" s="83"/>
    </row>
    <row r="41" spans="1:22" ht="15.5" x14ac:dyDescent="0.35">
      <c r="A41" s="3"/>
      <c r="B41" s="3"/>
      <c r="C41" s="3" t="s">
        <v>94</v>
      </c>
      <c r="D41" s="56">
        <v>5.0000000000000001E-3</v>
      </c>
      <c r="E41" s="3"/>
      <c r="F41" s="3"/>
      <c r="G41" s="3"/>
      <c r="H41" s="3"/>
      <c r="I41" s="3"/>
      <c r="J41" s="3"/>
      <c r="K41" s="3"/>
      <c r="L41" s="3"/>
      <c r="N41" s="83"/>
      <c r="O41" s="83"/>
      <c r="P41" s="83"/>
      <c r="Q41" s="83"/>
      <c r="R41" s="83"/>
      <c r="S41" s="83"/>
      <c r="T41" s="83"/>
      <c r="U41" s="83"/>
      <c r="V41" s="83"/>
    </row>
    <row r="42" spans="1:22" ht="15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83"/>
      <c r="O42" s="83"/>
      <c r="P42" s="83"/>
      <c r="Q42" s="83"/>
      <c r="R42" s="83"/>
      <c r="S42" s="83"/>
      <c r="T42" s="83"/>
      <c r="U42" s="83"/>
      <c r="V42" s="83"/>
    </row>
    <row r="43" spans="1:22" ht="15.5" x14ac:dyDescent="0.35">
      <c r="A43" s="3"/>
      <c r="B43" s="12"/>
      <c r="C43" s="12"/>
      <c r="D43" s="12"/>
      <c r="E43" s="13" t="s">
        <v>5</v>
      </c>
      <c r="F43" s="13"/>
      <c r="G43" s="13"/>
      <c r="H43" s="14" t="s">
        <v>6</v>
      </c>
      <c r="I43" s="13"/>
      <c r="J43" s="13"/>
      <c r="K43" s="13"/>
      <c r="L43" s="13"/>
      <c r="N43" s="83"/>
      <c r="O43" s="83"/>
      <c r="P43" s="83"/>
      <c r="Q43" s="83"/>
      <c r="R43" s="83"/>
      <c r="S43" s="83"/>
      <c r="T43" s="83"/>
      <c r="U43" s="83"/>
      <c r="V43" s="83"/>
    </row>
    <row r="44" spans="1:22" ht="15.5" x14ac:dyDescent="0.35">
      <c r="A44" s="3"/>
      <c r="B44" s="12" t="s">
        <v>58</v>
      </c>
      <c r="C44" s="12"/>
      <c r="D44" s="15" t="s">
        <v>62</v>
      </c>
      <c r="E44" s="16">
        <f t="shared" ref="E44" si="0">EOMONTH(F44,-12)</f>
        <v>41639</v>
      </c>
      <c r="F44" s="16">
        <f>EOMONTH(G44,-12)</f>
        <v>42004</v>
      </c>
      <c r="G44" s="16">
        <f>Hist_Yr</f>
        <v>42369</v>
      </c>
      <c r="H44" s="17">
        <f>EOMONTH(G44,12)</f>
        <v>42735</v>
      </c>
      <c r="I44" s="16">
        <f>EOMONTH(H44,12)</f>
        <v>43100</v>
      </c>
      <c r="J44" s="16">
        <f t="shared" ref="J44" si="1">EOMONTH(I44,12)</f>
        <v>43465</v>
      </c>
      <c r="K44" s="16">
        <f t="shared" ref="K44" si="2">EOMONTH(J44,12)</f>
        <v>43830</v>
      </c>
      <c r="L44" s="16">
        <f t="shared" ref="L44" si="3">EOMONTH(K44,12)</f>
        <v>44196</v>
      </c>
      <c r="N44" s="83"/>
      <c r="O44" s="83"/>
      <c r="P44" s="83"/>
      <c r="Q44" s="83"/>
      <c r="R44" s="83"/>
      <c r="S44" s="83"/>
      <c r="T44" s="83"/>
      <c r="U44" s="83"/>
      <c r="V44" s="83"/>
    </row>
    <row r="45" spans="1:22" ht="15.5" x14ac:dyDescent="0.35">
      <c r="A45" s="3"/>
      <c r="B45" s="18" t="s">
        <v>59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N45" s="83"/>
      <c r="O45" s="83"/>
      <c r="P45" s="83"/>
      <c r="Q45" s="83"/>
      <c r="R45" s="83"/>
      <c r="S45" s="83"/>
      <c r="T45" s="83"/>
      <c r="U45" s="83"/>
      <c r="V45" s="83"/>
    </row>
    <row r="46" spans="1:22" ht="15.5" x14ac:dyDescent="0.35">
      <c r="A46" s="3"/>
      <c r="B46" s="4"/>
      <c r="C46" s="19" t="s">
        <v>29</v>
      </c>
      <c r="D46" s="23" t="s">
        <v>63</v>
      </c>
      <c r="E46" s="53"/>
      <c r="F46" s="53"/>
      <c r="G46" s="53"/>
      <c r="H46" s="54">
        <v>0.05</v>
      </c>
      <c r="I46" s="54">
        <v>0.04</v>
      </c>
      <c r="J46" s="54">
        <v>0.04</v>
      </c>
      <c r="K46" s="54">
        <v>0.03</v>
      </c>
      <c r="L46" s="54">
        <v>0.03</v>
      </c>
      <c r="N46" s="83"/>
      <c r="O46" s="83"/>
      <c r="P46" s="83"/>
      <c r="Q46" s="83"/>
      <c r="R46" s="83"/>
      <c r="S46" s="83"/>
      <c r="T46" s="83"/>
      <c r="U46" s="83"/>
      <c r="V46" s="83"/>
    </row>
    <row r="47" spans="1:22" ht="15.5" x14ac:dyDescent="0.35">
      <c r="A47" s="3"/>
      <c r="B47" s="4"/>
      <c r="C47" s="19" t="s">
        <v>28</v>
      </c>
      <c r="D47" s="23" t="s">
        <v>63</v>
      </c>
      <c r="E47" s="31">
        <f>+E100/E96</f>
        <v>0.39483551467987266</v>
      </c>
      <c r="F47" s="31">
        <f t="shared" ref="F47:G47" si="4">+F100/F96</f>
        <v>0.40120132560066279</v>
      </c>
      <c r="G47" s="31">
        <f t="shared" si="4"/>
        <v>0.41156284968295415</v>
      </c>
      <c r="H47" s="55">
        <f>+G47+GM_Improv</f>
        <v>0.41456284968295415</v>
      </c>
      <c r="I47" s="55">
        <f>+H47+GM_Improv</f>
        <v>0.41756284968295415</v>
      </c>
      <c r="J47" s="55">
        <f>+I47+GM_Improv</f>
        <v>0.42056284968295415</v>
      </c>
      <c r="K47" s="55">
        <f>+J47+GM_Improv</f>
        <v>0.42356284968295416</v>
      </c>
      <c r="L47" s="55">
        <f>+K47+GM_Improv</f>
        <v>0.42656284968295416</v>
      </c>
      <c r="N47" s="83"/>
      <c r="O47" s="83"/>
      <c r="P47" s="83"/>
      <c r="Q47" s="83"/>
      <c r="R47" s="83"/>
      <c r="S47" s="83"/>
      <c r="T47" s="83"/>
      <c r="U47" s="83"/>
      <c r="V47" s="83"/>
    </row>
    <row r="48" spans="1:22" ht="15.5" x14ac:dyDescent="0.35">
      <c r="A48" s="3"/>
      <c r="B48" s="3"/>
      <c r="C48" s="19" t="s">
        <v>80</v>
      </c>
      <c r="D48" s="23" t="s">
        <v>63</v>
      </c>
      <c r="E48" s="53"/>
      <c r="F48" s="53"/>
      <c r="G48" s="53"/>
      <c r="H48" s="54">
        <v>0.18</v>
      </c>
      <c r="I48" s="54">
        <v>0.17499999999999999</v>
      </c>
      <c r="J48" s="54">
        <v>0.17499999999999999</v>
      </c>
      <c r="K48" s="54">
        <v>0.17</v>
      </c>
      <c r="L48" s="54">
        <v>0.17</v>
      </c>
      <c r="N48" s="83"/>
      <c r="O48" s="83"/>
      <c r="P48" s="83"/>
      <c r="Q48" s="83"/>
      <c r="R48" s="83"/>
      <c r="S48" s="83"/>
      <c r="T48" s="83"/>
      <c r="U48" s="83"/>
      <c r="V48" s="83"/>
    </row>
    <row r="49" spans="1:22" ht="15.5" x14ac:dyDescent="0.35">
      <c r="A49" s="3"/>
      <c r="B49" s="3"/>
      <c r="C49" s="19"/>
      <c r="D49" s="20"/>
      <c r="E49" s="21"/>
      <c r="F49" s="21"/>
      <c r="G49" s="21"/>
      <c r="H49" s="3"/>
      <c r="I49" s="3"/>
      <c r="J49" s="3"/>
      <c r="K49" s="3"/>
      <c r="L49" s="3"/>
      <c r="N49" s="83"/>
      <c r="O49" s="83"/>
      <c r="P49" s="83"/>
      <c r="Q49" s="83"/>
      <c r="R49" s="83"/>
      <c r="S49" s="83"/>
      <c r="T49" s="83"/>
      <c r="U49" s="83"/>
      <c r="V49" s="83"/>
    </row>
    <row r="50" spans="1:22" ht="15.5" x14ac:dyDescent="0.35">
      <c r="A50" s="3"/>
      <c r="B50" s="3"/>
      <c r="C50" s="19" t="s">
        <v>22</v>
      </c>
      <c r="D50" s="23" t="s">
        <v>81</v>
      </c>
      <c r="E50" s="22"/>
      <c r="F50" s="22"/>
      <c r="G50" s="22"/>
      <c r="H50" s="57">
        <v>217</v>
      </c>
      <c r="I50" s="57">
        <v>196</v>
      </c>
      <c r="J50" s="57">
        <v>175</v>
      </c>
      <c r="K50" s="57">
        <v>153</v>
      </c>
      <c r="L50" s="57">
        <v>134</v>
      </c>
      <c r="N50" s="83"/>
      <c r="O50" s="83"/>
      <c r="P50" s="83"/>
      <c r="Q50" s="83"/>
      <c r="R50" s="83"/>
      <c r="S50" s="83"/>
      <c r="T50" s="83"/>
      <c r="U50" s="83"/>
      <c r="V50" s="83"/>
    </row>
    <row r="51" spans="1:22" ht="15.5" x14ac:dyDescent="0.35">
      <c r="A51" s="3"/>
      <c r="B51" s="3"/>
      <c r="C51" s="32" t="s">
        <v>73</v>
      </c>
      <c r="D51" s="23" t="s">
        <v>81</v>
      </c>
      <c r="E51" s="21"/>
      <c r="F51" s="21"/>
      <c r="G51" s="21"/>
      <c r="H51" s="57">
        <v>0</v>
      </c>
      <c r="I51" s="57">
        <v>0</v>
      </c>
      <c r="J51" s="57">
        <v>0</v>
      </c>
      <c r="K51" s="57">
        <v>0</v>
      </c>
      <c r="L51" s="57">
        <v>0</v>
      </c>
      <c r="N51" s="83"/>
      <c r="O51" s="83"/>
      <c r="P51" s="83"/>
      <c r="Q51" s="83"/>
      <c r="R51" s="83"/>
      <c r="S51" s="83"/>
      <c r="T51" s="83"/>
      <c r="U51" s="83"/>
      <c r="V51" s="83"/>
    </row>
    <row r="52" spans="1:22" ht="15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83"/>
      <c r="O52" s="83"/>
      <c r="P52" s="83"/>
      <c r="Q52" s="83"/>
      <c r="R52" s="83"/>
      <c r="S52" s="83"/>
      <c r="T52" s="83"/>
      <c r="U52" s="83"/>
      <c r="V52" s="83"/>
    </row>
    <row r="53" spans="1:22" ht="15.5" x14ac:dyDescent="0.35">
      <c r="A53" s="3"/>
      <c r="B53" s="3"/>
      <c r="C53" s="19" t="s">
        <v>83</v>
      </c>
      <c r="D53" s="23" t="s">
        <v>63</v>
      </c>
      <c r="E53" s="3"/>
      <c r="F53" s="3"/>
      <c r="G53" s="3"/>
      <c r="H53" s="54">
        <v>0.1</v>
      </c>
      <c r="I53" s="54">
        <v>0.1</v>
      </c>
      <c r="J53" s="54">
        <v>0.1</v>
      </c>
      <c r="K53" s="54">
        <v>0.1</v>
      </c>
      <c r="L53" s="54">
        <v>0.1</v>
      </c>
      <c r="N53" s="83"/>
      <c r="O53" s="83"/>
      <c r="P53" s="83"/>
      <c r="Q53" s="83"/>
      <c r="R53" s="83"/>
      <c r="S53" s="83"/>
      <c r="T53" s="83"/>
      <c r="U53" s="83"/>
      <c r="V53" s="83"/>
    </row>
    <row r="54" spans="1:22" ht="15.5" x14ac:dyDescent="0.35">
      <c r="A54" s="3"/>
      <c r="B54" s="3"/>
      <c r="C54" s="19"/>
      <c r="D54" s="23"/>
      <c r="E54" s="3"/>
      <c r="F54" s="3"/>
      <c r="G54" s="3"/>
      <c r="H54" s="65"/>
      <c r="I54" s="65"/>
      <c r="J54" s="65"/>
      <c r="K54" s="65"/>
      <c r="L54" s="65"/>
      <c r="N54" s="83"/>
      <c r="O54" s="83"/>
      <c r="P54" s="83"/>
      <c r="Q54" s="83"/>
      <c r="R54" s="83"/>
      <c r="S54" s="83"/>
      <c r="T54" s="83"/>
      <c r="U54" s="83"/>
      <c r="V54" s="83"/>
    </row>
    <row r="55" spans="1:22" ht="15.5" x14ac:dyDescent="0.35">
      <c r="A55" s="3"/>
      <c r="B55" s="3"/>
      <c r="C55" s="66" t="s">
        <v>87</v>
      </c>
      <c r="D55" s="23" t="s">
        <v>81</v>
      </c>
      <c r="E55" s="3"/>
      <c r="F55" s="3"/>
      <c r="G55" s="24"/>
      <c r="H55" s="30">
        <f>G57</f>
        <v>7422</v>
      </c>
      <c r="I55" s="30">
        <f t="shared" ref="I55:L55" si="5">H57</f>
        <v>6679.8</v>
      </c>
      <c r="J55" s="30">
        <f t="shared" si="5"/>
        <v>6011.82</v>
      </c>
      <c r="K55" s="30">
        <f t="shared" si="5"/>
        <v>5410.6379999999999</v>
      </c>
      <c r="L55" s="30">
        <f t="shared" si="5"/>
        <v>4869.5742</v>
      </c>
      <c r="N55" s="83"/>
      <c r="O55" s="83"/>
      <c r="P55" s="83"/>
      <c r="Q55" s="83"/>
      <c r="R55" s="83"/>
      <c r="S55" s="83"/>
      <c r="T55" s="83"/>
      <c r="U55" s="83"/>
      <c r="V55" s="83"/>
    </row>
    <row r="56" spans="1:22" ht="15.5" x14ac:dyDescent="0.35">
      <c r="A56" s="3"/>
      <c r="B56" s="3"/>
      <c r="C56" s="62" t="s">
        <v>90</v>
      </c>
      <c r="D56" s="67" t="s">
        <v>81</v>
      </c>
      <c r="E56" s="3"/>
      <c r="F56" s="3"/>
      <c r="G56" s="3"/>
      <c r="H56" s="35">
        <f>-H53*H55</f>
        <v>-742.2</v>
      </c>
      <c r="I56" s="35">
        <f t="shared" ref="I56:L56" si="6">-I53*I55</f>
        <v>-667.98</v>
      </c>
      <c r="J56" s="35">
        <f t="shared" si="6"/>
        <v>-601.18200000000002</v>
      </c>
      <c r="K56" s="35">
        <f t="shared" si="6"/>
        <v>-541.06380000000001</v>
      </c>
      <c r="L56" s="35">
        <f t="shared" si="6"/>
        <v>-486.95742000000001</v>
      </c>
      <c r="N56" s="83"/>
      <c r="O56" s="83"/>
      <c r="P56" s="83"/>
      <c r="Q56" s="83"/>
      <c r="R56" s="83"/>
      <c r="S56" s="83"/>
      <c r="T56" s="83"/>
      <c r="U56" s="83"/>
      <c r="V56" s="83"/>
    </row>
    <row r="57" spans="1:22" ht="15.5" x14ac:dyDescent="0.35">
      <c r="A57" s="3"/>
      <c r="B57" s="3"/>
      <c r="C57" s="63" t="s">
        <v>91</v>
      </c>
      <c r="D57" s="23" t="s">
        <v>81</v>
      </c>
      <c r="E57" s="50"/>
      <c r="F57" s="50"/>
      <c r="G57" s="84">
        <f>G151</f>
        <v>7422</v>
      </c>
      <c r="H57" s="30">
        <f>H55+H56</f>
        <v>6679.8</v>
      </c>
      <c r="I57" s="30">
        <f t="shared" ref="I57:L57" si="7">I55+I56</f>
        <v>6011.82</v>
      </c>
      <c r="J57" s="30">
        <f t="shared" si="7"/>
        <v>5410.6379999999999</v>
      </c>
      <c r="K57" s="30">
        <f t="shared" si="7"/>
        <v>4869.5742</v>
      </c>
      <c r="L57" s="30">
        <f t="shared" si="7"/>
        <v>4382.6167800000003</v>
      </c>
      <c r="N57" s="83"/>
      <c r="O57" s="83"/>
      <c r="P57" s="83"/>
      <c r="Q57" s="83"/>
      <c r="R57" s="83"/>
      <c r="S57" s="83"/>
      <c r="T57" s="83"/>
      <c r="U57" s="83"/>
      <c r="V57" s="83"/>
    </row>
    <row r="58" spans="1:22" ht="15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5" x14ac:dyDescent="0.35">
      <c r="A59" s="3"/>
      <c r="B59" s="3"/>
      <c r="C59" s="19" t="s">
        <v>23</v>
      </c>
      <c r="D59" s="23" t="s">
        <v>81</v>
      </c>
      <c r="E59" s="3"/>
      <c r="F59" s="3"/>
      <c r="G59" s="3"/>
      <c r="H59" s="24">
        <f>H57*-Debt_Interest_Rate</f>
        <v>-267.19200000000001</v>
      </c>
      <c r="I59" s="24">
        <f>I57*-Debt_Interest_Rate</f>
        <v>-240.47280000000001</v>
      </c>
      <c r="J59" s="24">
        <f>J57*-Debt_Interest_Rate</f>
        <v>-216.42552000000001</v>
      </c>
      <c r="K59" s="24">
        <f>K57*-Debt_Interest_Rate</f>
        <v>-194.78296800000001</v>
      </c>
      <c r="L59" s="24">
        <f>L57*-Debt_Interest_Rate</f>
        <v>-175.3046712</v>
      </c>
      <c r="N59" s="3"/>
      <c r="O59" s="3"/>
      <c r="P59" s="3"/>
      <c r="Q59" s="3"/>
      <c r="R59" s="3"/>
      <c r="S59" s="3"/>
      <c r="T59" s="3"/>
      <c r="U59" s="3"/>
      <c r="V59" s="3"/>
    </row>
    <row r="60" spans="1:22" ht="15.5" x14ac:dyDescent="0.35">
      <c r="A60" s="3"/>
      <c r="B60" s="3"/>
      <c r="C60" s="19" t="s">
        <v>93</v>
      </c>
      <c r="D60" s="23" t="s">
        <v>81</v>
      </c>
      <c r="E60" s="3"/>
      <c r="F60" s="3"/>
      <c r="G60" s="3"/>
      <c r="H60" s="24"/>
      <c r="I60" s="24"/>
      <c r="J60" s="24"/>
      <c r="K60" s="24"/>
      <c r="L60" s="24"/>
      <c r="N60" s="3"/>
      <c r="O60" s="3"/>
      <c r="P60" s="3"/>
      <c r="Q60" s="3"/>
      <c r="R60" s="3"/>
      <c r="S60" s="3"/>
      <c r="T60" s="3"/>
      <c r="U60" s="3"/>
      <c r="V60" s="3"/>
    </row>
    <row r="61" spans="1:22" ht="15.5" x14ac:dyDescent="0.35">
      <c r="A61" s="3"/>
      <c r="B61" s="3"/>
      <c r="C61" s="19"/>
      <c r="D61" s="23"/>
      <c r="E61" s="22"/>
      <c r="F61" s="22"/>
      <c r="G61" s="22"/>
      <c r="H61" s="22"/>
      <c r="I61" s="22"/>
      <c r="J61" s="22"/>
      <c r="K61" s="22"/>
      <c r="L61" s="22"/>
      <c r="N61" s="3"/>
      <c r="O61" s="3"/>
      <c r="P61" s="3"/>
      <c r="Q61" s="3"/>
      <c r="R61" s="3"/>
      <c r="S61" s="3"/>
      <c r="T61" s="3"/>
      <c r="U61" s="3"/>
      <c r="V61" s="3"/>
    </row>
    <row r="62" spans="1:22" ht="15.5" x14ac:dyDescent="0.35">
      <c r="A62" s="3"/>
      <c r="B62" s="3"/>
      <c r="C62" s="19" t="s">
        <v>25</v>
      </c>
      <c r="D62" s="23" t="s">
        <v>81</v>
      </c>
      <c r="E62" s="22"/>
      <c r="F62" s="22"/>
      <c r="G62" s="22"/>
      <c r="H62" s="57">
        <v>0</v>
      </c>
      <c r="I62" s="57">
        <v>0</v>
      </c>
      <c r="J62" s="57">
        <v>0</v>
      </c>
      <c r="K62" s="57">
        <v>0</v>
      </c>
      <c r="L62" s="57">
        <v>0</v>
      </c>
      <c r="N62" s="3"/>
      <c r="O62" s="3"/>
      <c r="P62" s="3"/>
      <c r="Q62" s="3"/>
      <c r="R62" s="3"/>
      <c r="S62" s="3"/>
      <c r="T62" s="3"/>
      <c r="U62" s="3"/>
      <c r="V62" s="3"/>
    </row>
    <row r="63" spans="1:22" ht="15.5" x14ac:dyDescent="0.35">
      <c r="A63" s="3"/>
      <c r="B63" s="3"/>
      <c r="C63" s="19"/>
      <c r="D63" s="23"/>
      <c r="E63" s="22"/>
      <c r="F63" s="22"/>
      <c r="G63" s="22"/>
      <c r="H63" s="22"/>
      <c r="I63" s="22"/>
      <c r="J63" s="22"/>
      <c r="K63" s="22"/>
      <c r="L63" s="22"/>
      <c r="N63" s="3"/>
      <c r="O63" s="3"/>
      <c r="P63" s="3"/>
      <c r="Q63" s="3"/>
      <c r="R63" s="3"/>
      <c r="S63" s="3"/>
      <c r="T63" s="3"/>
      <c r="U63" s="3"/>
      <c r="V63" s="3"/>
    </row>
    <row r="64" spans="1:22" ht="15.5" x14ac:dyDescent="0.35">
      <c r="A64" s="3"/>
      <c r="B64" s="18" t="s">
        <v>60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N64" s="3"/>
      <c r="O64" s="3"/>
      <c r="P64" s="3"/>
      <c r="Q64" s="3"/>
      <c r="R64" s="3"/>
      <c r="S64" s="3"/>
      <c r="T64" s="3"/>
      <c r="U64" s="3"/>
      <c r="V64" s="3"/>
    </row>
    <row r="65" spans="1:22" ht="15.5" x14ac:dyDescent="0.35">
      <c r="A65" s="3"/>
      <c r="B65" s="3"/>
      <c r="C65" s="19" t="s">
        <v>106</v>
      </c>
      <c r="D65" s="23" t="s">
        <v>104</v>
      </c>
      <c r="E65" s="70">
        <f>+(E129/E96)*365</f>
        <v>61.070038910505829</v>
      </c>
      <c r="F65" s="70">
        <f t="shared" ref="F65:G65" si="8">+(F129/F96)*365</f>
        <v>57.784106600386636</v>
      </c>
      <c r="G65" s="70">
        <f t="shared" si="8"/>
        <v>59.984707198806412</v>
      </c>
      <c r="H65" s="77">
        <f>+AVERAGE(E65:G65)</f>
        <v>59.612950903232957</v>
      </c>
      <c r="I65" s="77">
        <f t="shared" ref="I65:L67" si="9">+AVERAGE(F65:H65)</f>
        <v>59.127254900808673</v>
      </c>
      <c r="J65" s="77">
        <f t="shared" si="9"/>
        <v>59.574971000949347</v>
      </c>
      <c r="K65" s="77">
        <f t="shared" si="9"/>
        <v>59.438392268330325</v>
      </c>
      <c r="L65" s="77">
        <f t="shared" si="9"/>
        <v>59.380206056696117</v>
      </c>
      <c r="N65" s="3"/>
      <c r="O65" s="3"/>
      <c r="P65" s="3"/>
      <c r="Q65" s="3"/>
      <c r="R65" s="3"/>
      <c r="S65" s="3"/>
      <c r="T65" s="3"/>
      <c r="U65" s="3"/>
      <c r="V65" s="3"/>
    </row>
    <row r="66" spans="1:22" ht="15.5" x14ac:dyDescent="0.35">
      <c r="A66" s="3"/>
      <c r="B66" s="3"/>
      <c r="C66" s="19" t="s">
        <v>105</v>
      </c>
      <c r="D66" s="23" t="s">
        <v>104</v>
      </c>
      <c r="E66" s="70">
        <f>+(E130/E98)*365</f>
        <v>53.20960953939678</v>
      </c>
      <c r="F66" s="70">
        <f t="shared" ref="F66:G66" si="10">+(F130/F98)*365</f>
        <v>49.659863945578238</v>
      </c>
      <c r="G66" s="70">
        <f t="shared" si="10"/>
        <v>50.252281947261658</v>
      </c>
      <c r="H66" s="77">
        <f t="shared" ref="H66:H67" si="11">+AVERAGE(E66:G66)</f>
        <v>51.040585144078896</v>
      </c>
      <c r="I66" s="77">
        <f t="shared" si="9"/>
        <v>50.317577012306266</v>
      </c>
      <c r="J66" s="77">
        <f t="shared" si="9"/>
        <v>50.536814701215604</v>
      </c>
      <c r="K66" s="77">
        <f t="shared" si="9"/>
        <v>50.631658952533591</v>
      </c>
      <c r="L66" s="77">
        <f t="shared" si="9"/>
        <v>50.495350222018487</v>
      </c>
      <c r="N66" s="3"/>
      <c r="O66" s="3"/>
      <c r="P66" s="3"/>
      <c r="Q66" s="3"/>
      <c r="R66" s="3"/>
      <c r="S66" s="3"/>
      <c r="T66" s="3"/>
      <c r="U66" s="3"/>
      <c r="V66" s="3"/>
    </row>
    <row r="67" spans="1:22" ht="15.5" x14ac:dyDescent="0.35">
      <c r="A67" s="3"/>
      <c r="B67" s="3"/>
      <c r="C67" s="19" t="s">
        <v>107</v>
      </c>
      <c r="D67" s="23" t="s">
        <v>104</v>
      </c>
      <c r="E67" s="70">
        <f>+(E145/E98)*365</f>
        <v>27.052840776245031</v>
      </c>
      <c r="F67" s="70">
        <f t="shared" ref="F67:G67" si="12">+(F145/F98)*365</f>
        <v>21.547330796725468</v>
      </c>
      <c r="G67" s="70">
        <f t="shared" si="12"/>
        <v>20.776495943204868</v>
      </c>
      <c r="H67" s="77">
        <f t="shared" si="11"/>
        <v>23.12555583872512</v>
      </c>
      <c r="I67" s="77">
        <f t="shared" si="9"/>
        <v>21.816460859551821</v>
      </c>
      <c r="J67" s="77">
        <f t="shared" si="9"/>
        <v>21.906170880493935</v>
      </c>
      <c r="K67" s="77">
        <f t="shared" si="9"/>
        <v>22.282729192923625</v>
      </c>
      <c r="L67" s="77">
        <f t="shared" si="9"/>
        <v>22.001786977656462</v>
      </c>
      <c r="N67" s="3"/>
      <c r="O67" s="3"/>
      <c r="P67" s="3"/>
      <c r="Q67" s="3"/>
      <c r="R67" s="3"/>
      <c r="S67" s="3"/>
      <c r="T67" s="3"/>
      <c r="U67" s="3"/>
      <c r="V67" s="3"/>
    </row>
    <row r="68" spans="1:22" ht="15.5" x14ac:dyDescent="0.35">
      <c r="A68" s="3"/>
      <c r="B68" s="3"/>
      <c r="C68" s="19"/>
      <c r="D68" s="20"/>
      <c r="E68" s="21"/>
      <c r="F68" s="21"/>
      <c r="G68" s="21"/>
      <c r="H68" s="21"/>
      <c r="I68" s="21"/>
      <c r="J68" s="21"/>
      <c r="K68" s="21"/>
      <c r="L68" s="21"/>
      <c r="N68" s="3"/>
      <c r="O68" s="3"/>
      <c r="P68" s="3"/>
      <c r="Q68" s="3"/>
      <c r="R68" s="3"/>
      <c r="S68" s="3"/>
      <c r="T68" s="3"/>
      <c r="U68" s="3"/>
      <c r="V68" s="3"/>
    </row>
    <row r="69" spans="1:22" ht="15.5" x14ac:dyDescent="0.35">
      <c r="A69" s="3"/>
      <c r="B69" s="3"/>
      <c r="C69" s="19" t="s">
        <v>127</v>
      </c>
      <c r="D69" s="20" t="s">
        <v>63</v>
      </c>
      <c r="E69" s="53">
        <f>+E131/E103</f>
        <v>0.9186500888099467</v>
      </c>
      <c r="F69" s="53">
        <f t="shared" ref="F69:G69" si="13">+F131/F103</f>
        <v>0.14973861090365945</v>
      </c>
      <c r="G69" s="53">
        <f t="shared" si="13"/>
        <v>0.14108398841539099</v>
      </c>
      <c r="H69" s="54">
        <f>AVERAGE(F69:G69)</f>
        <v>0.14541129965952521</v>
      </c>
      <c r="I69" s="54">
        <f t="shared" ref="I69:L69" si="14">AVERAGE(G69:H69)</f>
        <v>0.1432476440374581</v>
      </c>
      <c r="J69" s="54">
        <f t="shared" si="14"/>
        <v>0.14432947184849165</v>
      </c>
      <c r="K69" s="54">
        <f t="shared" si="14"/>
        <v>0.14378855794297488</v>
      </c>
      <c r="L69" s="54">
        <f t="shared" si="14"/>
        <v>0.14405901489573325</v>
      </c>
      <c r="N69" s="3"/>
      <c r="O69" s="3"/>
      <c r="P69" s="3"/>
      <c r="Q69" s="3"/>
      <c r="R69" s="3"/>
      <c r="S69" s="3"/>
      <c r="T69" s="3"/>
      <c r="U69" s="3"/>
      <c r="V69" s="3"/>
    </row>
    <row r="70" spans="1:22" ht="14.5" customHeight="1" x14ac:dyDescent="0.35">
      <c r="A70" s="3"/>
      <c r="B70" s="3"/>
      <c r="C70" s="19" t="s">
        <v>108</v>
      </c>
      <c r="D70" s="20" t="s">
        <v>63</v>
      </c>
      <c r="E70" s="53">
        <f>+E138/E96</f>
        <v>0.11008135833038557</v>
      </c>
      <c r="F70" s="53">
        <f t="shared" ref="F70:G70" si="15">+F138/F96</f>
        <v>0.1000414250207125</v>
      </c>
      <c r="G70" s="53">
        <f t="shared" si="15"/>
        <v>0.10690041029466617</v>
      </c>
      <c r="H70" s="55">
        <f>AVERAGE(E70:G70)</f>
        <v>0.10567439788192141</v>
      </c>
      <c r="I70" s="55">
        <f t="shared" ref="I70:L71" si="16">AVERAGE(F70:H70)</f>
        <v>0.1042054110657667</v>
      </c>
      <c r="J70" s="55">
        <f t="shared" si="16"/>
        <v>0.10559340641411809</v>
      </c>
      <c r="K70" s="55">
        <f t="shared" si="16"/>
        <v>0.10515773845393539</v>
      </c>
      <c r="L70" s="55">
        <f t="shared" si="16"/>
        <v>0.10498551864460672</v>
      </c>
      <c r="N70" s="3"/>
      <c r="O70" s="3"/>
      <c r="P70" s="3"/>
      <c r="Q70" s="3"/>
      <c r="R70" s="3"/>
      <c r="S70" s="3"/>
      <c r="T70" s="3"/>
      <c r="U70" s="3"/>
      <c r="V70" s="3"/>
    </row>
    <row r="71" spans="1:22" ht="15.5" x14ac:dyDescent="0.35">
      <c r="A71" s="3"/>
      <c r="B71" s="3"/>
      <c r="C71" s="19" t="s">
        <v>128</v>
      </c>
      <c r="D71" s="20" t="s">
        <v>63</v>
      </c>
      <c r="E71" s="53">
        <f>+E146/E103</f>
        <v>0.45186500888099468</v>
      </c>
      <c r="F71" s="53">
        <f t="shared" ref="F71:G71" si="17">+F146/F103</f>
        <v>0.48058252427184467</v>
      </c>
      <c r="G71" s="53">
        <f t="shared" si="17"/>
        <v>0.47000413736036406</v>
      </c>
      <c r="H71" s="55">
        <f t="shared" ref="H71" si="18">AVERAGE(E71:G71)</f>
        <v>0.46748389017106778</v>
      </c>
      <c r="I71" s="55">
        <f t="shared" si="16"/>
        <v>0.47269018393442552</v>
      </c>
      <c r="J71" s="55">
        <f t="shared" si="16"/>
        <v>0.47005940382195249</v>
      </c>
      <c r="K71" s="55">
        <f t="shared" si="16"/>
        <v>0.47007782597581532</v>
      </c>
      <c r="L71" s="55">
        <f t="shared" si="16"/>
        <v>0.47094247124406446</v>
      </c>
      <c r="N71" s="3"/>
      <c r="O71" s="3"/>
      <c r="P71" s="3"/>
      <c r="Q71" s="3"/>
      <c r="R71" s="3"/>
      <c r="S71" s="3"/>
      <c r="T71" s="3"/>
      <c r="U71" s="3"/>
      <c r="V71" s="3"/>
    </row>
    <row r="72" spans="1:22" ht="15.5" x14ac:dyDescent="0.35">
      <c r="A72" s="3"/>
      <c r="B72" s="3"/>
      <c r="C72" s="19"/>
      <c r="D72" s="20"/>
      <c r="E72" s="21"/>
      <c r="F72" s="21"/>
      <c r="G72" s="21"/>
      <c r="H72" s="53"/>
      <c r="I72" s="3"/>
      <c r="J72" s="3"/>
      <c r="K72" s="3"/>
      <c r="L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5" x14ac:dyDescent="0.35">
      <c r="A73" s="3"/>
      <c r="B73" s="3"/>
      <c r="C73" s="19" t="s">
        <v>129</v>
      </c>
      <c r="D73" s="20" t="s">
        <v>63</v>
      </c>
      <c r="E73" s="53">
        <f>+E147/E103</f>
        <v>0.20497335701598579</v>
      </c>
      <c r="F73" s="53">
        <f t="shared" ref="F73:G73" si="19">+F147/F103</f>
        <v>9.3353248693054516E-2</v>
      </c>
      <c r="G73" s="53">
        <f t="shared" si="19"/>
        <v>0.1063301613570542</v>
      </c>
      <c r="H73" s="54">
        <f>AVERAGE(F73:G73)</f>
        <v>9.984170502505435E-2</v>
      </c>
      <c r="I73" s="54">
        <f t="shared" ref="I73:L73" si="20">AVERAGE(G73:H73)</f>
        <v>0.10308593319105427</v>
      </c>
      <c r="J73" s="54">
        <f t="shared" si="20"/>
        <v>0.10146381910805431</v>
      </c>
      <c r="K73" s="54">
        <f t="shared" si="20"/>
        <v>0.1022748761495543</v>
      </c>
      <c r="L73" s="54">
        <f t="shared" si="20"/>
        <v>0.10186934762880431</v>
      </c>
      <c r="N73" s="3"/>
      <c r="O73" s="3"/>
      <c r="P73" s="3"/>
      <c r="Q73" s="3"/>
      <c r="R73" s="3"/>
      <c r="S73" s="3"/>
      <c r="T73" s="3"/>
      <c r="U73" s="3"/>
      <c r="V73" s="3"/>
    </row>
    <row r="74" spans="1:22" ht="15.5" x14ac:dyDescent="0.35">
      <c r="A74" s="3"/>
      <c r="B74" s="3"/>
      <c r="C74" s="19" t="s">
        <v>130</v>
      </c>
      <c r="D74" s="20" t="s">
        <v>63</v>
      </c>
      <c r="E74" s="53">
        <f>+E138/E103</f>
        <v>0.55275310834813496</v>
      </c>
      <c r="F74" s="53">
        <f t="shared" ref="F74:G74" si="21">+F138/F103</f>
        <v>0.54107542942494402</v>
      </c>
      <c r="G74" s="53">
        <f t="shared" si="21"/>
        <v>0.5928837401737691</v>
      </c>
      <c r="H74" s="55">
        <f>AVERAGE(E74:G74)</f>
        <v>0.56223742598228277</v>
      </c>
      <c r="I74" s="55">
        <f t="shared" ref="I74:L74" si="22">AVERAGE(F74:H74)</f>
        <v>0.56539886519366533</v>
      </c>
      <c r="J74" s="55">
        <f t="shared" si="22"/>
        <v>0.57350667711657233</v>
      </c>
      <c r="K74" s="55">
        <f t="shared" si="22"/>
        <v>0.56704765609750674</v>
      </c>
      <c r="L74" s="55">
        <f t="shared" si="22"/>
        <v>0.56865106613591487</v>
      </c>
      <c r="N74" s="3"/>
      <c r="O74" s="3"/>
      <c r="P74" s="3"/>
      <c r="Q74" s="3"/>
      <c r="R74" s="3"/>
      <c r="S74" s="3"/>
      <c r="T74" s="3"/>
      <c r="U74" s="3"/>
      <c r="V74" s="3"/>
    </row>
    <row r="75" spans="1:22" ht="15.5" x14ac:dyDescent="0.35">
      <c r="A75" s="3"/>
      <c r="B75" s="3"/>
      <c r="C75" s="19"/>
      <c r="D75" s="20"/>
      <c r="E75" s="21"/>
      <c r="F75" s="21"/>
      <c r="G75" s="21"/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5" x14ac:dyDescent="0.35">
      <c r="A76" s="3"/>
      <c r="B76" s="18" t="s">
        <v>61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N76" s="3"/>
      <c r="O76" s="3"/>
      <c r="P76" s="3"/>
      <c r="Q76" s="3"/>
      <c r="R76" s="3"/>
      <c r="S76" s="3"/>
      <c r="T76" s="3"/>
      <c r="U76" s="3"/>
      <c r="V76" s="3"/>
    </row>
    <row r="77" spans="1:22" ht="15.5" x14ac:dyDescent="0.35">
      <c r="A77" s="3"/>
      <c r="B77" s="3"/>
      <c r="C77" s="19" t="s">
        <v>84</v>
      </c>
      <c r="D77" s="23" t="s">
        <v>81</v>
      </c>
      <c r="E77" s="53"/>
      <c r="F77" s="53"/>
      <c r="G77" s="53"/>
      <c r="H77" s="57">
        <v>-285</v>
      </c>
      <c r="I77" s="57">
        <v>-325</v>
      </c>
      <c r="J77" s="57">
        <v>-375</v>
      </c>
      <c r="K77" s="57">
        <v>-425</v>
      </c>
      <c r="L77" s="57">
        <v>-475</v>
      </c>
      <c r="N77" s="3"/>
      <c r="O77" s="3"/>
      <c r="P77" s="3"/>
      <c r="Q77" s="3"/>
      <c r="R77" s="3"/>
      <c r="S77" s="3"/>
      <c r="T77" s="3"/>
      <c r="U77" s="3"/>
      <c r="V77" s="3"/>
    </row>
    <row r="78" spans="1:22" ht="15.5" x14ac:dyDescent="0.35">
      <c r="A78" s="3"/>
      <c r="B78" s="3"/>
      <c r="C78" s="19" t="s">
        <v>103</v>
      </c>
      <c r="D78" s="23" t="s">
        <v>63</v>
      </c>
      <c r="E78" s="53">
        <f>E170/E96</f>
        <v>2.1153165900247611E-2</v>
      </c>
      <c r="F78" s="53">
        <f t="shared" ref="F78:G78" si="23">F170/F96</f>
        <v>1.8088925711129522E-2</v>
      </c>
      <c r="G78" s="53">
        <f t="shared" si="23"/>
        <v>1.8202163371876166E-2</v>
      </c>
      <c r="H78" s="54">
        <f>AVERAGE(E78:G78)</f>
        <v>1.9148084994417766E-2</v>
      </c>
      <c r="I78" s="54">
        <f t="shared" ref="I78:L78" si="24">AVERAGE(F78:H78)</f>
        <v>1.8479724692474483E-2</v>
      </c>
      <c r="J78" s="54">
        <f t="shared" si="24"/>
        <v>1.8609991019589472E-2</v>
      </c>
      <c r="K78" s="54">
        <f t="shared" si="24"/>
        <v>1.8745933568827242E-2</v>
      </c>
      <c r="L78" s="54">
        <f t="shared" si="24"/>
        <v>1.8611883093630401E-2</v>
      </c>
      <c r="N78" s="3"/>
      <c r="O78" s="3"/>
      <c r="P78" s="3"/>
      <c r="Q78" s="3"/>
      <c r="R78" s="3"/>
      <c r="S78" s="3"/>
      <c r="T78" s="3"/>
      <c r="U78" s="3"/>
      <c r="V78" s="3"/>
    </row>
    <row r="79" spans="1:22" ht="15.5" x14ac:dyDescent="0.35">
      <c r="A79" s="3"/>
      <c r="B79" s="3"/>
      <c r="C79" s="19"/>
      <c r="D79" s="19"/>
      <c r="E79" s="19"/>
      <c r="F79" s="19"/>
      <c r="G79" s="19"/>
      <c r="H79" s="19"/>
      <c r="I79" s="19"/>
      <c r="J79" s="19"/>
      <c r="K79" s="19"/>
      <c r="L79" s="19"/>
      <c r="N79" s="3"/>
      <c r="O79" s="3"/>
      <c r="P79" s="3"/>
      <c r="Q79" s="3"/>
      <c r="R79" s="3"/>
      <c r="S79" s="3"/>
      <c r="T79" s="3"/>
      <c r="U79" s="3"/>
      <c r="V79" s="3"/>
    </row>
    <row r="80" spans="1:22" ht="15.5" x14ac:dyDescent="0.35">
      <c r="A80" s="3"/>
      <c r="B80" s="3"/>
      <c r="C80" s="19" t="s">
        <v>113</v>
      </c>
      <c r="D80" s="20" t="s">
        <v>63</v>
      </c>
      <c r="E80" s="53">
        <f>E174/E96</f>
        <v>2.6176158471878318E-3</v>
      </c>
      <c r="F80" s="53">
        <f t="shared" ref="F80:G80" si="25">F174/F96</f>
        <v>2.6926263463131731E-3</v>
      </c>
      <c r="G80" s="53">
        <f t="shared" si="25"/>
        <v>3.0585602387168966E-3</v>
      </c>
      <c r="H80" s="55">
        <f>AVERAGE(E80:G80)</f>
        <v>2.7896008107393005E-3</v>
      </c>
      <c r="I80" s="55">
        <f t="shared" ref="I80:L80" si="26">AVERAGE(F80:H80)</f>
        <v>2.8469291319231232E-3</v>
      </c>
      <c r="J80" s="55">
        <f t="shared" si="26"/>
        <v>2.8983633937931068E-3</v>
      </c>
      <c r="K80" s="55">
        <f t="shared" si="26"/>
        <v>2.8449644454851767E-3</v>
      </c>
      <c r="L80" s="55">
        <f t="shared" si="26"/>
        <v>2.8634189904004691E-3</v>
      </c>
      <c r="N80" s="3"/>
      <c r="O80" s="3"/>
      <c r="P80" s="3"/>
      <c r="Q80" s="3"/>
      <c r="R80" s="3"/>
      <c r="S80" s="3"/>
      <c r="T80" s="3"/>
      <c r="U80" s="3"/>
      <c r="V80" s="3"/>
    </row>
    <row r="81" spans="1:22" ht="15.5" x14ac:dyDescent="0.35">
      <c r="A81" s="3"/>
      <c r="B81" s="3"/>
      <c r="C81" s="19"/>
      <c r="D81" s="19"/>
      <c r="E81" s="19"/>
      <c r="F81" s="19"/>
      <c r="G81" s="19"/>
      <c r="H81" s="19"/>
      <c r="I81" s="19"/>
      <c r="J81" s="19"/>
      <c r="K81" s="19"/>
      <c r="L81" s="19"/>
      <c r="N81" s="3"/>
      <c r="O81" s="3"/>
      <c r="P81" s="3"/>
      <c r="Q81" s="3"/>
      <c r="R81" s="3"/>
      <c r="S81" s="3"/>
      <c r="T81" s="3"/>
      <c r="U81" s="3"/>
      <c r="V81" s="3"/>
    </row>
    <row r="82" spans="1:22" ht="15.5" x14ac:dyDescent="0.35">
      <c r="A82" s="3"/>
      <c r="B82" s="3"/>
      <c r="C82" s="71" t="s">
        <v>118</v>
      </c>
      <c r="D82" s="20" t="s">
        <v>63</v>
      </c>
      <c r="E82" s="53">
        <f>E173/E117</f>
        <v>-8.368200836820083E-3</v>
      </c>
      <c r="F82" s="53">
        <f t="shared" ref="F82:G82" si="27">F173/F117</f>
        <v>-6.7985166872682329E-2</v>
      </c>
      <c r="G82" s="53">
        <f t="shared" si="27"/>
        <v>1.3414634146341463E-2</v>
      </c>
      <c r="H82" s="55">
        <f>AVERAGE(E82:G82)</f>
        <v>-2.0979577854386981E-2</v>
      </c>
      <c r="I82" s="55">
        <f t="shared" ref="I82:L82" si="28">AVERAGE(F82:H82)</f>
        <v>-2.5183370193575947E-2</v>
      </c>
      <c r="J82" s="55">
        <f t="shared" si="28"/>
        <v>-1.0916104633873823E-2</v>
      </c>
      <c r="K82" s="55">
        <f t="shared" si="28"/>
        <v>-1.9026350893945585E-2</v>
      </c>
      <c r="L82" s="55">
        <f t="shared" si="28"/>
        <v>-1.8375275240465117E-2</v>
      </c>
      <c r="N82" s="3"/>
      <c r="O82" s="3"/>
      <c r="P82" s="3"/>
      <c r="Q82" s="3"/>
      <c r="R82" s="3"/>
      <c r="S82" s="3"/>
      <c r="T82" s="3"/>
      <c r="U82" s="3"/>
      <c r="V82" s="3"/>
    </row>
    <row r="83" spans="1:22" ht="15.5" x14ac:dyDescent="0.35">
      <c r="A83" s="3"/>
      <c r="B83" s="3"/>
      <c r="C83" s="19" t="s">
        <v>102</v>
      </c>
      <c r="D83" s="20" t="s">
        <v>63</v>
      </c>
      <c r="E83" s="53">
        <f>E191/E122</f>
        <v>-0.31447290053603333</v>
      </c>
      <c r="F83" s="53">
        <f t="shared" ref="F83:G83" si="29">F191/F122</f>
        <v>-0.24134419551934827</v>
      </c>
      <c r="G83" s="53">
        <f t="shared" si="29"/>
        <v>-0.39073196419167983</v>
      </c>
      <c r="H83" s="55">
        <f>AVERAGE(E83:G83)</f>
        <v>-0.31551635341568712</v>
      </c>
      <c r="I83" s="55">
        <f t="shared" ref="I83:L83" si="30">AVERAGE(F83:H83)</f>
        <v>-0.31586417104223835</v>
      </c>
      <c r="J83" s="55">
        <f t="shared" si="30"/>
        <v>-0.34070416288320177</v>
      </c>
      <c r="K83" s="55">
        <f t="shared" si="30"/>
        <v>-0.3240282291137091</v>
      </c>
      <c r="L83" s="55">
        <f t="shared" si="30"/>
        <v>-0.32686552101304972</v>
      </c>
      <c r="N83" s="3"/>
      <c r="O83" s="3"/>
      <c r="P83" s="3"/>
      <c r="Q83" s="3"/>
      <c r="R83" s="3"/>
      <c r="S83" s="3"/>
      <c r="T83" s="3"/>
      <c r="U83" s="3"/>
      <c r="V83" s="3"/>
    </row>
    <row r="84" spans="1:22" ht="15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5" x14ac:dyDescent="0.35">
      <c r="A85" s="3"/>
      <c r="B85" s="3"/>
      <c r="C85" s="19" t="s">
        <v>85</v>
      </c>
      <c r="D85" s="23" t="s">
        <v>81</v>
      </c>
      <c r="E85" s="24">
        <f t="shared" ref="E85:G85" si="31">-E192</f>
        <v>1900</v>
      </c>
      <c r="F85" s="24">
        <f t="shared" si="31"/>
        <v>4198</v>
      </c>
      <c r="G85" s="24">
        <f t="shared" si="31"/>
        <v>1943</v>
      </c>
      <c r="H85" s="57">
        <v>1000</v>
      </c>
      <c r="I85" s="73">
        <f>+H85</f>
        <v>1000</v>
      </c>
      <c r="J85" s="73">
        <f t="shared" ref="J85:L85" si="32">+I85</f>
        <v>1000</v>
      </c>
      <c r="K85" s="73">
        <f t="shared" si="32"/>
        <v>1000</v>
      </c>
      <c r="L85" s="73">
        <f t="shared" si="32"/>
        <v>1000</v>
      </c>
      <c r="N85" s="3"/>
      <c r="O85" s="3"/>
      <c r="P85" s="3"/>
      <c r="Q85" s="3"/>
      <c r="R85" s="3"/>
      <c r="S85" s="3"/>
      <c r="T85" s="3"/>
      <c r="U85" s="3"/>
      <c r="V85" s="3"/>
    </row>
    <row r="86" spans="1:22" ht="15.5" x14ac:dyDescent="0.35">
      <c r="A86" s="3"/>
      <c r="B86" s="3"/>
      <c r="C86" s="19"/>
      <c r="D86" s="23"/>
      <c r="E86" s="25"/>
      <c r="F86" s="25"/>
      <c r="G86" s="25"/>
      <c r="H86" s="3"/>
      <c r="I86" s="3"/>
      <c r="J86" s="3"/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5" x14ac:dyDescent="0.35">
      <c r="A87" s="3"/>
      <c r="B87" s="3"/>
      <c r="C87" s="19" t="s">
        <v>119</v>
      </c>
      <c r="D87" s="23" t="s">
        <v>81</v>
      </c>
      <c r="E87" s="25"/>
      <c r="F87" s="25"/>
      <c r="G87" s="25"/>
      <c r="H87" s="57">
        <v>0</v>
      </c>
      <c r="I87" s="57">
        <v>0</v>
      </c>
      <c r="J87" s="57">
        <v>0</v>
      </c>
      <c r="K87" s="57">
        <v>0</v>
      </c>
      <c r="L87" s="57">
        <v>0</v>
      </c>
      <c r="N87" s="3"/>
      <c r="O87" s="3"/>
      <c r="P87" s="3"/>
      <c r="Q87" s="3"/>
      <c r="R87" s="3"/>
      <c r="S87" s="3"/>
      <c r="T87" s="3"/>
      <c r="U87" s="3"/>
      <c r="V87" s="3"/>
    </row>
    <row r="88" spans="1:22" ht="15.5" x14ac:dyDescent="0.35">
      <c r="A88" s="3"/>
      <c r="B88" s="3"/>
      <c r="C88" s="19" t="s">
        <v>115</v>
      </c>
      <c r="D88" s="23" t="s">
        <v>81</v>
      </c>
      <c r="E88" s="25"/>
      <c r="F88" s="25"/>
      <c r="G88" s="25"/>
      <c r="H88" s="57">
        <v>0</v>
      </c>
      <c r="I88" s="57">
        <v>0</v>
      </c>
      <c r="J88" s="57">
        <v>0</v>
      </c>
      <c r="K88" s="57">
        <v>0</v>
      </c>
      <c r="L88" s="57">
        <v>0</v>
      </c>
      <c r="N88" s="3"/>
      <c r="O88" s="3"/>
      <c r="P88" s="3"/>
      <c r="Q88" s="3"/>
      <c r="R88" s="3"/>
      <c r="S88" s="3"/>
      <c r="T88" s="3"/>
      <c r="U88" s="3"/>
      <c r="V88" s="3"/>
    </row>
    <row r="89" spans="1:22" ht="15.5" x14ac:dyDescent="0.35">
      <c r="A89" s="3"/>
      <c r="B89" s="3"/>
      <c r="C89" s="19" t="s">
        <v>116</v>
      </c>
      <c r="D89" s="23" t="s">
        <v>81</v>
      </c>
      <c r="E89" s="25"/>
      <c r="F89" s="25"/>
      <c r="G89" s="25"/>
      <c r="H89" s="57">
        <v>0</v>
      </c>
      <c r="I89" s="57">
        <v>0</v>
      </c>
      <c r="J89" s="57">
        <v>0</v>
      </c>
      <c r="K89" s="57">
        <v>0</v>
      </c>
      <c r="L89" s="57">
        <v>0</v>
      </c>
      <c r="N89" s="3"/>
      <c r="O89" s="3"/>
      <c r="P89" s="3"/>
      <c r="Q89" s="3"/>
      <c r="R89" s="3"/>
      <c r="S89" s="3"/>
      <c r="T89" s="3"/>
      <c r="U89" s="3"/>
      <c r="V89" s="3"/>
    </row>
    <row r="90" spans="1:22" ht="15.5" x14ac:dyDescent="0.35">
      <c r="A90" s="3"/>
      <c r="B90" s="3"/>
      <c r="C90" s="19"/>
      <c r="D90" s="23"/>
      <c r="E90" s="25"/>
      <c r="F90" s="25"/>
      <c r="G90" s="25"/>
      <c r="H90" s="3"/>
      <c r="I90" s="3"/>
      <c r="J90" s="3"/>
      <c r="K90" s="3"/>
      <c r="L90" s="3"/>
      <c r="M90" s="3"/>
    </row>
    <row r="91" spans="1:22" ht="15.5" x14ac:dyDescent="0.35">
      <c r="A91" s="3"/>
      <c r="B91" s="3"/>
      <c r="C91" s="19" t="s">
        <v>114</v>
      </c>
      <c r="D91" s="23" t="s">
        <v>63</v>
      </c>
      <c r="E91" s="53">
        <f>E197/E96</f>
        <v>-6.5794128050937388E-3</v>
      </c>
      <c r="F91" s="53">
        <f t="shared" ref="F91:G91" si="33">F197/F96</f>
        <v>-3.6937310135321734E-2</v>
      </c>
      <c r="G91" s="53">
        <f t="shared" si="33"/>
        <v>-3.4539350988437148E-2</v>
      </c>
      <c r="H91" s="55">
        <f>AVERAGE($E$91:$G$91)</f>
        <v>-2.601869130961754E-2</v>
      </c>
      <c r="I91" s="55">
        <f t="shared" ref="I91:L91" si="34">AVERAGE($E$91:$G$91)</f>
        <v>-2.601869130961754E-2</v>
      </c>
      <c r="J91" s="55">
        <f t="shared" si="34"/>
        <v>-2.601869130961754E-2</v>
      </c>
      <c r="K91" s="55">
        <f t="shared" si="34"/>
        <v>-2.601869130961754E-2</v>
      </c>
      <c r="L91" s="55">
        <f t="shared" si="34"/>
        <v>-2.601869130961754E-2</v>
      </c>
    </row>
    <row r="92" spans="1:22" ht="15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22" ht="15.5" x14ac:dyDescent="0.35">
      <c r="A93" s="3"/>
      <c r="B93" s="12"/>
      <c r="C93" s="12"/>
      <c r="D93" s="12"/>
      <c r="E93" s="13" t="str">
        <f>$E$43</f>
        <v>Historical</v>
      </c>
      <c r="F93" s="13"/>
      <c r="G93" s="13"/>
      <c r="H93" s="14" t="str">
        <f>$H$43</f>
        <v>Projected</v>
      </c>
      <c r="I93" s="13"/>
      <c r="J93" s="13"/>
      <c r="K93" s="13"/>
      <c r="L93" s="13"/>
    </row>
    <row r="94" spans="1:22" ht="15.5" x14ac:dyDescent="0.35">
      <c r="A94" s="3"/>
      <c r="B94" s="58" t="s">
        <v>7</v>
      </c>
      <c r="C94" s="58"/>
      <c r="D94" s="59" t="str">
        <f>$D$44</f>
        <v>Units:</v>
      </c>
      <c r="E94" s="60">
        <f>$E$44</f>
        <v>41639</v>
      </c>
      <c r="F94" s="60">
        <f>$F$44</f>
        <v>42004</v>
      </c>
      <c r="G94" s="60">
        <f>$G$44</f>
        <v>42369</v>
      </c>
      <c r="H94" s="61">
        <f>$H$44</f>
        <v>42735</v>
      </c>
      <c r="I94" s="60">
        <f>$I$44</f>
        <v>43100</v>
      </c>
      <c r="J94" s="60">
        <f>$J$44</f>
        <v>43465</v>
      </c>
      <c r="K94" s="60">
        <f>$K$44</f>
        <v>43830</v>
      </c>
      <c r="L94" s="60">
        <f>$L$44</f>
        <v>44196</v>
      </c>
    </row>
    <row r="95" spans="1:22" ht="15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22" ht="15.5" x14ac:dyDescent="0.35">
      <c r="A96" s="3"/>
      <c r="B96" s="3"/>
      <c r="C96" s="4" t="s">
        <v>30</v>
      </c>
      <c r="D96" s="23" t="s">
        <v>81</v>
      </c>
      <c r="E96" s="74">
        <v>14135</v>
      </c>
      <c r="F96" s="74">
        <v>14484</v>
      </c>
      <c r="G96" s="74">
        <v>13405</v>
      </c>
      <c r="H96" s="40">
        <f>G96*(1+H46)</f>
        <v>14075.25</v>
      </c>
      <c r="I96" s="40">
        <f t="shared" ref="I96:L96" si="35">H96*(1+I46)</f>
        <v>14638.26</v>
      </c>
      <c r="J96" s="40">
        <f t="shared" si="35"/>
        <v>15223.7904</v>
      </c>
      <c r="K96" s="40">
        <f t="shared" si="35"/>
        <v>15680.504112000001</v>
      </c>
      <c r="L96" s="40">
        <f t="shared" si="35"/>
        <v>16150.919235360001</v>
      </c>
    </row>
    <row r="97" spans="1:12" ht="15.5" x14ac:dyDescent="0.35">
      <c r="A97" s="3"/>
      <c r="B97" s="3"/>
      <c r="C97" s="3"/>
      <c r="D97" s="3"/>
      <c r="E97" s="28"/>
      <c r="F97" s="28"/>
      <c r="G97" s="28"/>
      <c r="H97" s="24"/>
      <c r="I97" s="24"/>
      <c r="J97" s="24"/>
      <c r="K97" s="24"/>
      <c r="L97" s="24"/>
    </row>
    <row r="98" spans="1:12" ht="15.5" x14ac:dyDescent="0.35">
      <c r="A98" s="3"/>
      <c r="B98" s="3"/>
      <c r="C98" s="3" t="s">
        <v>67</v>
      </c>
      <c r="D98" s="23" t="s">
        <v>81</v>
      </c>
      <c r="E98" s="28">
        <v>8554</v>
      </c>
      <c r="F98" s="28">
        <v>8673</v>
      </c>
      <c r="G98" s="28">
        <v>7888</v>
      </c>
      <c r="H98" s="24">
        <f>H96-H100</f>
        <v>8240.17425</v>
      </c>
      <c r="I98" s="24">
        <f t="shared" ref="I98:L98" si="36">I96-I100</f>
        <v>8525.8664399999998</v>
      </c>
      <c r="J98" s="24">
        <f t="shared" si="36"/>
        <v>8821.229726399999</v>
      </c>
      <c r="K98" s="24">
        <f t="shared" si="36"/>
        <v>9038.8251058559999</v>
      </c>
      <c r="L98" s="24">
        <f t="shared" si="36"/>
        <v>9261.5371013256008</v>
      </c>
    </row>
    <row r="99" spans="1:12" ht="15.5" x14ac:dyDescent="0.35">
      <c r="A99" s="3"/>
      <c r="B99" s="3"/>
      <c r="C99" s="3"/>
      <c r="D99" s="3"/>
      <c r="E99" s="28"/>
      <c r="F99" s="28"/>
      <c r="G99" s="28"/>
      <c r="H99" s="24"/>
      <c r="I99" s="24"/>
      <c r="J99" s="24"/>
      <c r="K99" s="24"/>
      <c r="L99" s="24"/>
    </row>
    <row r="100" spans="1:12" ht="15.5" x14ac:dyDescent="0.35">
      <c r="A100" s="3"/>
      <c r="B100" s="3"/>
      <c r="C100" s="29" t="s">
        <v>8</v>
      </c>
      <c r="D100" s="23" t="s">
        <v>81</v>
      </c>
      <c r="E100" s="78">
        <v>5581</v>
      </c>
      <c r="F100" s="78">
        <v>5811</v>
      </c>
      <c r="G100" s="78">
        <v>5517</v>
      </c>
      <c r="H100" s="30">
        <f>H96*H47</f>
        <v>5835.07575</v>
      </c>
      <c r="I100" s="30">
        <f t="shared" ref="I100:L100" si="37">I96*I47</f>
        <v>6112.3935600000004</v>
      </c>
      <c r="J100" s="30">
        <f t="shared" si="37"/>
        <v>6402.5606736000009</v>
      </c>
      <c r="K100" s="30">
        <f t="shared" si="37"/>
        <v>6641.6790061440006</v>
      </c>
      <c r="L100" s="30">
        <f t="shared" si="37"/>
        <v>6889.3821340344011</v>
      </c>
    </row>
    <row r="101" spans="1:12" ht="15.5" x14ac:dyDescent="0.35">
      <c r="A101" s="3"/>
      <c r="B101" s="3"/>
      <c r="C101" s="27"/>
      <c r="D101" s="3"/>
      <c r="E101" s="31"/>
      <c r="F101" s="31"/>
      <c r="G101" s="31"/>
      <c r="H101" s="24"/>
      <c r="I101" s="24"/>
      <c r="J101" s="24"/>
      <c r="K101" s="24"/>
      <c r="L101" s="24"/>
    </row>
    <row r="102" spans="1:12" ht="15.5" x14ac:dyDescent="0.35">
      <c r="A102" s="3"/>
      <c r="B102" s="3"/>
      <c r="C102" s="4" t="s">
        <v>78</v>
      </c>
      <c r="D102" s="3"/>
      <c r="E102" s="24"/>
      <c r="F102" s="24"/>
      <c r="G102" s="24"/>
      <c r="H102" s="24"/>
      <c r="I102" s="24"/>
      <c r="J102" s="24"/>
      <c r="K102" s="24"/>
      <c r="L102" s="24"/>
    </row>
    <row r="103" spans="1:12" ht="15.5" x14ac:dyDescent="0.35">
      <c r="A103" s="3"/>
      <c r="B103" s="3"/>
      <c r="C103" s="19" t="s">
        <v>97</v>
      </c>
      <c r="D103" s="23" t="s">
        <v>81</v>
      </c>
      <c r="E103" s="28">
        <v>2815</v>
      </c>
      <c r="F103" s="28">
        <v>2678</v>
      </c>
      <c r="G103" s="28">
        <v>2417</v>
      </c>
      <c r="H103" s="24">
        <f>H96*H48</f>
        <v>2533.5450000000001</v>
      </c>
      <c r="I103" s="24">
        <f t="shared" ref="I103:L103" si="38">I96*I48</f>
        <v>2561.6954999999998</v>
      </c>
      <c r="J103" s="24">
        <f t="shared" si="38"/>
        <v>2664.1633199999997</v>
      </c>
      <c r="K103" s="24">
        <f t="shared" si="38"/>
        <v>2665.6856990400001</v>
      </c>
      <c r="L103" s="24">
        <f t="shared" si="38"/>
        <v>2745.6562700112004</v>
      </c>
    </row>
    <row r="104" spans="1:12" ht="15.5" x14ac:dyDescent="0.35">
      <c r="A104" s="3"/>
      <c r="B104" s="3"/>
      <c r="C104" s="32" t="s">
        <v>98</v>
      </c>
      <c r="D104" s="23" t="s">
        <v>81</v>
      </c>
      <c r="E104" s="28">
        <v>250</v>
      </c>
      <c r="F104" s="28">
        <v>242</v>
      </c>
      <c r="G104" s="28">
        <v>231</v>
      </c>
      <c r="H104" s="24">
        <f>H50</f>
        <v>217</v>
      </c>
      <c r="I104" s="24">
        <f t="shared" ref="I104:L104" si="39">I50</f>
        <v>196</v>
      </c>
      <c r="J104" s="24">
        <f t="shared" si="39"/>
        <v>175</v>
      </c>
      <c r="K104" s="24">
        <f t="shared" si="39"/>
        <v>153</v>
      </c>
      <c r="L104" s="24">
        <f t="shared" si="39"/>
        <v>134</v>
      </c>
    </row>
    <row r="105" spans="1:12" ht="15.5" x14ac:dyDescent="0.35">
      <c r="A105" s="3"/>
      <c r="B105" s="3"/>
      <c r="C105" s="33" t="s">
        <v>95</v>
      </c>
      <c r="D105" s="67" t="s">
        <v>81</v>
      </c>
      <c r="E105" s="34">
        <v>2</v>
      </c>
      <c r="F105" s="34">
        <v>3</v>
      </c>
      <c r="G105" s="34">
        <v>2</v>
      </c>
      <c r="H105" s="35">
        <f>H51</f>
        <v>0</v>
      </c>
      <c r="I105" s="35">
        <f t="shared" ref="I105:L105" si="40">I51</f>
        <v>0</v>
      </c>
      <c r="J105" s="35">
        <f t="shared" si="40"/>
        <v>0</v>
      </c>
      <c r="K105" s="35">
        <f t="shared" si="40"/>
        <v>0</v>
      </c>
      <c r="L105" s="35">
        <f t="shared" si="40"/>
        <v>0</v>
      </c>
    </row>
    <row r="106" spans="1:12" ht="15.5" x14ac:dyDescent="0.35">
      <c r="A106" s="3"/>
      <c r="B106" s="3"/>
      <c r="C106" s="36" t="s">
        <v>79</v>
      </c>
      <c r="D106" s="23" t="s">
        <v>81</v>
      </c>
      <c r="E106" s="78">
        <v>3067</v>
      </c>
      <c r="F106" s="78">
        <v>2923</v>
      </c>
      <c r="G106" s="78">
        <v>2650</v>
      </c>
      <c r="H106" s="37">
        <f>H100-SUM(H103:H105)</f>
        <v>3084.5307499999999</v>
      </c>
      <c r="I106" s="37">
        <f t="shared" ref="I106:L106" si="41">I100-SUM(I103:I105)</f>
        <v>3354.6980600000006</v>
      </c>
      <c r="J106" s="37">
        <f t="shared" si="41"/>
        <v>3563.3973536000012</v>
      </c>
      <c r="K106" s="37">
        <f t="shared" si="41"/>
        <v>3822.9933071040005</v>
      </c>
      <c r="L106" s="37">
        <f t="shared" si="41"/>
        <v>4009.7258640232008</v>
      </c>
    </row>
    <row r="107" spans="1:12" ht="15.5" x14ac:dyDescent="0.35">
      <c r="A107" s="3"/>
      <c r="B107" s="3"/>
      <c r="C107" s="32"/>
      <c r="D107" s="3"/>
      <c r="E107" s="28"/>
      <c r="F107" s="28"/>
      <c r="G107" s="28"/>
      <c r="H107" s="24"/>
      <c r="I107" s="24"/>
      <c r="J107" s="24"/>
      <c r="K107" s="24"/>
      <c r="L107" s="24"/>
    </row>
    <row r="108" spans="1:12" ht="15.5" x14ac:dyDescent="0.35">
      <c r="A108" s="3"/>
      <c r="B108" s="3"/>
      <c r="C108" s="29" t="s">
        <v>31</v>
      </c>
      <c r="D108" s="23" t="s">
        <v>81</v>
      </c>
      <c r="E108" s="78">
        <v>2514</v>
      </c>
      <c r="F108" s="78">
        <v>2888</v>
      </c>
      <c r="G108" s="78">
        <v>2867</v>
      </c>
      <c r="H108" s="30">
        <f>H106-H170</f>
        <v>2815.0166666823211</v>
      </c>
      <c r="I108" s="30">
        <f t="shared" ref="I108:L108" si="42">I106-I170</f>
        <v>3084.1870452231392</v>
      </c>
      <c r="J108" s="30">
        <f t="shared" si="42"/>
        <v>3280.0827509718888</v>
      </c>
      <c r="K108" s="30">
        <f t="shared" si="42"/>
        <v>3529.0476186947262</v>
      </c>
      <c r="L108" s="30">
        <f t="shared" si="42"/>
        <v>3709.1268433600139</v>
      </c>
    </row>
    <row r="109" spans="1:12" ht="15.5" x14ac:dyDescent="0.35">
      <c r="A109" s="3"/>
      <c r="B109" s="3"/>
      <c r="C109" s="27" t="s">
        <v>32</v>
      </c>
      <c r="D109" s="23" t="s">
        <v>63</v>
      </c>
      <c r="E109" s="79">
        <v>0.17785638486027591</v>
      </c>
      <c r="F109" s="79">
        <v>0.19939243302954984</v>
      </c>
      <c r="G109" s="79">
        <v>0.21387541961954495</v>
      </c>
      <c r="H109" s="48"/>
      <c r="I109" s="48"/>
      <c r="J109" s="48"/>
      <c r="K109" s="48"/>
      <c r="L109" s="48"/>
    </row>
    <row r="110" spans="1:12" ht="15.5" x14ac:dyDescent="0.35">
      <c r="A110" s="3"/>
      <c r="B110" s="3"/>
      <c r="C110" s="3"/>
      <c r="D110" s="3"/>
      <c r="E110" s="24"/>
      <c r="F110" s="24"/>
      <c r="G110" s="24"/>
      <c r="H110" s="24"/>
      <c r="I110" s="24"/>
      <c r="J110" s="24"/>
      <c r="K110" s="24"/>
      <c r="L110" s="24"/>
    </row>
    <row r="111" spans="1:12" ht="15.5" x14ac:dyDescent="0.35">
      <c r="A111" s="3"/>
      <c r="B111" s="3"/>
      <c r="C111" s="4" t="s">
        <v>33</v>
      </c>
      <c r="D111" s="3"/>
      <c r="E111" s="24"/>
      <c r="F111" s="24"/>
      <c r="G111" s="24"/>
      <c r="H111" s="24"/>
      <c r="I111" s="24"/>
      <c r="J111" s="24"/>
      <c r="K111" s="24"/>
      <c r="L111" s="24"/>
    </row>
    <row r="112" spans="1:12" ht="15.5" x14ac:dyDescent="0.35">
      <c r="A112" s="3"/>
      <c r="B112" s="3"/>
      <c r="C112" s="32" t="s">
        <v>64</v>
      </c>
      <c r="D112" s="23" t="s">
        <v>81</v>
      </c>
      <c r="E112" s="28">
        <v>-239</v>
      </c>
      <c r="F112" s="28">
        <v>-250</v>
      </c>
      <c r="G112" s="28">
        <v>-226</v>
      </c>
      <c r="H112" s="24">
        <f>H59</f>
        <v>-267.19200000000001</v>
      </c>
      <c r="I112" s="24">
        <f t="shared" ref="I112:L112" si="43">I59</f>
        <v>-240.47280000000001</v>
      </c>
      <c r="J112" s="24">
        <f t="shared" si="43"/>
        <v>-216.42552000000001</v>
      </c>
      <c r="K112" s="24">
        <f t="shared" si="43"/>
        <v>-194.78296800000001</v>
      </c>
      <c r="L112" s="24">
        <f t="shared" si="43"/>
        <v>-175.3046712</v>
      </c>
    </row>
    <row r="113" spans="1:12" ht="14.5" customHeight="1" x14ac:dyDescent="0.35">
      <c r="A113" s="3"/>
      <c r="B113" s="3"/>
      <c r="C113" s="33" t="s">
        <v>121</v>
      </c>
      <c r="D113" s="67" t="s">
        <v>81</v>
      </c>
      <c r="E113" s="34">
        <v>72</v>
      </c>
      <c r="F113" s="34">
        <v>61</v>
      </c>
      <c r="G113" s="34">
        <v>78</v>
      </c>
      <c r="H113" s="35">
        <f ca="1">H128*Cash_Interest_Rate</f>
        <v>11.964417107424929</v>
      </c>
      <c r="I113" s="35"/>
      <c r="J113" s="35"/>
      <c r="K113" s="35"/>
      <c r="L113" s="35"/>
    </row>
    <row r="114" spans="1:12" ht="15.5" x14ac:dyDescent="0.35">
      <c r="A114" s="3"/>
      <c r="B114" s="3"/>
      <c r="C114" s="36" t="s">
        <v>34</v>
      </c>
      <c r="D114" s="23" t="s">
        <v>81</v>
      </c>
      <c r="E114" s="78">
        <v>-167</v>
      </c>
      <c r="F114" s="78">
        <v>-189</v>
      </c>
      <c r="G114" s="78">
        <v>-148</v>
      </c>
      <c r="H114" s="37">
        <f ca="1">SUM(H112:H113)</f>
        <v>-255.22758289257507</v>
      </c>
      <c r="I114" s="37">
        <f t="shared" ref="I114:L114" si="44">SUM(I112:I113)</f>
        <v>-240.47280000000001</v>
      </c>
      <c r="J114" s="37">
        <f t="shared" si="44"/>
        <v>-216.42552000000001</v>
      </c>
      <c r="K114" s="37">
        <f t="shared" si="44"/>
        <v>-194.78296800000001</v>
      </c>
      <c r="L114" s="37">
        <f t="shared" si="44"/>
        <v>-175.3046712</v>
      </c>
    </row>
    <row r="115" spans="1:12" ht="15.5" x14ac:dyDescent="0.35">
      <c r="A115" s="3"/>
      <c r="B115" s="3"/>
      <c r="C115" s="32"/>
      <c r="D115" s="3"/>
      <c r="E115" s="28"/>
      <c r="F115" s="28"/>
      <c r="G115" s="28"/>
      <c r="H115" s="24"/>
      <c r="I115" s="24"/>
      <c r="J115" s="24"/>
      <c r="K115" s="24"/>
      <c r="L115" s="24"/>
    </row>
    <row r="116" spans="1:12" ht="15.5" x14ac:dyDescent="0.35">
      <c r="A116" s="3"/>
      <c r="B116" s="3"/>
      <c r="C116" s="29" t="s">
        <v>35</v>
      </c>
      <c r="D116" s="23" t="s">
        <v>81</v>
      </c>
      <c r="E116" s="78">
        <v>2347</v>
      </c>
      <c r="F116" s="78">
        <v>2699</v>
      </c>
      <c r="G116" s="78">
        <v>2719</v>
      </c>
      <c r="H116" s="30">
        <f ca="1">H108+H114</f>
        <v>2559.7890837897462</v>
      </c>
      <c r="I116" s="30">
        <f t="shared" ref="I116:L116" si="45">I108+I114</f>
        <v>2843.7142452231392</v>
      </c>
      <c r="J116" s="30">
        <f t="shared" si="45"/>
        <v>3063.6572309718886</v>
      </c>
      <c r="K116" s="30">
        <f t="shared" si="45"/>
        <v>3334.2646506947262</v>
      </c>
      <c r="L116" s="30">
        <f t="shared" si="45"/>
        <v>3533.8221721600139</v>
      </c>
    </row>
    <row r="117" spans="1:12" ht="15.5" x14ac:dyDescent="0.35">
      <c r="A117" s="3"/>
      <c r="B117" s="3"/>
      <c r="C117" s="19" t="s">
        <v>76</v>
      </c>
      <c r="D117" s="67" t="s">
        <v>81</v>
      </c>
      <c r="E117" s="28">
        <v>-717</v>
      </c>
      <c r="F117" s="28">
        <v>-809</v>
      </c>
      <c r="G117" s="28">
        <v>-820</v>
      </c>
      <c r="H117" s="24">
        <f ca="1">H116*-Tax_Rate</f>
        <v>-767.93672513692388</v>
      </c>
      <c r="I117" s="24">
        <f>I116*-Tax_Rate</f>
        <v>-853.11427356694173</v>
      </c>
      <c r="J117" s="24">
        <f>J116*-Tax_Rate</f>
        <v>-919.0971692915665</v>
      </c>
      <c r="K117" s="24">
        <f>K116*-Tax_Rate</f>
        <v>-1000.2793952084178</v>
      </c>
      <c r="L117" s="24">
        <f>L116*-Tax_Rate</f>
        <v>-1060.1466516480041</v>
      </c>
    </row>
    <row r="118" spans="1:12" ht="15.5" x14ac:dyDescent="0.35">
      <c r="A118" s="3"/>
      <c r="B118" s="3"/>
      <c r="C118" s="49" t="s">
        <v>24</v>
      </c>
      <c r="D118" s="23" t="s">
        <v>81</v>
      </c>
      <c r="E118" s="80">
        <v>1630</v>
      </c>
      <c r="F118" s="80">
        <v>1890</v>
      </c>
      <c r="G118" s="80">
        <v>1899</v>
      </c>
      <c r="H118" s="51">
        <f ca="1">SUM(H116:H117)</f>
        <v>1791.8523586528222</v>
      </c>
      <c r="I118" s="51">
        <f t="shared" ref="I118:L118" si="46">SUM(I116:I117)</f>
        <v>1990.5999716561973</v>
      </c>
      <c r="J118" s="51">
        <f t="shared" si="46"/>
        <v>2144.5600616803222</v>
      </c>
      <c r="K118" s="51">
        <f t="shared" si="46"/>
        <v>2333.9852554863082</v>
      </c>
      <c r="L118" s="51">
        <f t="shared" si="46"/>
        <v>2473.6755205120098</v>
      </c>
    </row>
    <row r="119" spans="1:12" ht="15.5" x14ac:dyDescent="0.35">
      <c r="A119" s="3"/>
      <c r="B119" s="3"/>
      <c r="C119" s="39"/>
      <c r="D119" s="3"/>
      <c r="E119" s="24"/>
      <c r="F119" s="24"/>
      <c r="G119" s="24"/>
      <c r="H119" s="24"/>
      <c r="I119" s="24"/>
      <c r="J119" s="24"/>
      <c r="K119" s="24"/>
      <c r="L119" s="24"/>
    </row>
    <row r="120" spans="1:12" ht="15.5" x14ac:dyDescent="0.35">
      <c r="A120" s="3"/>
      <c r="B120" s="3"/>
      <c r="C120" s="39" t="s">
        <v>101</v>
      </c>
      <c r="D120" s="23" t="s">
        <v>81</v>
      </c>
      <c r="E120" s="28">
        <v>49</v>
      </c>
      <c r="F120" s="28">
        <v>1056</v>
      </c>
      <c r="G120" s="28">
        <v>0</v>
      </c>
      <c r="H120" s="68"/>
      <c r="I120" s="68"/>
      <c r="J120" s="68"/>
      <c r="K120" s="68"/>
      <c r="L120" s="68"/>
    </row>
    <row r="121" spans="1:12" ht="15.5" x14ac:dyDescent="0.35">
      <c r="A121" s="3"/>
      <c r="B121" s="3"/>
      <c r="C121" s="39"/>
      <c r="D121" s="3"/>
      <c r="E121" s="28"/>
      <c r="F121" s="28"/>
      <c r="G121" s="28"/>
      <c r="H121" s="24"/>
      <c r="I121" s="24"/>
      <c r="J121" s="24"/>
      <c r="K121" s="24"/>
      <c r="L121" s="24"/>
    </row>
    <row r="122" spans="1:12" ht="15.5" x14ac:dyDescent="0.35">
      <c r="A122" s="3"/>
      <c r="B122" s="3"/>
      <c r="C122" s="29" t="s">
        <v>9</v>
      </c>
      <c r="D122" s="23" t="s">
        <v>81</v>
      </c>
      <c r="E122" s="74">
        <v>1679</v>
      </c>
      <c r="F122" s="74">
        <v>2946</v>
      </c>
      <c r="G122" s="74">
        <v>1899</v>
      </c>
      <c r="H122" s="40">
        <f ca="1">H118</f>
        <v>1791.8523586528222</v>
      </c>
      <c r="I122" s="40">
        <f t="shared" ref="I122:L122" si="47">I118</f>
        <v>1990.5999716561973</v>
      </c>
      <c r="J122" s="40">
        <f t="shared" si="47"/>
        <v>2144.5600616803222</v>
      </c>
      <c r="K122" s="40">
        <f t="shared" si="47"/>
        <v>2333.9852554863082</v>
      </c>
      <c r="L122" s="40">
        <f t="shared" si="47"/>
        <v>2473.6755205120098</v>
      </c>
    </row>
    <row r="123" spans="1:12" ht="15.5" x14ac:dyDescent="0.35">
      <c r="A123" s="3"/>
      <c r="B123" s="3"/>
      <c r="C123" s="19"/>
      <c r="D123" s="3"/>
      <c r="E123" s="22"/>
      <c r="F123" s="22"/>
      <c r="G123" s="22"/>
      <c r="H123" s="22"/>
      <c r="I123" s="22"/>
      <c r="J123" s="22"/>
      <c r="K123" s="22"/>
      <c r="L123" s="22"/>
    </row>
    <row r="124" spans="1:12" ht="15.5" x14ac:dyDescent="0.35">
      <c r="A124" s="3"/>
      <c r="B124" s="12"/>
      <c r="C124" s="12"/>
      <c r="D124" s="12"/>
      <c r="E124" s="13" t="str">
        <f>$E$43</f>
        <v>Historical</v>
      </c>
      <c r="F124" s="13"/>
      <c r="G124" s="13"/>
      <c r="H124" s="14" t="str">
        <f>$H$43</f>
        <v>Projected</v>
      </c>
      <c r="I124" s="13"/>
      <c r="J124" s="13"/>
      <c r="K124" s="13"/>
      <c r="L124" s="13"/>
    </row>
    <row r="125" spans="1:12" ht="15.5" x14ac:dyDescent="0.35">
      <c r="A125" s="3"/>
      <c r="B125" s="58" t="s">
        <v>10</v>
      </c>
      <c r="C125" s="58"/>
      <c r="D125" s="59" t="str">
        <f>$D$44</f>
        <v>Units:</v>
      </c>
      <c r="E125" s="60">
        <f>$E$44</f>
        <v>41639</v>
      </c>
      <c r="F125" s="60">
        <f>$F$44</f>
        <v>42004</v>
      </c>
      <c r="G125" s="60">
        <f>$G$44</f>
        <v>42369</v>
      </c>
      <c r="H125" s="61">
        <f>$H$44</f>
        <v>42735</v>
      </c>
      <c r="I125" s="60">
        <f>$I$44</f>
        <v>43100</v>
      </c>
      <c r="J125" s="60">
        <f>$J$44</f>
        <v>43465</v>
      </c>
      <c r="K125" s="60">
        <f>$K$44</f>
        <v>43830</v>
      </c>
      <c r="L125" s="60">
        <f>$L$44</f>
        <v>44196</v>
      </c>
    </row>
    <row r="126" spans="1:12" ht="15.5" x14ac:dyDescent="0.35">
      <c r="A126" s="3"/>
      <c r="B126" s="41" t="s">
        <v>36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ht="15.5" x14ac:dyDescent="0.35">
      <c r="A127" s="3"/>
      <c r="B127" s="3"/>
      <c r="C127" s="4" t="s">
        <v>37</v>
      </c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5" x14ac:dyDescent="0.35">
      <c r="A128" s="3"/>
      <c r="B128" s="3"/>
      <c r="C128" s="19" t="s">
        <v>11</v>
      </c>
      <c r="D128" s="23" t="s">
        <v>81</v>
      </c>
      <c r="E128" s="26">
        <v>3618</v>
      </c>
      <c r="F128" s="26">
        <v>3990</v>
      </c>
      <c r="G128" s="26">
        <v>3090</v>
      </c>
      <c r="H128" s="22">
        <f ca="1">H201</f>
        <v>2392.8834214849858</v>
      </c>
      <c r="I128" s="22">
        <f t="shared" ref="I128:L128" ca="1" si="48">I201</f>
        <v>1841.5990465227303</v>
      </c>
      <c r="J128" s="22">
        <f t="shared" ca="1" si="48"/>
        <v>1286.0735567950269</v>
      </c>
      <c r="K128" s="22">
        <f t="shared" ca="1" si="48"/>
        <v>925.85412035746549</v>
      </c>
      <c r="L128" s="22">
        <f t="shared" ca="1" si="48"/>
        <v>648.90644691870432</v>
      </c>
    </row>
    <row r="129" spans="1:12" ht="15.5" x14ac:dyDescent="0.35">
      <c r="A129" s="3"/>
      <c r="B129" s="3"/>
      <c r="C129" s="19" t="s">
        <v>74</v>
      </c>
      <c r="D129" s="23" t="s">
        <v>81</v>
      </c>
      <c r="E129" s="28">
        <v>2365</v>
      </c>
      <c r="F129" s="28">
        <v>2293</v>
      </c>
      <c r="G129" s="28">
        <v>2203</v>
      </c>
      <c r="H129" s="24">
        <f>(H65/365)*H96</f>
        <v>2298.8142115088485</v>
      </c>
      <c r="I129" s="24">
        <f t="shared" ref="I129:L129" si="49">(I65/365)*I96</f>
        <v>2371.2880282857855</v>
      </c>
      <c r="J129" s="24">
        <f t="shared" si="49"/>
        <v>2484.8133468617289</v>
      </c>
      <c r="K129" s="24">
        <f t="shared" si="49"/>
        <v>2553.4902859567746</v>
      </c>
      <c r="L129" s="24">
        <f t="shared" si="49"/>
        <v>2627.5203073992707</v>
      </c>
    </row>
    <row r="130" spans="1:12" ht="15.5" x14ac:dyDescent="0.35">
      <c r="A130" s="3"/>
      <c r="B130" s="3"/>
      <c r="C130" s="19" t="s">
        <v>12</v>
      </c>
      <c r="D130" s="23" t="s">
        <v>81</v>
      </c>
      <c r="E130" s="28">
        <v>1247</v>
      </c>
      <c r="F130" s="28">
        <v>1180</v>
      </c>
      <c r="G130" s="28">
        <v>1086</v>
      </c>
      <c r="H130" s="24">
        <f>(H66/365)*H98</f>
        <v>1152.2830559155382</v>
      </c>
      <c r="I130" s="24">
        <f t="shared" ref="I130:L130" si="50">(I66/365)*I98</f>
        <v>1175.3450443598288</v>
      </c>
      <c r="J130" s="24">
        <f t="shared" si="50"/>
        <v>1221.3612386847442</v>
      </c>
      <c r="K130" s="24">
        <f t="shared" si="50"/>
        <v>1253.8375618939708</v>
      </c>
      <c r="L130" s="24">
        <f t="shared" si="50"/>
        <v>1281.27276582371</v>
      </c>
    </row>
    <row r="131" spans="1:12" ht="15.5" x14ac:dyDescent="0.35">
      <c r="A131" s="3"/>
      <c r="B131" s="3"/>
      <c r="C131" s="42" t="s">
        <v>99</v>
      </c>
      <c r="D131" s="67" t="s">
        <v>81</v>
      </c>
      <c r="E131" s="34">
        <v>2586</v>
      </c>
      <c r="F131" s="34">
        <v>401</v>
      </c>
      <c r="G131" s="34">
        <v>341</v>
      </c>
      <c r="H131" s="35">
        <f>H69*H103</f>
        <v>368.4060711958918</v>
      </c>
      <c r="I131" s="35">
        <f t="shared" ref="I131:L131" si="51">I69*I103</f>
        <v>366.95684511635824</v>
      </c>
      <c r="J131" s="35">
        <f t="shared" si="51"/>
        <v>384.51728489372402</v>
      </c>
      <c r="K131" s="35">
        <f t="shared" si="51"/>
        <v>383.29510259417253</v>
      </c>
      <c r="L131" s="35">
        <f t="shared" si="51"/>
        <v>395.53653750010693</v>
      </c>
    </row>
    <row r="132" spans="1:12" ht="15.5" x14ac:dyDescent="0.35">
      <c r="A132" s="3"/>
      <c r="B132" s="3"/>
      <c r="C132" s="29" t="s">
        <v>13</v>
      </c>
      <c r="D132" s="23" t="s">
        <v>81</v>
      </c>
      <c r="E132" s="78">
        <v>9816</v>
      </c>
      <c r="F132" s="78">
        <v>7864</v>
      </c>
      <c r="G132" s="78">
        <v>6720</v>
      </c>
      <c r="H132" s="30">
        <f ca="1">SUM(H128:H131)</f>
        <v>6212.3867601052643</v>
      </c>
      <c r="I132" s="30">
        <f t="shared" ref="I132:L132" ca="1" si="52">SUM(I128:I131)</f>
        <v>5755.1889642847027</v>
      </c>
      <c r="J132" s="30">
        <f t="shared" ca="1" si="52"/>
        <v>5376.7654272352238</v>
      </c>
      <c r="K132" s="30">
        <f t="shared" ca="1" si="52"/>
        <v>5116.4770708023843</v>
      </c>
      <c r="L132" s="30">
        <f t="shared" ca="1" si="52"/>
        <v>4953.2360576417914</v>
      </c>
    </row>
    <row r="133" spans="1:12" ht="15.5" x14ac:dyDescent="0.35">
      <c r="A133" s="3"/>
      <c r="B133" s="3"/>
      <c r="C133" s="3"/>
      <c r="D133" s="3"/>
      <c r="E133" s="24"/>
      <c r="F133" s="24"/>
      <c r="G133" s="24"/>
      <c r="H133" s="24"/>
      <c r="I133" s="24"/>
      <c r="J133" s="24"/>
      <c r="K133" s="24"/>
      <c r="L133" s="24"/>
    </row>
    <row r="134" spans="1:12" ht="15.5" x14ac:dyDescent="0.35">
      <c r="A134" s="3"/>
      <c r="B134" s="3"/>
      <c r="C134" s="29" t="s">
        <v>38</v>
      </c>
      <c r="D134" s="3"/>
      <c r="E134" s="24"/>
      <c r="F134" s="24"/>
      <c r="G134" s="24"/>
      <c r="H134" s="24"/>
      <c r="I134" s="24"/>
      <c r="J134" s="24"/>
      <c r="K134" s="24"/>
      <c r="L134" s="24"/>
    </row>
    <row r="135" spans="1:12" ht="15.5" x14ac:dyDescent="0.35">
      <c r="A135" s="3"/>
      <c r="B135" s="3"/>
      <c r="C135" s="19" t="s">
        <v>88</v>
      </c>
      <c r="D135" s="23" t="s">
        <v>81</v>
      </c>
      <c r="E135" s="28">
        <v>1709</v>
      </c>
      <c r="F135" s="28">
        <v>1686</v>
      </c>
      <c r="G135" s="28">
        <v>1577</v>
      </c>
      <c r="H135" s="24">
        <f>G135+(-H186-H170)</f>
        <v>1592.4859166823212</v>
      </c>
      <c r="I135" s="24">
        <f t="shared" ref="I135:L135" si="53">H135+(-I186-I170)</f>
        <v>1646.9749019054598</v>
      </c>
      <c r="J135" s="24">
        <f t="shared" si="53"/>
        <v>1738.6602992773473</v>
      </c>
      <c r="K135" s="24">
        <f t="shared" si="53"/>
        <v>1869.7146108680729</v>
      </c>
      <c r="L135" s="24">
        <f t="shared" si="53"/>
        <v>2044.1155902048861</v>
      </c>
    </row>
    <row r="136" spans="1:12" ht="15.5" x14ac:dyDescent="0.35">
      <c r="A136" s="3"/>
      <c r="B136" s="3"/>
      <c r="C136" s="19" t="s">
        <v>26</v>
      </c>
      <c r="D136" s="23" t="s">
        <v>81</v>
      </c>
      <c r="E136" s="28">
        <v>4886</v>
      </c>
      <c r="F136" s="28">
        <v>4667</v>
      </c>
      <c r="G136" s="28">
        <v>4439</v>
      </c>
      <c r="H136" s="24">
        <f>G136</f>
        <v>4439</v>
      </c>
      <c r="I136" s="24">
        <f t="shared" ref="I136:L136" si="54">H136</f>
        <v>4439</v>
      </c>
      <c r="J136" s="24">
        <f t="shared" si="54"/>
        <v>4439</v>
      </c>
      <c r="K136" s="24">
        <f t="shared" si="54"/>
        <v>4439</v>
      </c>
      <c r="L136" s="24">
        <f t="shared" si="54"/>
        <v>4439</v>
      </c>
    </row>
    <row r="137" spans="1:12" ht="15.5" x14ac:dyDescent="0.35">
      <c r="A137" s="3"/>
      <c r="B137" s="3"/>
      <c r="C137" s="19" t="s">
        <v>89</v>
      </c>
      <c r="D137" s="23" t="s">
        <v>81</v>
      </c>
      <c r="E137" s="28">
        <v>1999</v>
      </c>
      <c r="F137" s="28">
        <v>1799</v>
      </c>
      <c r="G137" s="28">
        <v>1560</v>
      </c>
      <c r="H137" s="24">
        <f>G137-H50</f>
        <v>1343</v>
      </c>
      <c r="I137" s="24">
        <f t="shared" ref="I137:L137" si="55">H137-I50</f>
        <v>1147</v>
      </c>
      <c r="J137" s="24">
        <f t="shared" si="55"/>
        <v>972</v>
      </c>
      <c r="K137" s="24">
        <f t="shared" si="55"/>
        <v>819</v>
      </c>
      <c r="L137" s="24">
        <f t="shared" si="55"/>
        <v>685</v>
      </c>
    </row>
    <row r="138" spans="1:12" ht="15.5" x14ac:dyDescent="0.35">
      <c r="A138" s="3"/>
      <c r="B138" s="3"/>
      <c r="C138" s="42" t="s">
        <v>14</v>
      </c>
      <c r="D138" s="67" t="s">
        <v>81</v>
      </c>
      <c r="E138" s="34">
        <v>1556</v>
      </c>
      <c r="F138" s="34">
        <v>1449</v>
      </c>
      <c r="G138" s="34">
        <v>1433</v>
      </c>
      <c r="H138" s="35">
        <f>H70*H96</f>
        <v>1487.3935687875144</v>
      </c>
      <c r="I138" s="35">
        <f t="shared" ref="I138:L138" si="56">I70*I96</f>
        <v>1525.3859005875699</v>
      </c>
      <c r="J138" s="35">
        <f t="shared" si="56"/>
        <v>1607.5318868705494</v>
      </c>
      <c r="K138" s="35">
        <f t="shared" si="56"/>
        <v>1648.9263502355545</v>
      </c>
      <c r="L138" s="35">
        <f t="shared" si="56"/>
        <v>1695.6126325114246</v>
      </c>
    </row>
    <row r="139" spans="1:12" ht="15.5" x14ac:dyDescent="0.35">
      <c r="A139" s="3"/>
      <c r="B139" s="3"/>
      <c r="C139" s="29" t="s">
        <v>39</v>
      </c>
      <c r="D139" s="23" t="s">
        <v>81</v>
      </c>
      <c r="E139" s="78">
        <v>10150</v>
      </c>
      <c r="F139" s="78">
        <v>9601</v>
      </c>
      <c r="G139" s="78">
        <v>9009</v>
      </c>
      <c r="H139" s="30">
        <f>SUM(H135:H138)</f>
        <v>8861.8794854698353</v>
      </c>
      <c r="I139" s="30">
        <f t="shared" ref="I139:L139" si="57">SUM(I135:I138)</f>
        <v>8758.360802493029</v>
      </c>
      <c r="J139" s="30">
        <f t="shared" si="57"/>
        <v>8757.1921861478968</v>
      </c>
      <c r="K139" s="30">
        <f t="shared" si="57"/>
        <v>8776.640961103627</v>
      </c>
      <c r="L139" s="30">
        <f t="shared" si="57"/>
        <v>8863.7282227163105</v>
      </c>
    </row>
    <row r="140" spans="1:12" ht="15.5" x14ac:dyDescent="0.35">
      <c r="A140" s="3"/>
      <c r="B140" s="3"/>
      <c r="C140" s="29"/>
      <c r="D140" s="3"/>
      <c r="E140" s="24"/>
      <c r="F140" s="30"/>
      <c r="G140" s="30"/>
      <c r="H140" s="24"/>
      <c r="I140" s="24"/>
      <c r="J140" s="24"/>
      <c r="K140" s="24"/>
      <c r="L140" s="24"/>
    </row>
    <row r="141" spans="1:12" ht="15.5" x14ac:dyDescent="0.35">
      <c r="A141" s="3"/>
      <c r="B141" s="3"/>
      <c r="C141" s="29" t="s">
        <v>15</v>
      </c>
      <c r="D141" s="23" t="s">
        <v>81</v>
      </c>
      <c r="E141" s="74">
        <v>19966</v>
      </c>
      <c r="F141" s="74">
        <v>17465</v>
      </c>
      <c r="G141" s="74">
        <v>15729</v>
      </c>
      <c r="H141" s="40">
        <f ca="1">H139+H132</f>
        <v>15074.2662455751</v>
      </c>
      <c r="I141" s="40">
        <f t="shared" ref="I141:L141" ca="1" si="58">I139+I132</f>
        <v>14513.549766777731</v>
      </c>
      <c r="J141" s="40">
        <f t="shared" ca="1" si="58"/>
        <v>14133.957613383121</v>
      </c>
      <c r="K141" s="40">
        <f t="shared" ca="1" si="58"/>
        <v>13893.118031906011</v>
      </c>
      <c r="L141" s="40">
        <f t="shared" ca="1" si="58"/>
        <v>13816.964280358101</v>
      </c>
    </row>
    <row r="142" spans="1:12" ht="15.5" x14ac:dyDescent="0.35">
      <c r="A142" s="3"/>
      <c r="B142" s="3"/>
      <c r="C142" s="29"/>
      <c r="D142" s="3"/>
      <c r="E142" s="24"/>
      <c r="F142" s="30"/>
      <c r="G142" s="30"/>
      <c r="H142" s="24"/>
      <c r="I142" s="24"/>
      <c r="J142" s="24"/>
      <c r="K142" s="24"/>
      <c r="L142" s="24"/>
    </row>
    <row r="143" spans="1:12" ht="15.5" x14ac:dyDescent="0.35">
      <c r="A143" s="3"/>
      <c r="B143" s="18" t="s">
        <v>40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1:12" ht="15.5" x14ac:dyDescent="0.35">
      <c r="A144" s="3"/>
      <c r="B144" s="3"/>
      <c r="C144" s="4" t="s">
        <v>41</v>
      </c>
      <c r="D144" s="4"/>
      <c r="E144" s="4"/>
      <c r="F144" s="24"/>
      <c r="G144" s="24"/>
      <c r="H144" s="24"/>
      <c r="I144" s="24"/>
      <c r="J144" s="24"/>
      <c r="K144" s="24"/>
      <c r="L144" s="24"/>
    </row>
    <row r="145" spans="1:13" ht="15.5" x14ac:dyDescent="0.35">
      <c r="A145" s="3"/>
      <c r="B145" s="3"/>
      <c r="C145" s="19" t="s">
        <v>16</v>
      </c>
      <c r="D145" s="23" t="s">
        <v>81</v>
      </c>
      <c r="E145" s="26">
        <v>634</v>
      </c>
      <c r="F145" s="26">
        <v>512</v>
      </c>
      <c r="G145" s="26">
        <v>449</v>
      </c>
      <c r="H145" s="22">
        <f>(H67/365)*H98</f>
        <v>522.07838284712307</v>
      </c>
      <c r="I145" s="22">
        <f t="shared" ref="I145:L145" si="59">(I67/365)*I98</f>
        <v>509.60063419733268</v>
      </c>
      <c r="J145" s="22">
        <f t="shared" si="59"/>
        <v>529.42291989756473</v>
      </c>
      <c r="K145" s="22">
        <f t="shared" si="59"/>
        <v>551.80737549585888</v>
      </c>
      <c r="L145" s="22">
        <f t="shared" si="59"/>
        <v>558.27497640829529</v>
      </c>
    </row>
    <row r="146" spans="1:13" ht="15.5" x14ac:dyDescent="0.35">
      <c r="A146" s="3"/>
      <c r="B146" s="3"/>
      <c r="C146" s="19" t="s">
        <v>27</v>
      </c>
      <c r="D146" s="23" t="s">
        <v>81</v>
      </c>
      <c r="E146" s="28">
        <v>1272</v>
      </c>
      <c r="F146" s="28">
        <v>1287</v>
      </c>
      <c r="G146" s="28">
        <v>1136</v>
      </c>
      <c r="H146" s="24">
        <f>H71*H103</f>
        <v>1184.3914725234579</v>
      </c>
      <c r="I146" s="24">
        <f t="shared" ref="I146:L146" si="60">I71*I103</f>
        <v>1210.88831707899</v>
      </c>
      <c r="J146" s="24">
        <f t="shared" si="60"/>
        <v>1252.3150218835135</v>
      </c>
      <c r="K146" s="24">
        <f t="shared" si="60"/>
        <v>1253.0797381395448</v>
      </c>
      <c r="L146" s="24">
        <f t="shared" si="60"/>
        <v>1293.0461489858351</v>
      </c>
      <c r="M146" s="1"/>
    </row>
    <row r="147" spans="1:13" ht="15.5" x14ac:dyDescent="0.35">
      <c r="A147" s="3"/>
      <c r="B147" s="3"/>
      <c r="C147" s="19" t="s">
        <v>109</v>
      </c>
      <c r="D147" s="67" t="s">
        <v>81</v>
      </c>
      <c r="E147" s="28">
        <v>577</v>
      </c>
      <c r="F147" s="28">
        <v>250</v>
      </c>
      <c r="G147" s="28">
        <v>257</v>
      </c>
      <c r="H147" s="24">
        <f>H73*H103</f>
        <v>252.95345255770133</v>
      </c>
      <c r="I147" s="24">
        <f t="shared" ref="I147:L147" si="61">I73*I103</f>
        <v>264.07477116882433</v>
      </c>
      <c r="J147" s="24">
        <f t="shared" si="61"/>
        <v>270.31618517479336</v>
      </c>
      <c r="K147" s="24">
        <f t="shared" si="61"/>
        <v>272.63267472295411</v>
      </c>
      <c r="L147" s="24">
        <f t="shared" si="61"/>
        <v>279.69821303897714</v>
      </c>
      <c r="M147" s="1"/>
    </row>
    <row r="148" spans="1:13" ht="15.5" x14ac:dyDescent="0.35">
      <c r="A148" s="3"/>
      <c r="B148" s="3"/>
      <c r="C148" s="49" t="s">
        <v>17</v>
      </c>
      <c r="D148" s="23" t="s">
        <v>81</v>
      </c>
      <c r="E148" s="80">
        <v>2483</v>
      </c>
      <c r="F148" s="80">
        <v>2049</v>
      </c>
      <c r="G148" s="80">
        <v>1842</v>
      </c>
      <c r="H148" s="51">
        <f>SUM(H145:H147)</f>
        <v>1959.4233079282822</v>
      </c>
      <c r="I148" s="51">
        <f t="shared" ref="I148:L148" si="62">SUM(I145:I147)</f>
        <v>1984.5637224451471</v>
      </c>
      <c r="J148" s="51">
        <f t="shared" si="62"/>
        <v>2052.0541269558717</v>
      </c>
      <c r="K148" s="51">
        <f t="shared" si="62"/>
        <v>2077.5197883583578</v>
      </c>
      <c r="L148" s="51">
        <f t="shared" si="62"/>
        <v>2131.0193384331074</v>
      </c>
      <c r="M148" s="1"/>
    </row>
    <row r="149" spans="1:13" ht="15.5" x14ac:dyDescent="0.35">
      <c r="A149" s="3"/>
      <c r="B149" s="3"/>
      <c r="C149" s="3"/>
      <c r="D149" s="3"/>
      <c r="E149" s="24"/>
      <c r="F149" s="24"/>
      <c r="G149" s="24"/>
      <c r="H149" s="24"/>
      <c r="I149" s="24"/>
      <c r="J149" s="24"/>
      <c r="K149" s="24"/>
      <c r="L149" s="24"/>
      <c r="M149" s="1"/>
    </row>
    <row r="150" spans="1:13" ht="15.5" x14ac:dyDescent="0.35">
      <c r="A150" s="3"/>
      <c r="B150" s="3"/>
      <c r="C150" s="29" t="s">
        <v>42</v>
      </c>
      <c r="D150" s="3"/>
      <c r="E150" s="24"/>
      <c r="F150" s="24"/>
      <c r="G150" s="24"/>
      <c r="H150" s="24"/>
      <c r="I150" s="24"/>
      <c r="J150" s="24"/>
      <c r="K150" s="24"/>
      <c r="L150" s="24"/>
      <c r="M150" s="1"/>
    </row>
    <row r="151" spans="1:13" ht="15.5" x14ac:dyDescent="0.35">
      <c r="A151" s="3"/>
      <c r="B151" s="3"/>
      <c r="C151" s="19" t="s">
        <v>69</v>
      </c>
      <c r="D151" s="23" t="s">
        <v>81</v>
      </c>
      <c r="E151" s="28">
        <v>6344</v>
      </c>
      <c r="F151" s="28">
        <v>7419</v>
      </c>
      <c r="G151" s="28">
        <v>7422</v>
      </c>
      <c r="H151" s="24">
        <f>H57</f>
        <v>6679.8</v>
      </c>
      <c r="I151" s="24">
        <f t="shared" ref="I151:L151" si="63">I57</f>
        <v>6011.82</v>
      </c>
      <c r="J151" s="24">
        <f t="shared" si="63"/>
        <v>5410.6379999999999</v>
      </c>
      <c r="K151" s="24">
        <f t="shared" si="63"/>
        <v>4869.5742</v>
      </c>
      <c r="L151" s="24">
        <f t="shared" si="63"/>
        <v>4382.6167800000003</v>
      </c>
      <c r="M151" s="1"/>
    </row>
    <row r="152" spans="1:13" ht="15.5" x14ac:dyDescent="0.35">
      <c r="A152" s="3"/>
      <c r="B152" s="3"/>
      <c r="C152" s="19" t="s">
        <v>75</v>
      </c>
      <c r="D152" s="23" t="s">
        <v>81</v>
      </c>
      <c r="E152" s="28">
        <v>507</v>
      </c>
      <c r="F152" s="28">
        <v>171</v>
      </c>
      <c r="G152" s="28">
        <v>256</v>
      </c>
      <c r="H152" s="24">
        <f ca="1">G152+H173</f>
        <v>272.11098831225308</v>
      </c>
      <c r="I152" s="24">
        <f t="shared" ref="I152:L152" ca="1" si="64">H152+I173</f>
        <v>293.59528088091298</v>
      </c>
      <c r="J152" s="24">
        <f t="shared" ca="1" si="64"/>
        <v>303.62824174959695</v>
      </c>
      <c r="K152" s="24">
        <f t="shared" ca="1" si="64"/>
        <v>322.65990851481598</v>
      </c>
      <c r="L152" s="24">
        <f t="shared" ca="1" si="64"/>
        <v>342.14039503410555</v>
      </c>
      <c r="M152" s="1"/>
    </row>
    <row r="153" spans="1:13" ht="15.5" x14ac:dyDescent="0.35">
      <c r="A153" s="3"/>
      <c r="B153" s="3"/>
      <c r="C153" s="42" t="s">
        <v>18</v>
      </c>
      <c r="D153" s="67" t="s">
        <v>81</v>
      </c>
      <c r="E153" s="34">
        <v>923</v>
      </c>
      <c r="F153" s="34">
        <v>1002</v>
      </c>
      <c r="G153" s="34">
        <v>981</v>
      </c>
      <c r="H153" s="24">
        <f>H74*H103</f>
        <v>1424.4538194102827</v>
      </c>
      <c r="I153" s="24">
        <f t="shared" ref="I153:L153" si="65">I74*I103</f>
        <v>1448.379728671719</v>
      </c>
      <c r="J153" s="24">
        <f t="shared" si="65"/>
        <v>1527.9154529490552</v>
      </c>
      <c r="K153" s="24">
        <f t="shared" si="65"/>
        <v>1511.5708275332759</v>
      </c>
      <c r="L153" s="24">
        <f t="shared" si="65"/>
        <v>1561.3203651846284</v>
      </c>
      <c r="M153" s="1"/>
    </row>
    <row r="154" spans="1:13" ht="15.5" x14ac:dyDescent="0.35">
      <c r="A154" s="3"/>
      <c r="B154" s="3"/>
      <c r="C154" s="29" t="s">
        <v>137</v>
      </c>
      <c r="D154" s="23" t="s">
        <v>81</v>
      </c>
      <c r="E154" s="78">
        <v>7774</v>
      </c>
      <c r="F154" s="78">
        <v>8592</v>
      </c>
      <c r="G154" s="78">
        <v>8659</v>
      </c>
      <c r="H154" s="51">
        <f ca="1">SUM(H151:H153)</f>
        <v>8376.3648077225353</v>
      </c>
      <c r="I154" s="51">
        <f t="shared" ref="I154:L154" ca="1" si="66">SUM(I151:I153)</f>
        <v>7753.7950095526321</v>
      </c>
      <c r="J154" s="51">
        <f t="shared" ca="1" si="66"/>
        <v>7242.1816946986519</v>
      </c>
      <c r="K154" s="51">
        <f t="shared" ca="1" si="66"/>
        <v>6703.8049360480927</v>
      </c>
      <c r="L154" s="51">
        <f t="shared" ca="1" si="66"/>
        <v>6286.0775402187337</v>
      </c>
      <c r="M154" s="1"/>
    </row>
    <row r="155" spans="1:13" ht="15.5" x14ac:dyDescent="0.35">
      <c r="A155" s="3"/>
      <c r="B155" s="3"/>
      <c r="C155" s="29"/>
      <c r="D155" s="3"/>
      <c r="E155" s="24"/>
      <c r="F155" s="30"/>
      <c r="G155" s="30"/>
      <c r="H155" s="24"/>
      <c r="I155" s="24"/>
      <c r="J155" s="24"/>
      <c r="K155" s="24"/>
      <c r="L155" s="24"/>
      <c r="M155" s="1"/>
    </row>
    <row r="156" spans="1:13" ht="15.5" x14ac:dyDescent="0.35">
      <c r="A156" s="3"/>
      <c r="B156" s="3"/>
      <c r="C156" s="29" t="s">
        <v>19</v>
      </c>
      <c r="D156" s="23" t="s">
        <v>81</v>
      </c>
      <c r="E156" s="74">
        <v>10257</v>
      </c>
      <c r="F156" s="74">
        <v>10641</v>
      </c>
      <c r="G156" s="74">
        <v>10501</v>
      </c>
      <c r="H156" s="40">
        <f ca="1">H154+H148</f>
        <v>10335.788115650817</v>
      </c>
      <c r="I156" s="40">
        <f t="shared" ref="I156:L156" ca="1" si="67">I154+I148</f>
        <v>9738.3587319977796</v>
      </c>
      <c r="J156" s="40">
        <f t="shared" ca="1" si="67"/>
        <v>9294.2358216545235</v>
      </c>
      <c r="K156" s="40">
        <f t="shared" ca="1" si="67"/>
        <v>8781.3247244064514</v>
      </c>
      <c r="L156" s="40">
        <f t="shared" ca="1" si="67"/>
        <v>8417.0968786518406</v>
      </c>
      <c r="M156" s="1"/>
    </row>
    <row r="157" spans="1:13" ht="15.5" x14ac:dyDescent="0.35">
      <c r="A157" s="3"/>
      <c r="B157" s="3"/>
      <c r="C157" s="3"/>
      <c r="D157" s="3"/>
      <c r="E157" s="24"/>
      <c r="F157" s="24"/>
      <c r="G157" s="24"/>
      <c r="H157" s="24"/>
      <c r="I157" s="24"/>
      <c r="J157" s="24"/>
      <c r="K157" s="24"/>
      <c r="L157" s="24"/>
      <c r="M157" s="1"/>
    </row>
    <row r="158" spans="1:13" ht="15.5" x14ac:dyDescent="0.35">
      <c r="A158" s="3"/>
      <c r="B158" s="3"/>
      <c r="C158" s="29" t="s">
        <v>43</v>
      </c>
      <c r="D158" s="23" t="s">
        <v>81</v>
      </c>
      <c r="E158" s="74">
        <v>9709</v>
      </c>
      <c r="F158" s="74">
        <v>6824</v>
      </c>
      <c r="G158" s="74">
        <v>5228</v>
      </c>
      <c r="H158" s="40">
        <f ca="1">H141-H156</f>
        <v>4738.4781299242823</v>
      </c>
      <c r="I158" s="40">
        <f t="shared" ref="I158:L158" ca="1" si="68">I141-I156</f>
        <v>4775.1910347799512</v>
      </c>
      <c r="J158" s="40">
        <f t="shared" ca="1" si="68"/>
        <v>4839.721791728598</v>
      </c>
      <c r="K158" s="40">
        <f t="shared" ca="1" si="68"/>
        <v>5111.7933074995599</v>
      </c>
      <c r="L158" s="40">
        <f t="shared" ca="1" si="68"/>
        <v>5399.8674017062604</v>
      </c>
      <c r="M158" s="1"/>
    </row>
    <row r="159" spans="1:13" ht="15.5" x14ac:dyDescent="0.35">
      <c r="A159" s="3"/>
      <c r="B159" s="3"/>
      <c r="C159" s="29"/>
      <c r="D159" s="3"/>
      <c r="E159" s="24"/>
      <c r="F159" s="30"/>
      <c r="G159" s="30"/>
      <c r="H159" s="24"/>
      <c r="I159" s="24"/>
      <c r="J159" s="24"/>
      <c r="K159" s="24"/>
      <c r="L159" s="24"/>
    </row>
    <row r="160" spans="1:13" ht="15.5" x14ac:dyDescent="0.35">
      <c r="A160" s="3"/>
      <c r="B160" s="3"/>
      <c r="C160" s="29" t="s">
        <v>70</v>
      </c>
      <c r="D160" s="23" t="s">
        <v>81</v>
      </c>
      <c r="E160" s="74">
        <v>19966</v>
      </c>
      <c r="F160" s="74">
        <v>17465</v>
      </c>
      <c r="G160" s="74">
        <v>15729</v>
      </c>
      <c r="H160" s="40">
        <f ca="1">H156+H158</f>
        <v>15074.2662455751</v>
      </c>
      <c r="I160" s="40">
        <f t="shared" ref="I160:L160" ca="1" si="69">I156+I158</f>
        <v>14513.549766777731</v>
      </c>
      <c r="J160" s="40">
        <f t="shared" ca="1" si="69"/>
        <v>14133.957613383121</v>
      </c>
      <c r="K160" s="40">
        <f t="shared" ca="1" si="69"/>
        <v>13893.118031906011</v>
      </c>
      <c r="L160" s="40">
        <f t="shared" ca="1" si="69"/>
        <v>13816.964280358101</v>
      </c>
    </row>
    <row r="161" spans="1:15" ht="15.5" x14ac:dyDescent="0.35">
      <c r="A161" s="3"/>
      <c r="B161" s="3"/>
      <c r="C161" s="19"/>
      <c r="D161" s="3"/>
      <c r="E161" s="24"/>
      <c r="F161" s="24"/>
      <c r="G161" s="30"/>
      <c r="H161" s="24"/>
      <c r="I161" s="24"/>
      <c r="J161" s="24"/>
      <c r="K161" s="24"/>
      <c r="L161" s="24"/>
    </row>
    <row r="162" spans="1:15" ht="15.5" x14ac:dyDescent="0.35">
      <c r="A162" s="3"/>
      <c r="B162" s="3"/>
      <c r="C162" s="43" t="s">
        <v>44</v>
      </c>
      <c r="D162" s="3"/>
      <c r="E162" s="44">
        <f>E141-E160</f>
        <v>0</v>
      </c>
      <c r="F162" s="44">
        <f>F141-F160</f>
        <v>0</v>
      </c>
      <c r="G162" s="44">
        <f>G141-G160</f>
        <v>0</v>
      </c>
      <c r="H162" s="44">
        <f t="shared" ref="H162:L162" ca="1" si="70">H141-H160</f>
        <v>0</v>
      </c>
      <c r="I162" s="44">
        <f t="shared" ca="1" si="70"/>
        <v>0</v>
      </c>
      <c r="J162" s="44">
        <f t="shared" ca="1" si="70"/>
        <v>0</v>
      </c>
      <c r="K162" s="44">
        <f t="shared" ca="1" si="70"/>
        <v>0</v>
      </c>
      <c r="L162" s="44">
        <f t="shared" ca="1" si="70"/>
        <v>0</v>
      </c>
    </row>
    <row r="163" spans="1:15" ht="15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5" ht="15.5" x14ac:dyDescent="0.35">
      <c r="A164" s="3"/>
      <c r="B164" s="12"/>
      <c r="C164" s="12"/>
      <c r="D164" s="12"/>
      <c r="E164" s="13" t="str">
        <f>$E$43</f>
        <v>Historical</v>
      </c>
      <c r="F164" s="13"/>
      <c r="G164" s="13"/>
      <c r="H164" s="14" t="str">
        <f>$H$43</f>
        <v>Projected</v>
      </c>
      <c r="I164" s="13"/>
      <c r="J164" s="13"/>
      <c r="K164" s="13"/>
      <c r="L164" s="13"/>
    </row>
    <row r="165" spans="1:15" ht="15.5" x14ac:dyDescent="0.35">
      <c r="A165" s="3"/>
      <c r="B165" s="58" t="s">
        <v>20</v>
      </c>
      <c r="C165" s="58"/>
      <c r="D165" s="59" t="str">
        <f>$D$44</f>
        <v>Units:</v>
      </c>
      <c r="E165" s="60">
        <f>$E$44</f>
        <v>41639</v>
      </c>
      <c r="F165" s="60">
        <f>$F$44</f>
        <v>42004</v>
      </c>
      <c r="G165" s="60">
        <f>$G$44</f>
        <v>42369</v>
      </c>
      <c r="H165" s="61">
        <f>$H$44</f>
        <v>42735</v>
      </c>
      <c r="I165" s="60">
        <f>$I$44</f>
        <v>43100</v>
      </c>
      <c r="J165" s="60">
        <f>$J$44</f>
        <v>43465</v>
      </c>
      <c r="K165" s="60">
        <f>$K$44</f>
        <v>43830</v>
      </c>
      <c r="L165" s="60">
        <f>$L$44</f>
        <v>44196</v>
      </c>
    </row>
    <row r="166" spans="1:15" ht="15.5" x14ac:dyDescent="0.35">
      <c r="A166" s="3"/>
      <c r="B166" s="18" t="s">
        <v>45</v>
      </c>
      <c r="C166" s="72"/>
      <c r="D166" s="18"/>
      <c r="E166" s="18" t="s">
        <v>46</v>
      </c>
      <c r="F166" s="18" t="s">
        <v>46</v>
      </c>
      <c r="G166" s="18" t="s">
        <v>46</v>
      </c>
      <c r="H166" s="18" t="s">
        <v>46</v>
      </c>
      <c r="I166" s="18" t="s">
        <v>46</v>
      </c>
      <c r="J166" s="18" t="s">
        <v>46</v>
      </c>
      <c r="K166" s="18" t="s">
        <v>46</v>
      </c>
      <c r="L166" s="18" t="s">
        <v>46</v>
      </c>
    </row>
    <row r="167" spans="1:15" ht="15.5" x14ac:dyDescent="0.35">
      <c r="A167" s="3"/>
      <c r="B167" s="4"/>
      <c r="C167" s="52"/>
      <c r="D167" s="4"/>
      <c r="E167" s="4"/>
      <c r="F167" s="4"/>
      <c r="G167" s="4"/>
      <c r="H167" s="4"/>
      <c r="I167" s="4"/>
      <c r="J167" s="4"/>
      <c r="K167" s="4"/>
      <c r="L167" s="4"/>
    </row>
    <row r="168" spans="1:15" ht="14.5" customHeight="1" x14ac:dyDescent="0.35">
      <c r="A168" s="3"/>
      <c r="B168" s="3"/>
      <c r="C168" s="4" t="s">
        <v>9</v>
      </c>
      <c r="D168" s="23" t="s">
        <v>81</v>
      </c>
      <c r="E168" s="74">
        <v>1679</v>
      </c>
      <c r="F168" s="74">
        <v>2946</v>
      </c>
      <c r="G168" s="74">
        <v>1899</v>
      </c>
      <c r="H168" s="40">
        <f ca="1">H122</f>
        <v>1791.8523586528222</v>
      </c>
      <c r="I168" s="40">
        <f t="shared" ref="I168:L168" si="71">I122</f>
        <v>1990.5999716561973</v>
      </c>
      <c r="J168" s="40">
        <f t="shared" si="71"/>
        <v>2144.5600616803222</v>
      </c>
      <c r="K168" s="40">
        <f t="shared" si="71"/>
        <v>2333.9852554863082</v>
      </c>
      <c r="L168" s="40">
        <f t="shared" si="71"/>
        <v>2473.6755205120098</v>
      </c>
    </row>
    <row r="169" spans="1:15" ht="15.5" x14ac:dyDescent="0.35">
      <c r="A169" s="3"/>
      <c r="B169" s="3"/>
      <c r="C169" s="4" t="s">
        <v>47</v>
      </c>
      <c r="D169" s="3"/>
      <c r="E169" s="64"/>
      <c r="F169" s="64"/>
      <c r="G169" s="64"/>
      <c r="H169" s="64"/>
      <c r="I169" s="64"/>
      <c r="J169" s="64"/>
      <c r="K169" s="64"/>
      <c r="L169" s="64"/>
      <c r="O169" s="69"/>
    </row>
    <row r="170" spans="1:15" ht="15.5" x14ac:dyDescent="0.35">
      <c r="A170" s="3"/>
      <c r="B170" s="3"/>
      <c r="C170" s="19" t="s">
        <v>48</v>
      </c>
      <c r="D170" s="23" t="s">
        <v>81</v>
      </c>
      <c r="E170" s="28">
        <v>299</v>
      </c>
      <c r="F170" s="28">
        <v>262</v>
      </c>
      <c r="G170" s="28">
        <v>244</v>
      </c>
      <c r="H170" s="24">
        <f>H96*H78</f>
        <v>269.51408331767868</v>
      </c>
      <c r="I170" s="24">
        <f t="shared" ref="I170:L170" si="72">I96*I78</f>
        <v>270.51101477686154</v>
      </c>
      <c r="J170" s="24">
        <f t="shared" si="72"/>
        <v>283.31460262811243</v>
      </c>
      <c r="K170" s="24">
        <f t="shared" si="72"/>
        <v>293.9456884092744</v>
      </c>
      <c r="L170" s="24">
        <f t="shared" si="72"/>
        <v>300.59902066318688</v>
      </c>
    </row>
    <row r="171" spans="1:15" ht="15.5" x14ac:dyDescent="0.35">
      <c r="A171" s="3"/>
      <c r="B171" s="3"/>
      <c r="C171" s="19" t="s">
        <v>95</v>
      </c>
      <c r="D171" s="23" t="s">
        <v>81</v>
      </c>
      <c r="E171" s="28">
        <v>2</v>
      </c>
      <c r="F171" s="28">
        <v>3</v>
      </c>
      <c r="G171" s="28">
        <v>2</v>
      </c>
      <c r="H171" s="24">
        <f>H51</f>
        <v>0</v>
      </c>
      <c r="I171" s="24">
        <f t="shared" ref="I171:L171" si="73">I51</f>
        <v>0</v>
      </c>
      <c r="J171" s="24">
        <f t="shared" si="73"/>
        <v>0</v>
      </c>
      <c r="K171" s="24">
        <f t="shared" si="73"/>
        <v>0</v>
      </c>
      <c r="L171" s="24">
        <f t="shared" si="73"/>
        <v>0</v>
      </c>
    </row>
    <row r="172" spans="1:15" ht="15.5" x14ac:dyDescent="0.35">
      <c r="A172" s="3"/>
      <c r="B172" s="3"/>
      <c r="C172" s="19" t="s">
        <v>96</v>
      </c>
      <c r="D172" s="23" t="s">
        <v>81</v>
      </c>
      <c r="E172" s="28">
        <v>312</v>
      </c>
      <c r="F172" s="28">
        <v>242</v>
      </c>
      <c r="G172" s="28">
        <v>231</v>
      </c>
      <c r="H172" s="24">
        <f>H50</f>
        <v>217</v>
      </c>
      <c r="I172" s="24">
        <f t="shared" ref="I172:L172" si="74">I50</f>
        <v>196</v>
      </c>
      <c r="J172" s="24">
        <f t="shared" si="74"/>
        <v>175</v>
      </c>
      <c r="K172" s="24">
        <f t="shared" si="74"/>
        <v>153</v>
      </c>
      <c r="L172" s="24">
        <f t="shared" si="74"/>
        <v>134</v>
      </c>
    </row>
    <row r="173" spans="1:15" ht="15.5" x14ac:dyDescent="0.35">
      <c r="A173" s="3"/>
      <c r="B173" s="3"/>
      <c r="C173" s="32" t="s">
        <v>117</v>
      </c>
      <c r="D173" s="23" t="s">
        <v>81</v>
      </c>
      <c r="E173" s="28">
        <v>6</v>
      </c>
      <c r="F173" s="28">
        <v>55</v>
      </c>
      <c r="G173" s="28">
        <v>-11</v>
      </c>
      <c r="H173" s="24">
        <f ca="1">H117*H82</f>
        <v>16.11098831225307</v>
      </c>
      <c r="I173" s="24">
        <f t="shared" ref="I173:L173" si="75">I117*I82</f>
        <v>21.484292568659917</v>
      </c>
      <c r="J173" s="24">
        <f t="shared" si="75"/>
        <v>10.032960868683983</v>
      </c>
      <c r="K173" s="24">
        <f t="shared" si="75"/>
        <v>19.031666765219029</v>
      </c>
      <c r="L173" s="24">
        <f t="shared" si="75"/>
        <v>19.480486519289567</v>
      </c>
    </row>
    <row r="174" spans="1:15" ht="15.5" x14ac:dyDescent="0.35">
      <c r="A174" s="3"/>
      <c r="B174" s="3"/>
      <c r="C174" s="32" t="s">
        <v>49</v>
      </c>
      <c r="D174" s="23" t="s">
        <v>81</v>
      </c>
      <c r="E174" s="28">
        <v>37</v>
      </c>
      <c r="F174" s="28">
        <v>39</v>
      </c>
      <c r="G174" s="28">
        <v>41</v>
      </c>
      <c r="H174" s="24">
        <f>H96*H80</f>
        <v>39.26432881135834</v>
      </c>
      <c r="I174" s="24">
        <f t="shared" ref="I174:L174" si="76">I96*I80</f>
        <v>41.674088834664978</v>
      </c>
      <c r="J174" s="24">
        <f t="shared" si="76"/>
        <v>44.124076810138916</v>
      </c>
      <c r="K174" s="24">
        <f t="shared" si="76"/>
        <v>44.610476685924112</v>
      </c>
      <c r="L174" s="24">
        <f t="shared" si="76"/>
        <v>46.246848850954052</v>
      </c>
    </row>
    <row r="175" spans="1:15" ht="15.5" x14ac:dyDescent="0.35">
      <c r="A175" s="3"/>
      <c r="B175" s="3"/>
      <c r="C175" s="32" t="s">
        <v>72</v>
      </c>
      <c r="D175" s="23" t="s">
        <v>81</v>
      </c>
      <c r="E175" s="28">
        <v>76</v>
      </c>
      <c r="F175" s="28">
        <v>-1700</v>
      </c>
      <c r="G175" s="28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</row>
    <row r="176" spans="1:15" ht="15.5" x14ac:dyDescent="0.35">
      <c r="A176" s="3"/>
      <c r="B176" s="3"/>
      <c r="C176" s="4" t="s">
        <v>50</v>
      </c>
      <c r="D176" s="3"/>
      <c r="E176" s="28"/>
      <c r="F176" s="28"/>
      <c r="G176" s="28"/>
      <c r="H176" s="24"/>
      <c r="I176" s="24"/>
      <c r="J176" s="24"/>
      <c r="K176" s="24"/>
      <c r="L176" s="24"/>
    </row>
    <row r="177" spans="1:12" ht="15.5" x14ac:dyDescent="0.35">
      <c r="A177" s="3"/>
      <c r="B177" s="3"/>
      <c r="C177" s="19" t="s">
        <v>74</v>
      </c>
      <c r="D177" s="23" t="s">
        <v>81</v>
      </c>
      <c r="E177" s="28">
        <v>-83</v>
      </c>
      <c r="F177" s="28">
        <v>-70</v>
      </c>
      <c r="G177" s="28">
        <v>-42</v>
      </c>
      <c r="H177" s="24">
        <f>G129-H129</f>
        <v>-95.81421150884853</v>
      </c>
      <c r="I177" s="24">
        <f t="shared" ref="I177:L177" si="77">H129-I129</f>
        <v>-72.473816776936928</v>
      </c>
      <c r="J177" s="24">
        <f t="shared" si="77"/>
        <v>-113.5253185759434</v>
      </c>
      <c r="K177" s="24">
        <f t="shared" si="77"/>
        <v>-68.676939095045782</v>
      </c>
      <c r="L177" s="24">
        <f t="shared" si="77"/>
        <v>-74.030021442496036</v>
      </c>
    </row>
    <row r="178" spans="1:12" ht="15.5" x14ac:dyDescent="0.35">
      <c r="A178" s="3"/>
      <c r="B178" s="3"/>
      <c r="C178" s="19" t="s">
        <v>12</v>
      </c>
      <c r="D178" s="23" t="s">
        <v>81</v>
      </c>
      <c r="E178" s="28">
        <v>24</v>
      </c>
      <c r="F178" s="28">
        <v>-10</v>
      </c>
      <c r="G178" s="28">
        <v>25</v>
      </c>
      <c r="H178" s="24">
        <f>G130-H130</f>
        <v>-66.283055915538171</v>
      </c>
      <c r="I178" s="24">
        <f t="shared" ref="I178:L178" si="78">H130-I130</f>
        <v>-23.061988444290591</v>
      </c>
      <c r="J178" s="24">
        <f t="shared" si="78"/>
        <v>-46.016194324915432</v>
      </c>
      <c r="K178" s="24">
        <f t="shared" si="78"/>
        <v>-32.476323209226621</v>
      </c>
      <c r="L178" s="24">
        <f t="shared" si="78"/>
        <v>-27.435203929739146</v>
      </c>
    </row>
    <row r="179" spans="1:12" ht="15.5" x14ac:dyDescent="0.35">
      <c r="A179" s="3"/>
      <c r="B179" s="3"/>
      <c r="C179" s="19" t="s">
        <v>100</v>
      </c>
      <c r="D179" s="23" t="s">
        <v>81</v>
      </c>
      <c r="E179" s="28">
        <v>226</v>
      </c>
      <c r="F179" s="28">
        <v>-98</v>
      </c>
      <c r="G179" s="28">
        <v>24</v>
      </c>
      <c r="H179" s="24">
        <f>G131-H131</f>
        <v>-27.406071195891798</v>
      </c>
      <c r="I179" s="24">
        <f t="shared" ref="I179:L179" si="79">H131-I131</f>
        <v>1.4492260795335596</v>
      </c>
      <c r="J179" s="24">
        <f t="shared" si="79"/>
        <v>-17.560439777365787</v>
      </c>
      <c r="K179" s="24">
        <f t="shared" si="79"/>
        <v>1.2221822995514913</v>
      </c>
      <c r="L179" s="24">
        <f t="shared" si="79"/>
        <v>-12.241434905934398</v>
      </c>
    </row>
    <row r="180" spans="1:12" ht="15.5" x14ac:dyDescent="0.35">
      <c r="A180" s="3"/>
      <c r="B180" s="3"/>
      <c r="C180" s="19" t="s">
        <v>16</v>
      </c>
      <c r="D180" s="23" t="s">
        <v>81</v>
      </c>
      <c r="E180" s="28">
        <v>8</v>
      </c>
      <c r="F180" s="28">
        <v>-20</v>
      </c>
      <c r="G180" s="28">
        <v>-30</v>
      </c>
      <c r="H180" s="24">
        <f>H145-G145</f>
        <v>73.078382847123066</v>
      </c>
      <c r="I180" s="24">
        <f t="shared" ref="I180:L180" si="80">I145-H145</f>
        <v>-12.477748649790385</v>
      </c>
      <c r="J180" s="24">
        <f t="shared" si="80"/>
        <v>19.822285700232044</v>
      </c>
      <c r="K180" s="24">
        <f t="shared" si="80"/>
        <v>22.384455598294153</v>
      </c>
      <c r="L180" s="24">
        <f t="shared" si="80"/>
        <v>6.46760091243641</v>
      </c>
    </row>
    <row r="181" spans="1:12" ht="15.5" x14ac:dyDescent="0.35">
      <c r="A181" s="3"/>
      <c r="B181" s="3"/>
      <c r="C181" s="19" t="s">
        <v>27</v>
      </c>
      <c r="D181" s="23" t="s">
        <v>81</v>
      </c>
      <c r="E181" s="28">
        <v>161</v>
      </c>
      <c r="F181" s="28">
        <v>5</v>
      </c>
      <c r="G181" s="28">
        <v>-56</v>
      </c>
      <c r="H181" s="24">
        <f>H146-G146</f>
        <v>48.391472523457878</v>
      </c>
      <c r="I181" s="24">
        <f t="shared" ref="I181:L181" si="81">I146-H146</f>
        <v>26.496844555532107</v>
      </c>
      <c r="J181" s="24">
        <f t="shared" si="81"/>
        <v>41.426704804523524</v>
      </c>
      <c r="K181" s="24">
        <f t="shared" si="81"/>
        <v>0.76471625603130633</v>
      </c>
      <c r="L181" s="24">
        <f t="shared" si="81"/>
        <v>39.966410846290273</v>
      </c>
    </row>
    <row r="182" spans="1:12" ht="14.5" customHeight="1" x14ac:dyDescent="0.35">
      <c r="A182" s="3"/>
      <c r="B182" s="3"/>
      <c r="C182" s="42" t="s">
        <v>68</v>
      </c>
      <c r="D182" s="67" t="s">
        <v>81</v>
      </c>
      <c r="E182" s="34">
        <v>-219</v>
      </c>
      <c r="F182" s="34">
        <v>-38</v>
      </c>
      <c r="G182" s="34">
        <v>-28</v>
      </c>
      <c r="H182" s="38">
        <f>H147-G147</f>
        <v>-4.0465474422986745</v>
      </c>
      <c r="I182" s="38">
        <f t="shared" ref="I182:L182" si="82">I147-H147</f>
        <v>11.121318611123002</v>
      </c>
      <c r="J182" s="38">
        <f t="shared" si="82"/>
        <v>6.241414005969034</v>
      </c>
      <c r="K182" s="38">
        <f t="shared" si="82"/>
        <v>2.3164895481607459</v>
      </c>
      <c r="L182" s="38">
        <f t="shared" si="82"/>
        <v>7.0655383160230372</v>
      </c>
    </row>
    <row r="183" spans="1:12" ht="15.5" x14ac:dyDescent="0.35">
      <c r="A183" s="3"/>
      <c r="B183" s="3"/>
      <c r="C183" s="4" t="s">
        <v>51</v>
      </c>
      <c r="D183" s="23" t="s">
        <v>81</v>
      </c>
      <c r="E183" s="78">
        <v>2528</v>
      </c>
      <c r="F183" s="78">
        <v>1616</v>
      </c>
      <c r="G183" s="78">
        <v>2299</v>
      </c>
      <c r="H183" s="30">
        <f ca="1">SUM(H168:H182)</f>
        <v>2261.6617284021163</v>
      </c>
      <c r="I183" s="30">
        <f t="shared" ref="I183:L183" si="83">SUM(I168:I182)</f>
        <v>2451.3232032115543</v>
      </c>
      <c r="J183" s="30">
        <f t="shared" si="83"/>
        <v>2547.4201538197572</v>
      </c>
      <c r="K183" s="30">
        <f t="shared" si="83"/>
        <v>2770.1076687444915</v>
      </c>
      <c r="L183" s="30">
        <f t="shared" si="83"/>
        <v>2913.79476634202</v>
      </c>
    </row>
    <row r="184" spans="1:12" ht="15.5" x14ac:dyDescent="0.35">
      <c r="A184" s="3"/>
      <c r="B184" s="3"/>
      <c r="C184" s="4"/>
      <c r="D184" s="3"/>
      <c r="E184" s="24"/>
      <c r="F184" s="24"/>
      <c r="G184" s="24"/>
      <c r="H184" s="24"/>
      <c r="I184" s="24"/>
      <c r="J184" s="24"/>
      <c r="K184" s="24"/>
      <c r="L184" s="24"/>
    </row>
    <row r="185" spans="1:12" ht="15.5" x14ac:dyDescent="0.35">
      <c r="A185" s="3"/>
      <c r="B185" s="18" t="s">
        <v>52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1:12" ht="15.5" x14ac:dyDescent="0.35">
      <c r="A186" s="3"/>
      <c r="B186" s="3"/>
      <c r="C186" s="19" t="s">
        <v>136</v>
      </c>
      <c r="D186" s="23" t="s">
        <v>81</v>
      </c>
      <c r="E186" s="28">
        <v>-368</v>
      </c>
      <c r="F186" s="28">
        <v>-361</v>
      </c>
      <c r="G186" s="28">
        <v>-284</v>
      </c>
      <c r="H186" s="24">
        <f>H77</f>
        <v>-285</v>
      </c>
      <c r="I186" s="24">
        <f t="shared" ref="I186:L186" si="84">I77</f>
        <v>-325</v>
      </c>
      <c r="J186" s="24">
        <f t="shared" si="84"/>
        <v>-375</v>
      </c>
      <c r="K186" s="24">
        <f t="shared" si="84"/>
        <v>-425</v>
      </c>
      <c r="L186" s="24">
        <f t="shared" si="84"/>
        <v>-475</v>
      </c>
    </row>
    <row r="187" spans="1:12" ht="15.5" x14ac:dyDescent="0.35">
      <c r="A187" s="3"/>
      <c r="B187" s="3"/>
      <c r="C187" s="19" t="s">
        <v>111</v>
      </c>
      <c r="D187" s="67" t="s">
        <v>81</v>
      </c>
      <c r="E187" s="28">
        <v>-88</v>
      </c>
      <c r="F187" s="28">
        <v>3203</v>
      </c>
      <c r="G187" s="28">
        <v>74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</row>
    <row r="188" spans="1:12" ht="15.5" x14ac:dyDescent="0.35">
      <c r="A188" s="3"/>
      <c r="B188" s="3"/>
      <c r="C188" s="52" t="s">
        <v>53</v>
      </c>
      <c r="D188" s="23" t="s">
        <v>81</v>
      </c>
      <c r="E188" s="80">
        <v>-456</v>
      </c>
      <c r="F188" s="80">
        <v>2842</v>
      </c>
      <c r="G188" s="80">
        <v>-210</v>
      </c>
      <c r="H188" s="51">
        <f>SUM(H186:H187)</f>
        <v>-285</v>
      </c>
      <c r="I188" s="51">
        <f t="shared" ref="I188:L188" si="85">SUM(I186:I187)</f>
        <v>-325</v>
      </c>
      <c r="J188" s="51">
        <f t="shared" si="85"/>
        <v>-375</v>
      </c>
      <c r="K188" s="51">
        <f t="shared" si="85"/>
        <v>-425</v>
      </c>
      <c r="L188" s="51">
        <f t="shared" si="85"/>
        <v>-475</v>
      </c>
    </row>
    <row r="189" spans="1:12" ht="15.5" x14ac:dyDescent="0.35">
      <c r="A189" s="3"/>
      <c r="B189" s="3"/>
      <c r="C189" s="4"/>
      <c r="D189" s="3"/>
      <c r="E189" s="24"/>
      <c r="F189" s="24"/>
      <c r="G189" s="24"/>
      <c r="H189" s="24"/>
      <c r="I189" s="24"/>
      <c r="J189" s="24"/>
      <c r="K189" s="24"/>
      <c r="L189" s="24"/>
    </row>
    <row r="190" spans="1:12" ht="15.5" x14ac:dyDescent="0.35">
      <c r="A190" s="3"/>
      <c r="B190" s="18" t="s">
        <v>54</v>
      </c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1:12" ht="15.5" x14ac:dyDescent="0.35">
      <c r="A191" s="3"/>
      <c r="B191" s="3"/>
      <c r="C191" s="32" t="s">
        <v>71</v>
      </c>
      <c r="D191" s="23" t="s">
        <v>81</v>
      </c>
      <c r="E191" s="28">
        <v>-528</v>
      </c>
      <c r="F191" s="28">
        <v>-711</v>
      </c>
      <c r="G191" s="28">
        <v>-742</v>
      </c>
      <c r="H191" s="24">
        <f ca="1">H122*H83</f>
        <v>-565.35872206143642</v>
      </c>
      <c r="I191" s="24">
        <f t="shared" ref="I191:L191" si="86">I122*I83</f>
        <v>-628.75920992388797</v>
      </c>
      <c r="J191" s="24">
        <f t="shared" si="86"/>
        <v>-730.66054056754172</v>
      </c>
      <c r="K191" s="24">
        <f t="shared" si="86"/>
        <v>-756.2771091127363</v>
      </c>
      <c r="L191" s="24">
        <f t="shared" si="86"/>
        <v>-808.5592378293851</v>
      </c>
    </row>
    <row r="192" spans="1:12" ht="14.5" customHeight="1" x14ac:dyDescent="0.35">
      <c r="A192" s="3"/>
      <c r="B192" s="3"/>
      <c r="C192" s="32" t="s">
        <v>86</v>
      </c>
      <c r="D192" s="23" t="s">
        <v>81</v>
      </c>
      <c r="E192" s="28">
        <v>-1900</v>
      </c>
      <c r="F192" s="28">
        <v>-4198</v>
      </c>
      <c r="G192" s="28">
        <v>-1943</v>
      </c>
      <c r="H192" s="24">
        <f>-H85</f>
        <v>-1000</v>
      </c>
      <c r="I192" s="24">
        <f t="shared" ref="I192:L192" si="87">-I85</f>
        <v>-1000</v>
      </c>
      <c r="J192" s="24">
        <f t="shared" si="87"/>
        <v>-1000</v>
      </c>
      <c r="K192" s="24">
        <f t="shared" si="87"/>
        <v>-1000</v>
      </c>
      <c r="L192" s="24">
        <f t="shared" si="87"/>
        <v>-1000</v>
      </c>
    </row>
    <row r="193" spans="1:12" ht="15.5" x14ac:dyDescent="0.35">
      <c r="A193" s="3"/>
      <c r="B193" s="3"/>
      <c r="C193" s="32" t="s">
        <v>92</v>
      </c>
      <c r="D193" s="23" t="s">
        <v>81</v>
      </c>
      <c r="E193" s="28">
        <v>1264</v>
      </c>
      <c r="F193" s="28">
        <v>1339</v>
      </c>
      <c r="G193" s="28">
        <v>151</v>
      </c>
      <c r="H193" s="24">
        <f>H56</f>
        <v>-742.2</v>
      </c>
      <c r="I193" s="24">
        <f t="shared" ref="I193:L193" si="88">I56</f>
        <v>-667.98</v>
      </c>
      <c r="J193" s="24">
        <f t="shared" si="88"/>
        <v>-601.18200000000002</v>
      </c>
      <c r="K193" s="24">
        <f t="shared" si="88"/>
        <v>-541.06380000000001</v>
      </c>
      <c r="L193" s="24">
        <f t="shared" si="88"/>
        <v>-486.95742000000001</v>
      </c>
    </row>
    <row r="194" spans="1:12" ht="15.5" x14ac:dyDescent="0.35">
      <c r="A194" s="3"/>
      <c r="B194" s="3"/>
      <c r="C194" s="33" t="s">
        <v>110</v>
      </c>
      <c r="D194" s="67" t="s">
        <v>81</v>
      </c>
      <c r="E194" s="34">
        <v>24</v>
      </c>
      <c r="F194" s="34">
        <v>19</v>
      </c>
      <c r="G194" s="28">
        <v>8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</row>
    <row r="195" spans="1:12" ht="14.5" customHeight="1" x14ac:dyDescent="0.35">
      <c r="A195" s="3"/>
      <c r="B195" s="3"/>
      <c r="C195" s="4" t="s">
        <v>55</v>
      </c>
      <c r="D195" s="23" t="s">
        <v>81</v>
      </c>
      <c r="E195" s="78">
        <v>-1140</v>
      </c>
      <c r="F195" s="78">
        <v>-3551</v>
      </c>
      <c r="G195" s="81">
        <v>-2526</v>
      </c>
      <c r="H195" s="45">
        <f ca="1">SUM(H191:H194)</f>
        <v>-2307.5587220614361</v>
      </c>
      <c r="I195" s="45">
        <f t="shared" ref="I195:L195" si="89">SUM(I191:I194)</f>
        <v>-2296.7392099238878</v>
      </c>
      <c r="J195" s="45">
        <f t="shared" si="89"/>
        <v>-2331.8425405675416</v>
      </c>
      <c r="K195" s="45">
        <f t="shared" si="89"/>
        <v>-2297.3409091127364</v>
      </c>
      <c r="L195" s="45">
        <f t="shared" si="89"/>
        <v>-2295.5166578293852</v>
      </c>
    </row>
    <row r="196" spans="1:12" ht="15.5" x14ac:dyDescent="0.35">
      <c r="A196" s="3"/>
      <c r="B196" s="3"/>
      <c r="C196" s="4"/>
      <c r="D196" s="3"/>
      <c r="E196" s="24"/>
      <c r="F196" s="24"/>
      <c r="G196" s="24"/>
      <c r="H196" s="24"/>
      <c r="I196" s="24"/>
      <c r="J196" s="24"/>
      <c r="K196" s="24"/>
      <c r="L196" s="24"/>
    </row>
    <row r="197" spans="1:12" ht="14.5" customHeight="1" x14ac:dyDescent="0.35">
      <c r="A197" s="3"/>
      <c r="B197" s="3"/>
      <c r="C197" s="32" t="s">
        <v>112</v>
      </c>
      <c r="D197" s="23" t="s">
        <v>81</v>
      </c>
      <c r="E197" s="28">
        <v>-93</v>
      </c>
      <c r="F197" s="28">
        <v>-535</v>
      </c>
      <c r="G197" s="28">
        <v>-463</v>
      </c>
      <c r="H197" s="24">
        <f>H96*H91</f>
        <v>-366.21958485569428</v>
      </c>
      <c r="I197" s="24">
        <f t="shared" ref="I197:L197" si="90">I96*I91</f>
        <v>-380.86836824992207</v>
      </c>
      <c r="J197" s="24">
        <f t="shared" si="90"/>
        <v>-396.1031029799189</v>
      </c>
      <c r="K197" s="24">
        <f t="shared" si="90"/>
        <v>-407.98619606931652</v>
      </c>
      <c r="L197" s="24">
        <f t="shared" si="90"/>
        <v>-420.22578195139602</v>
      </c>
    </row>
    <row r="198" spans="1:12" ht="15.5" x14ac:dyDescent="0.35">
      <c r="A198" s="3"/>
      <c r="B198" s="3"/>
      <c r="C198" s="32"/>
      <c r="D198" s="3"/>
      <c r="E198" s="24"/>
      <c r="F198" s="24"/>
      <c r="G198" s="24"/>
      <c r="H198" s="24"/>
      <c r="I198" s="24"/>
      <c r="J198" s="24"/>
      <c r="K198" s="24"/>
      <c r="L198" s="24"/>
    </row>
    <row r="199" spans="1:12" ht="14.5" customHeight="1" x14ac:dyDescent="0.35">
      <c r="A199" s="3"/>
      <c r="B199" s="3"/>
      <c r="C199" s="39" t="s">
        <v>120</v>
      </c>
      <c r="D199" s="23" t="s">
        <v>81</v>
      </c>
      <c r="E199" s="28">
        <v>839</v>
      </c>
      <c r="F199" s="28">
        <v>372</v>
      </c>
      <c r="G199" s="28">
        <v>-900</v>
      </c>
      <c r="H199" s="46">
        <f ca="1">H183+H188+H195+H197</f>
        <v>-697.11657851501411</v>
      </c>
      <c r="I199" s="46">
        <f t="shared" ref="I199:L199" si="91">I183+I188+I195+I197</f>
        <v>-551.28437496225547</v>
      </c>
      <c r="J199" s="46">
        <f t="shared" si="91"/>
        <v>-555.52548972770342</v>
      </c>
      <c r="K199" s="46">
        <f t="shared" si="91"/>
        <v>-360.2194364375614</v>
      </c>
      <c r="L199" s="46">
        <f t="shared" si="91"/>
        <v>-276.94767343876117</v>
      </c>
    </row>
    <row r="200" spans="1:12" ht="14.5" customHeight="1" x14ac:dyDescent="0.35">
      <c r="A200" s="3"/>
      <c r="B200" s="3"/>
      <c r="C200" s="42" t="s">
        <v>56</v>
      </c>
      <c r="D200" s="67" t="s">
        <v>81</v>
      </c>
      <c r="E200" s="75">
        <v>2779</v>
      </c>
      <c r="F200" s="75">
        <v>3618</v>
      </c>
      <c r="G200" s="28">
        <v>3990</v>
      </c>
      <c r="H200" s="24">
        <f>G201</f>
        <v>3090</v>
      </c>
      <c r="I200" s="24">
        <f t="shared" ref="I200:L200" ca="1" si="92">H201</f>
        <v>2392.8834214849858</v>
      </c>
      <c r="J200" s="24">
        <f t="shared" ca="1" si="92"/>
        <v>1841.5990465227303</v>
      </c>
      <c r="K200" s="24">
        <f t="shared" ca="1" si="92"/>
        <v>1286.0735567950269</v>
      </c>
      <c r="L200" s="24">
        <f t="shared" ca="1" si="92"/>
        <v>925.85412035746549</v>
      </c>
    </row>
    <row r="201" spans="1:12" ht="14.5" customHeight="1" x14ac:dyDescent="0.35">
      <c r="A201" s="3"/>
      <c r="B201" s="3"/>
      <c r="C201" s="4" t="s">
        <v>57</v>
      </c>
      <c r="D201" s="23" t="s">
        <v>81</v>
      </c>
      <c r="E201" s="74">
        <v>3618</v>
      </c>
      <c r="F201" s="74">
        <v>3990</v>
      </c>
      <c r="G201" s="82">
        <v>3090</v>
      </c>
      <c r="H201" s="47">
        <f ca="1">SUM(H199:H200)</f>
        <v>2392.8834214849858</v>
      </c>
      <c r="I201" s="47">
        <f t="shared" ref="I201:L201" ca="1" si="93">SUM(I199:I200)</f>
        <v>1841.5990465227303</v>
      </c>
      <c r="J201" s="47">
        <f t="shared" ca="1" si="93"/>
        <v>1286.0735567950269</v>
      </c>
      <c r="K201" s="47">
        <f t="shared" ca="1" si="93"/>
        <v>925.85412035746549</v>
      </c>
      <c r="L201" s="47">
        <f t="shared" ca="1" si="93"/>
        <v>648.90644691870432</v>
      </c>
    </row>
  </sheetData>
  <pageMargins left="0.7" right="0.7" top="0.75" bottom="0.75" header="0.3" footer="0.3"/>
  <pageSetup scale="49" orientation="portrait" horizontalDpi="200" verticalDpi="200" r:id="rId1"/>
  <rowBreaks count="4" manualBreakCount="4">
    <brk id="42" max="12" man="1"/>
    <brk id="92" max="14" man="1"/>
    <brk id="123" max="14" man="1"/>
    <brk id="163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ITW-3-Statements</vt:lpstr>
      <vt:lpstr>Cash_Interest_Rate</vt:lpstr>
      <vt:lpstr>Company_Name</vt:lpstr>
      <vt:lpstr>Debt_Interest_Rate</vt:lpstr>
      <vt:lpstr>GM_Improv</vt:lpstr>
      <vt:lpstr>Hist_Yr</vt:lpstr>
      <vt:lpstr>'ITW-3-Statements'!Print_Area</vt:lpstr>
      <vt:lpstr>Share_Price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mohammadi</dc:creator>
  <cp:lastModifiedBy>Connor Umbright</cp:lastModifiedBy>
  <dcterms:created xsi:type="dcterms:W3CDTF">2016-08-02T00:46:07Z</dcterms:created>
  <dcterms:modified xsi:type="dcterms:W3CDTF">2023-07-24T22:03:32Z</dcterms:modified>
</cp:coreProperties>
</file>