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Umbright\Documents\"/>
    </mc:Choice>
  </mc:AlternateContent>
  <xr:revisionPtr revIDLastSave="0" documentId="13_ncr:1_{4C4A50E7-06C5-4209-BB79-5797B96A390B}" xr6:coauthVersionLast="47" xr6:coauthVersionMax="47" xr10:uidLastSave="{00000000-0000-0000-0000-000000000000}"/>
  <bookViews>
    <workbookView xWindow="-120" yWindow="-120" windowWidth="29040" windowHeight="15840" firstSheet="1" activeTab="1" xr2:uid="{6BA23C78-B7AB-4EEA-A92C-DD472BE9DEDA}"/>
  </bookViews>
  <sheets>
    <sheet name="Sheet1" sheetId="1" r:id="rId1"/>
    <sheet name="WACC" sheetId="2" r:id="rId2"/>
  </sheets>
  <definedNames>
    <definedName name="tgr">Sheet1!$F$16</definedName>
    <definedName name="wacc">Sheet1!$F$17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Z76" i="1"/>
  <c r="Z73" i="1" l="1"/>
  <c r="Z74" i="1" s="1"/>
  <c r="Z72" i="1"/>
  <c r="W72" i="1"/>
  <c r="S72" i="1"/>
  <c r="T40" i="1"/>
  <c r="U40" i="1" s="1"/>
  <c r="V40" i="1" s="1"/>
  <c r="W40" i="1" s="1"/>
  <c r="X40" i="1" s="1"/>
  <c r="Y40" i="1" s="1"/>
  <c r="Z40" i="1" s="1"/>
  <c r="S40" i="1"/>
  <c r="U21" i="1"/>
  <c r="V21" i="1" s="1"/>
  <c r="W21" i="1" s="1"/>
  <c r="X21" i="1" s="1"/>
  <c r="Y21" i="1" s="1"/>
  <c r="Z21" i="1" s="1"/>
  <c r="T21" i="1"/>
  <c r="AA60" i="1"/>
  <c r="S60" i="1"/>
  <c r="R60" i="1"/>
  <c r="R71" i="1" s="1"/>
  <c r="S71" i="1"/>
  <c r="S42" i="1"/>
  <c r="T42" i="1" s="1"/>
  <c r="U42" i="1" s="1"/>
  <c r="R42" i="1"/>
  <c r="R73" i="1"/>
  <c r="R48" i="1"/>
  <c r="R54" i="1" s="1"/>
  <c r="Q66" i="1"/>
  <c r="R55" i="1" a="1"/>
  <c r="R55" i="1" s="1"/>
  <c r="R49" i="1" a="1"/>
  <c r="R49" i="1" s="1"/>
  <c r="S66" i="1"/>
  <c r="R66" i="1"/>
  <c r="S63" i="1"/>
  <c r="R63" i="1"/>
  <c r="S25" i="1"/>
  <c r="R43" i="1" a="1"/>
  <c r="R43" i="1" s="1"/>
  <c r="S69" i="1"/>
  <c r="R69" i="1"/>
  <c r="Z52" i="1"/>
  <c r="Y52" i="1"/>
  <c r="X52" i="1"/>
  <c r="W52" i="1"/>
  <c r="V52" i="1"/>
  <c r="U52" i="1"/>
  <c r="T52" i="1"/>
  <c r="S52" i="1"/>
  <c r="W51" i="1"/>
  <c r="X51" i="1" s="1"/>
  <c r="Y51" i="1" s="1"/>
  <c r="Z51" i="1" s="1"/>
  <c r="V51" i="1"/>
  <c r="U51" i="1"/>
  <c r="C17" i="2"/>
  <c r="C15" i="2"/>
  <c r="C14" i="2"/>
  <c r="C10" i="2"/>
  <c r="C4" i="2"/>
  <c r="T58" i="1"/>
  <c r="U58" i="1" s="1"/>
  <c r="V58" i="1" s="1"/>
  <c r="W58" i="1" s="1"/>
  <c r="X58" i="1" s="1"/>
  <c r="Y58" i="1" s="1"/>
  <c r="Z58" i="1" s="1"/>
  <c r="T56" i="1"/>
  <c r="U56" i="1" s="1"/>
  <c r="V56" i="1" s="1"/>
  <c r="W56" i="1" s="1"/>
  <c r="X56" i="1" s="1"/>
  <c r="Y56" i="1" s="1"/>
  <c r="Z56" i="1" s="1"/>
  <c r="U57" i="1"/>
  <c r="V57" i="1" s="1"/>
  <c r="W57" i="1" s="1"/>
  <c r="X57" i="1" s="1"/>
  <c r="Y57" i="1" s="1"/>
  <c r="Z57" i="1" s="1"/>
  <c r="S28" i="1"/>
  <c r="R28" i="1"/>
  <c r="T46" i="1"/>
  <c r="U46" i="1" s="1"/>
  <c r="V46" i="1" s="1"/>
  <c r="W46" i="1" s="1"/>
  <c r="X46" i="1" s="1"/>
  <c r="Y46" i="1" s="1"/>
  <c r="Z46" i="1" s="1"/>
  <c r="T44" i="1"/>
  <c r="U44" i="1" s="1"/>
  <c r="V44" i="1" s="1"/>
  <c r="W44" i="1" s="1"/>
  <c r="X44" i="1" s="1"/>
  <c r="Y44" i="1" s="1"/>
  <c r="Z44" i="1" s="1"/>
  <c r="Q62" i="1"/>
  <c r="P62" i="1"/>
  <c r="O62" i="1"/>
  <c r="N62" i="1"/>
  <c r="M62" i="1"/>
  <c r="L62" i="1"/>
  <c r="K62" i="1"/>
  <c r="J62" i="1"/>
  <c r="I62" i="1"/>
  <c r="Q65" i="1"/>
  <c r="P65" i="1"/>
  <c r="O65" i="1"/>
  <c r="N65" i="1"/>
  <c r="M65" i="1"/>
  <c r="L65" i="1"/>
  <c r="K65" i="1"/>
  <c r="J65" i="1"/>
  <c r="I65" i="1"/>
  <c r="H65" i="1"/>
  <c r="Q68" i="1"/>
  <c r="P68" i="1"/>
  <c r="O68" i="1"/>
  <c r="N68" i="1"/>
  <c r="M68" i="1"/>
  <c r="L68" i="1"/>
  <c r="K68" i="1"/>
  <c r="J68" i="1"/>
  <c r="I68" i="1"/>
  <c r="H68" i="1"/>
  <c r="H62" i="1"/>
  <c r="Q54" i="1"/>
  <c r="P54" i="1"/>
  <c r="O54" i="1"/>
  <c r="N54" i="1"/>
  <c r="M54" i="1"/>
  <c r="L54" i="1"/>
  <c r="K54" i="1"/>
  <c r="J54" i="1"/>
  <c r="I54" i="1"/>
  <c r="H54" i="1"/>
  <c r="Q48" i="1"/>
  <c r="P48" i="1"/>
  <c r="O48" i="1"/>
  <c r="N48" i="1"/>
  <c r="M48" i="1"/>
  <c r="L48" i="1"/>
  <c r="K48" i="1"/>
  <c r="J48" i="1"/>
  <c r="I48" i="1"/>
  <c r="H48" i="1"/>
  <c r="P42" i="1"/>
  <c r="O42" i="1"/>
  <c r="N42" i="1"/>
  <c r="M42" i="1"/>
  <c r="L42" i="1"/>
  <c r="K42" i="1"/>
  <c r="J42" i="1"/>
  <c r="I42" i="1"/>
  <c r="H42" i="1"/>
  <c r="Q38" i="1"/>
  <c r="Q69" i="1" s="1"/>
  <c r="P38" i="1"/>
  <c r="P69" i="1" s="1"/>
  <c r="O38" i="1"/>
  <c r="O69" i="1" s="1"/>
  <c r="N38" i="1"/>
  <c r="N69" i="1" s="1"/>
  <c r="M38" i="1"/>
  <c r="M69" i="1" s="1"/>
  <c r="L38" i="1"/>
  <c r="L69" i="1" s="1"/>
  <c r="K38" i="1"/>
  <c r="K69" i="1" s="1"/>
  <c r="J38" i="1"/>
  <c r="J69" i="1" s="1"/>
  <c r="I38" i="1"/>
  <c r="I69" i="1" s="1"/>
  <c r="H38" i="1"/>
  <c r="H69" i="1" s="1"/>
  <c r="Q35" i="1"/>
  <c r="P35" i="1"/>
  <c r="P66" i="1" s="1"/>
  <c r="O35" i="1"/>
  <c r="O66" i="1" s="1"/>
  <c r="N35" i="1"/>
  <c r="N66" i="1" s="1"/>
  <c r="M35" i="1"/>
  <c r="M66" i="1" s="1"/>
  <c r="L35" i="1"/>
  <c r="L66" i="1" s="1"/>
  <c r="K35" i="1"/>
  <c r="K66" i="1" s="1"/>
  <c r="J35" i="1"/>
  <c r="J66" i="1" s="1"/>
  <c r="I35" i="1"/>
  <c r="I66" i="1" s="1"/>
  <c r="H35" i="1"/>
  <c r="H66" i="1" s="1"/>
  <c r="Q32" i="1"/>
  <c r="Q63" i="1" s="1"/>
  <c r="P32" i="1"/>
  <c r="P63" i="1" s="1"/>
  <c r="O32" i="1"/>
  <c r="O63" i="1" s="1"/>
  <c r="N32" i="1"/>
  <c r="N63" i="1" s="1"/>
  <c r="M32" i="1"/>
  <c r="M63" i="1" s="1"/>
  <c r="L32" i="1"/>
  <c r="L63" i="1" s="1"/>
  <c r="K32" i="1"/>
  <c r="K63" i="1" s="1"/>
  <c r="J32" i="1"/>
  <c r="J63" i="1" s="1"/>
  <c r="I32" i="1"/>
  <c r="I63" i="1" s="1"/>
  <c r="H32" i="1"/>
  <c r="H63" i="1" s="1"/>
  <c r="Q28" i="1"/>
  <c r="Q55" i="1" s="1"/>
  <c r="P28" i="1"/>
  <c r="P55" i="1" s="1"/>
  <c r="O28" i="1"/>
  <c r="O55" i="1" s="1"/>
  <c r="N28" i="1"/>
  <c r="N55" i="1" s="1"/>
  <c r="M28" i="1"/>
  <c r="M55" i="1" s="1"/>
  <c r="L28" i="1"/>
  <c r="L55" i="1" s="1"/>
  <c r="K28" i="1"/>
  <c r="K55" i="1" s="1"/>
  <c r="J28" i="1"/>
  <c r="J55" i="1" s="1"/>
  <c r="I28" i="1"/>
  <c r="I55" i="1" s="1"/>
  <c r="H28" i="1"/>
  <c r="H55" i="1" s="1"/>
  <c r="Q25" i="1"/>
  <c r="Q49" i="1" s="1"/>
  <c r="P25" i="1"/>
  <c r="P49" i="1" s="1"/>
  <c r="O25" i="1"/>
  <c r="O49" i="1" s="1"/>
  <c r="N25" i="1"/>
  <c r="N49" i="1" s="1"/>
  <c r="M25" i="1"/>
  <c r="M49" i="1" s="1"/>
  <c r="L25" i="1"/>
  <c r="L49" i="1" s="1"/>
  <c r="K25" i="1"/>
  <c r="K49" i="1" s="1"/>
  <c r="J25" i="1"/>
  <c r="J49" i="1" s="1"/>
  <c r="I25" i="1"/>
  <c r="I49" i="1" s="1"/>
  <c r="H25" i="1"/>
  <c r="H49" i="1" s="1"/>
  <c r="Q22" i="1"/>
  <c r="Q43" i="1" s="1"/>
  <c r="P22" i="1"/>
  <c r="P43" i="1" s="1"/>
  <c r="O22" i="1"/>
  <c r="O43" i="1" s="1"/>
  <c r="N22" i="1"/>
  <c r="N43" i="1" s="1"/>
  <c r="M22" i="1"/>
  <c r="M43" i="1" s="1"/>
  <c r="L22" i="1"/>
  <c r="L43" i="1" s="1"/>
  <c r="K22" i="1"/>
  <c r="K43" i="1" s="1"/>
  <c r="J22" i="1"/>
  <c r="J43" i="1" s="1"/>
  <c r="I22" i="1"/>
  <c r="I43" i="1" s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I30" i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I20" i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T72" i="1" l="1"/>
  <c r="X72" i="1"/>
  <c r="U72" i="1"/>
  <c r="Y72" i="1"/>
  <c r="R72" i="1"/>
  <c r="V72" i="1"/>
  <c r="V42" i="1"/>
  <c r="W42" i="1" s="1"/>
  <c r="X42" i="1" s="1"/>
  <c r="Y42" i="1" s="1"/>
  <c r="Z42" i="1" s="1"/>
  <c r="T48" i="1"/>
  <c r="S48" i="1"/>
  <c r="S54" i="1" s="1"/>
  <c r="R62" i="1"/>
  <c r="U65" i="1"/>
  <c r="T68" i="1"/>
  <c r="S62" i="1"/>
  <c r="R65" i="1"/>
  <c r="U68" i="1"/>
  <c r="T62" i="1"/>
  <c r="S65" i="1"/>
  <c r="R68" i="1"/>
  <c r="U62" i="1"/>
  <c r="T65" i="1"/>
  <c r="S68" i="1"/>
  <c r="R25" i="1"/>
  <c r="T66" i="1"/>
  <c r="T63" i="1"/>
  <c r="U63" i="1"/>
  <c r="T69" i="1"/>
  <c r="Z79" i="1" l="1"/>
  <c r="Z81" i="1" s="1"/>
  <c r="J2" i="1" s="1"/>
  <c r="T54" i="1"/>
  <c r="T60" i="1" s="1"/>
  <c r="T71" i="1" s="1"/>
  <c r="U48" i="1"/>
  <c r="U66" i="1"/>
  <c r="V63" i="1"/>
  <c r="W63" i="1" s="1"/>
  <c r="U69" i="1"/>
  <c r="U54" i="1" l="1"/>
  <c r="U60" i="1" s="1"/>
  <c r="U71" i="1" s="1"/>
  <c r="V48" i="1"/>
  <c r="V68" i="1"/>
  <c r="V62" i="1"/>
  <c r="V65" i="1"/>
  <c r="V66" i="1"/>
  <c r="X63" i="1"/>
  <c r="Y63" i="1"/>
  <c r="Z63" i="1" s="1"/>
  <c r="V69" i="1"/>
  <c r="V54" i="1" l="1"/>
  <c r="V60" i="1" s="1"/>
  <c r="V71" i="1" s="1"/>
  <c r="W48" i="1"/>
  <c r="W62" i="1"/>
  <c r="W65" i="1"/>
  <c r="W68" i="1"/>
  <c r="W66" i="1"/>
  <c r="X66" i="1" s="1"/>
  <c r="W69" i="1"/>
  <c r="X69" i="1" s="1"/>
  <c r="X48" i="1" l="1"/>
  <c r="X62" i="1"/>
  <c r="X65" i="1"/>
  <c r="X68" i="1"/>
  <c r="W54" i="1"/>
  <c r="W60" i="1" s="1"/>
  <c r="W71" i="1" s="1"/>
  <c r="Y66" i="1"/>
  <c r="Z66" i="1" s="1"/>
  <c r="Y69" i="1"/>
  <c r="Z69" i="1" s="1"/>
  <c r="X54" i="1" l="1"/>
  <c r="X60" i="1" s="1"/>
  <c r="X71" i="1" s="1"/>
  <c r="Y48" i="1"/>
  <c r="Y65" i="1"/>
  <c r="Y68" i="1"/>
  <c r="Y62" i="1"/>
  <c r="Y54" i="1" l="1"/>
  <c r="Y60" i="1" s="1"/>
  <c r="Y71" i="1" s="1"/>
  <c r="Z48" i="1"/>
  <c r="Z62" i="1"/>
  <c r="Z68" i="1"/>
  <c r="Z65" i="1"/>
  <c r="Z54" i="1" l="1"/>
  <c r="Z60" i="1" s="1"/>
  <c r="Z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<sst xmlns="http://schemas.openxmlformats.org/spreadsheetml/2006/main" count="82" uniqueCount="47">
  <si>
    <t>Date</t>
  </si>
  <si>
    <t>Ticker</t>
  </si>
  <si>
    <t>DIS</t>
  </si>
  <si>
    <t>Sales</t>
  </si>
  <si>
    <t>EBIT</t>
  </si>
  <si>
    <t>TAX</t>
  </si>
  <si>
    <t>DCF</t>
  </si>
  <si>
    <t>% of sales</t>
  </si>
  <si>
    <t>% growth</t>
  </si>
  <si>
    <t>% of EBIT</t>
  </si>
  <si>
    <t>D&amp;A</t>
  </si>
  <si>
    <t>CapEx</t>
  </si>
  <si>
    <t>Change in NWC</t>
  </si>
  <si>
    <t>Income Statement (Oct FYE)</t>
  </si>
  <si>
    <t xml:space="preserve">Cash Flow Items (Oct FYE) </t>
  </si>
  <si>
    <t>Revenue</t>
  </si>
  <si>
    <t>Taxes</t>
  </si>
  <si>
    <t>EBIAT</t>
  </si>
  <si>
    <t>Unlevered Free Cash Flow</t>
  </si>
  <si>
    <t>Conservative Case</t>
  </si>
  <si>
    <t>Base Case</t>
  </si>
  <si>
    <t>Optomistic Case</t>
  </si>
  <si>
    <t>x</t>
  </si>
  <si>
    <t>Switches</t>
  </si>
  <si>
    <t>NWC</t>
  </si>
  <si>
    <t>WACC</t>
  </si>
  <si>
    <t>TGR</t>
  </si>
  <si>
    <t>Debt</t>
  </si>
  <si>
    <t>% debt</t>
  </si>
  <si>
    <t>required return</t>
  </si>
  <si>
    <t>% equity</t>
  </si>
  <si>
    <t>beta</t>
  </si>
  <si>
    <t>risk free</t>
  </si>
  <si>
    <t>mrp</t>
  </si>
  <si>
    <t>mkt cap</t>
  </si>
  <si>
    <t xml:space="preserve">Cost of Capital </t>
  </si>
  <si>
    <t>Present Value of FCF</t>
  </si>
  <si>
    <t>Terminal Value</t>
  </si>
  <si>
    <t>Present Value of Terminal Value</t>
  </si>
  <si>
    <t>Enterprise Value</t>
  </si>
  <si>
    <t>+ Cash</t>
  </si>
  <si>
    <t>- Debt</t>
  </si>
  <si>
    <t>Equity Value</t>
  </si>
  <si>
    <t>Shares</t>
  </si>
  <si>
    <t>Share Price</t>
  </si>
  <si>
    <t>Implied Share Price</t>
  </si>
  <si>
    <t>Current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</si>
</sst>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##,###"/>
    <numFmt numFmtId="165" formatCode="0.0%"/>
    <numFmt numFmtId="166" formatCode="#,###"/>
    <numFmt numFmtId="167" formatCode="_(* #,##0_);_(* \(#,##0\);_(* &quot;-&quot;??_);_(@_)"/>
    <numFmt numFmtId="168" formatCode="###,###"/>
    <numFmt numFmtId="169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14" fontId="0" fillId="2" borderId="4" xfId="0" applyNumberFormat="1" applyFill="1" applyBorder="1"/>
    <xf numFmtId="0" fontId="0" fillId="2" borderId="4" xfId="0" applyFill="1" applyBorder="1"/>
    <xf numFmtId="0" fontId="4" fillId="0" borderId="0" xfId="0" applyFont="1" applyFill="1"/>
    <xf numFmtId="0" fontId="5" fillId="3" borderId="0" xfId="0" applyFont="1" applyFill="1"/>
    <xf numFmtId="0" fontId="6" fillId="0" borderId="0" xfId="0" applyFont="1"/>
    <xf numFmtId="9" fontId="0" fillId="0" borderId="0" xfId="1" applyFont="1"/>
    <xf numFmtId="164" fontId="7" fillId="0" borderId="0" xfId="0" applyNumberFormat="1" applyFont="1"/>
    <xf numFmtId="9" fontId="6" fillId="0" borderId="0" xfId="1" applyFont="1"/>
    <xf numFmtId="4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/>
    <xf numFmtId="164" fontId="8" fillId="0" borderId="0" xfId="0" applyNumberFormat="1" applyFont="1"/>
    <xf numFmtId="41" fontId="8" fillId="0" borderId="0" xfId="0" applyNumberFormat="1" applyFont="1"/>
    <xf numFmtId="164" fontId="4" fillId="0" borderId="0" xfId="0" applyNumberFormat="1" applyFont="1"/>
    <xf numFmtId="9" fontId="0" fillId="4" borderId="8" xfId="1" applyFont="1" applyFill="1" applyBorder="1"/>
    <xf numFmtId="9" fontId="0" fillId="4" borderId="7" xfId="1" applyFont="1" applyFill="1" applyBorder="1"/>
    <xf numFmtId="9" fontId="0" fillId="4" borderId="12" xfId="1" applyFont="1" applyFill="1" applyBorder="1"/>
    <xf numFmtId="9" fontId="0" fillId="4" borderId="13" xfId="1" applyFont="1" applyFill="1" applyBorder="1"/>
    <xf numFmtId="9" fontId="0" fillId="4" borderId="11" xfId="1" applyFont="1" applyFill="1" applyBorder="1"/>
    <xf numFmtId="9" fontId="0" fillId="4" borderId="10" xfId="1" applyFont="1" applyFill="1" applyBorder="1"/>
    <xf numFmtId="9" fontId="0" fillId="4" borderId="9" xfId="1" applyFont="1" applyFill="1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/>
    <xf numFmtId="2" fontId="0" fillId="0" borderId="0" xfId="0" applyNumberFormat="1"/>
    <xf numFmtId="164" fontId="0" fillId="0" borderId="0" xfId="0" applyNumberFormat="1" applyBorder="1"/>
    <xf numFmtId="164" fontId="4" fillId="0" borderId="0" xfId="0" applyNumberFormat="1" applyFont="1" applyFill="1"/>
    <xf numFmtId="164" fontId="0" fillId="0" borderId="6" xfId="0" applyNumberFormat="1" applyBorder="1"/>
    <xf numFmtId="41" fontId="4" fillId="0" borderId="0" xfId="0" applyNumberFormat="1" applyFont="1"/>
    <xf numFmtId="9" fontId="6" fillId="0" borderId="0" xfId="0" applyNumberFormat="1" applyFont="1"/>
    <xf numFmtId="166" fontId="8" fillId="0" borderId="0" xfId="0" applyNumberFormat="1" applyFont="1"/>
    <xf numFmtId="166" fontId="4" fillId="0" borderId="0" xfId="0" applyNumberFormat="1" applyFont="1"/>
    <xf numFmtId="167" fontId="0" fillId="0" borderId="6" xfId="0" applyNumberFormat="1" applyBorder="1"/>
    <xf numFmtId="9" fontId="0" fillId="0" borderId="0" xfId="1" applyFont="1" applyFill="1" applyBorder="1"/>
    <xf numFmtId="168" fontId="0" fillId="0" borderId="0" xfId="0" applyNumberFormat="1"/>
    <xf numFmtId="0" fontId="0" fillId="0" borderId="0" xfId="0" quotePrefix="1"/>
    <xf numFmtId="167" fontId="0" fillId="0" borderId="0" xfId="0" applyNumberFormat="1" applyBorder="1"/>
    <xf numFmtId="165" fontId="0" fillId="0" borderId="0" xfId="1" applyNumberFormat="1" applyFont="1" applyFill="1" applyBorder="1"/>
    <xf numFmtId="165" fontId="0" fillId="2" borderId="4" xfId="1" applyNumberFormat="1" applyFont="1" applyFill="1" applyBorder="1"/>
    <xf numFmtId="167" fontId="0" fillId="0" borderId="0" xfId="0" applyNumberFormat="1"/>
    <xf numFmtId="3" fontId="0" fillId="0" borderId="0" xfId="0" applyNumberFormat="1"/>
    <xf numFmtId="169" fontId="0" fillId="0" borderId="0" xfId="0" applyNumberFormat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FA19-023C-4273-8F52-E788E82227D4}">
  <dimension ref="B2:AA81"/>
  <sheetViews>
    <sheetView showGridLines="0" topLeftCell="C52" zoomScaleNormal="100" workbookViewId="0">
      <selection activeCell="Z76" sqref="Z76"/>
    </sheetView>
  </sheetViews>
  <sheetFormatPr defaultRowHeight="15" x14ac:dyDescent="0.25"/>
  <cols>
    <col min="1" max="1" width="0" hidden="1" customWidth="1"/>
    <col min="2" max="2" width="0" style="3" hidden="1" customWidth="1"/>
    <col min="3" max="3" width="3.5703125" customWidth="1"/>
    <col min="5" max="5" width="9.85546875" bestFit="1" customWidth="1"/>
    <col min="18" max="26" width="10.140625" bestFit="1" customWidth="1"/>
  </cols>
  <sheetData>
    <row r="2" spans="2:17" x14ac:dyDescent="0.25">
      <c r="D2" t="s">
        <v>0</v>
      </c>
      <c r="E2" s="6">
        <v>44710</v>
      </c>
      <c r="H2" t="s">
        <v>45</v>
      </c>
      <c r="J2" s="50">
        <f>Z81</f>
        <v>151.46087850676724</v>
      </c>
    </row>
    <row r="3" spans="2:17" x14ac:dyDescent="0.25">
      <c r="D3" t="s">
        <v>1</v>
      </c>
      <c r="E3" s="7" t="s">
        <v>2</v>
      </c>
      <c r="H3" t="s">
        <v>46</v>
      </c>
      <c r="J3" s="31">
        <v>103.7</v>
      </c>
      <c r="K3" s="49"/>
    </row>
    <row r="6" spans="2:17" s="5" customFormat="1" x14ac:dyDescent="0.25">
      <c r="B6" s="4"/>
    </row>
    <row r="7" spans="2:17" s="17" customFormat="1" x14ac:dyDescent="0.25">
      <c r="B7" s="3"/>
    </row>
    <row r="8" spans="2:17" s="17" customFormat="1" x14ac:dyDescent="0.25">
      <c r="B8" s="3"/>
      <c r="E8" s="30" t="s">
        <v>23</v>
      </c>
    </row>
    <row r="9" spans="2:17" s="17" customFormat="1" x14ac:dyDescent="0.25">
      <c r="B9" s="3"/>
      <c r="E9" s="17" t="s">
        <v>15</v>
      </c>
      <c r="F9" s="7">
        <v>2</v>
      </c>
    </row>
    <row r="10" spans="2:17" s="17" customFormat="1" x14ac:dyDescent="0.25">
      <c r="B10" s="3"/>
      <c r="E10" s="17" t="s">
        <v>4</v>
      </c>
      <c r="F10" s="7">
        <v>2</v>
      </c>
    </row>
    <row r="11" spans="2:17" s="17" customFormat="1" x14ac:dyDescent="0.25">
      <c r="B11" s="3"/>
      <c r="E11" s="29" t="s">
        <v>16</v>
      </c>
      <c r="F11" s="7">
        <v>2</v>
      </c>
    </row>
    <row r="12" spans="2:17" s="17" customFormat="1" x14ac:dyDescent="0.25">
      <c r="B12" s="3"/>
      <c r="E12" s="29" t="s">
        <v>10</v>
      </c>
      <c r="F12" s="7">
        <v>1</v>
      </c>
    </row>
    <row r="13" spans="2:17" s="17" customFormat="1" x14ac:dyDescent="0.25">
      <c r="B13" s="3"/>
      <c r="E13" s="29" t="s">
        <v>11</v>
      </c>
      <c r="F13" s="7">
        <v>1</v>
      </c>
      <c r="P13" s="33"/>
    </row>
    <row r="14" spans="2:17" s="17" customFormat="1" x14ac:dyDescent="0.25">
      <c r="B14" s="3"/>
      <c r="E14" s="29" t="s">
        <v>24</v>
      </c>
      <c r="F14" s="7">
        <v>1</v>
      </c>
      <c r="P14" s="33"/>
      <c r="Q14" s="33"/>
    </row>
    <row r="15" spans="2:17" s="17" customFormat="1" x14ac:dyDescent="0.25">
      <c r="B15" s="3"/>
      <c r="E15" s="29" t="s">
        <v>25</v>
      </c>
      <c r="F15" s="7">
        <v>1</v>
      </c>
    </row>
    <row r="16" spans="2:17" x14ac:dyDescent="0.25">
      <c r="E16" s="29" t="s">
        <v>26</v>
      </c>
      <c r="F16" s="46">
        <v>2.5000000000000001E-2</v>
      </c>
    </row>
    <row r="17" spans="2:27" x14ac:dyDescent="0.25">
      <c r="E17" s="29" t="s">
        <v>25</v>
      </c>
      <c r="F17" s="45">
        <v>6.4000000000000001E-2</v>
      </c>
      <c r="R17" s="21"/>
    </row>
    <row r="18" spans="2:27" x14ac:dyDescent="0.25">
      <c r="B18" s="2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4"/>
    </row>
    <row r="20" spans="2:27" x14ac:dyDescent="0.25">
      <c r="C20" t="s">
        <v>22</v>
      </c>
      <c r="D20" s="9" t="s">
        <v>13</v>
      </c>
      <c r="E20" s="9"/>
      <c r="F20" s="9"/>
      <c r="G20" s="9"/>
      <c r="H20" s="9">
        <v>2012</v>
      </c>
      <c r="I20" s="9">
        <f>H20+1</f>
        <v>2013</v>
      </c>
      <c r="J20" s="9">
        <f t="shared" ref="J20:Z20" si="0">I20+1</f>
        <v>2014</v>
      </c>
      <c r="K20" s="9">
        <f t="shared" si="0"/>
        <v>2015</v>
      </c>
      <c r="L20" s="9">
        <f t="shared" si="0"/>
        <v>2016</v>
      </c>
      <c r="M20" s="9">
        <f t="shared" si="0"/>
        <v>2017</v>
      </c>
      <c r="N20" s="9">
        <f t="shared" si="0"/>
        <v>2018</v>
      </c>
      <c r="O20" s="9">
        <f t="shared" si="0"/>
        <v>2019</v>
      </c>
      <c r="P20" s="9">
        <f t="shared" si="0"/>
        <v>2020</v>
      </c>
      <c r="Q20" s="9">
        <f t="shared" si="0"/>
        <v>2021</v>
      </c>
      <c r="R20" s="9">
        <f t="shared" si="0"/>
        <v>2022</v>
      </c>
      <c r="S20" s="9">
        <f t="shared" si="0"/>
        <v>2023</v>
      </c>
      <c r="T20" s="9">
        <f t="shared" si="0"/>
        <v>2024</v>
      </c>
      <c r="U20" s="9">
        <f t="shared" si="0"/>
        <v>2025</v>
      </c>
      <c r="V20" s="9">
        <f t="shared" si="0"/>
        <v>2026</v>
      </c>
      <c r="W20" s="9">
        <f t="shared" si="0"/>
        <v>2027</v>
      </c>
      <c r="X20" s="9">
        <f t="shared" si="0"/>
        <v>2028</v>
      </c>
      <c r="Y20" s="9">
        <f t="shared" si="0"/>
        <v>2029</v>
      </c>
      <c r="Z20" s="9">
        <f t="shared" si="0"/>
        <v>2030</v>
      </c>
      <c r="AA20" t="s">
        <v>22</v>
      </c>
    </row>
    <row r="21" spans="2:27" x14ac:dyDescent="0.25">
      <c r="D21" t="s">
        <v>3</v>
      </c>
      <c r="H21" s="12">
        <v>42242</v>
      </c>
      <c r="I21" s="12">
        <v>44925</v>
      </c>
      <c r="J21" s="12">
        <v>48737</v>
      </c>
      <c r="K21" s="12">
        <v>52003</v>
      </c>
      <c r="L21" s="12">
        <v>55368</v>
      </c>
      <c r="M21" s="12">
        <v>54943</v>
      </c>
      <c r="N21" s="12">
        <v>59469</v>
      </c>
      <c r="O21" s="12">
        <v>69422</v>
      </c>
      <c r="P21" s="12">
        <v>65126</v>
      </c>
      <c r="Q21" s="12">
        <v>67387</v>
      </c>
      <c r="R21" s="21">
        <v>84468.5</v>
      </c>
      <c r="S21" s="21">
        <v>94358</v>
      </c>
      <c r="T21" s="42">
        <f>+S21*(1+T22)</f>
        <v>102850.22</v>
      </c>
      <c r="U21" s="42">
        <f t="shared" ref="U21:Z21" si="1">+T21*(1+U22)</f>
        <v>111078.23760000001</v>
      </c>
      <c r="V21" s="42">
        <f t="shared" si="1"/>
        <v>118853.71423200001</v>
      </c>
      <c r="W21" s="42">
        <f t="shared" si="1"/>
        <v>125984.93708592001</v>
      </c>
      <c r="X21" s="42">
        <f t="shared" si="1"/>
        <v>132284.18394021603</v>
      </c>
      <c r="Y21" s="42">
        <f t="shared" si="1"/>
        <v>137575.55129782468</v>
      </c>
      <c r="Z21" s="42">
        <f t="shared" si="1"/>
        <v>140327.06232378117</v>
      </c>
    </row>
    <row r="22" spans="2:27" x14ac:dyDescent="0.25">
      <c r="D22" s="10" t="s">
        <v>8</v>
      </c>
      <c r="I22" s="13">
        <f>+(I21-H21)/I21</f>
        <v>5.9721758486366162E-2</v>
      </c>
      <c r="J22" s="13">
        <f t="shared" ref="J22:Q22" si="2">+(J21-I21)/J21</f>
        <v>7.8215729322691177E-2</v>
      </c>
      <c r="K22" s="13">
        <f t="shared" si="2"/>
        <v>6.2804068996019466E-2</v>
      </c>
      <c r="L22" s="13">
        <f t="shared" si="2"/>
        <v>6.0775176997543708E-2</v>
      </c>
      <c r="M22" s="13">
        <f t="shared" si="2"/>
        <v>-7.7352892998198133E-3</v>
      </c>
      <c r="N22" s="13">
        <f t="shared" si="2"/>
        <v>7.6106879214380599E-2</v>
      </c>
      <c r="O22" s="13">
        <f t="shared" si="2"/>
        <v>0.1433695370343695</v>
      </c>
      <c r="P22" s="13">
        <f t="shared" si="2"/>
        <v>-6.5964438166016645E-2</v>
      </c>
      <c r="Q22" s="13">
        <f t="shared" si="2"/>
        <v>3.3552465609093744E-2</v>
      </c>
      <c r="R22" s="41">
        <v>0.2</v>
      </c>
      <c r="S22" s="41">
        <v>0.1</v>
      </c>
      <c r="T22" s="41">
        <v>0.09</v>
      </c>
      <c r="U22" s="41">
        <v>0.08</v>
      </c>
      <c r="V22" s="41">
        <v>7.0000000000000007E-2</v>
      </c>
      <c r="W22" s="41">
        <v>0.06</v>
      </c>
      <c r="X22" s="41">
        <v>0.05</v>
      </c>
      <c r="Y22" s="41">
        <v>0.04</v>
      </c>
      <c r="Z22" s="41">
        <v>0.02</v>
      </c>
    </row>
    <row r="24" spans="2:27" x14ac:dyDescent="0.25">
      <c r="D24" t="s">
        <v>4</v>
      </c>
      <c r="H24" s="12">
        <v>9011</v>
      </c>
      <c r="I24" s="12">
        <v>9375</v>
      </c>
      <c r="J24" s="12">
        <v>11517</v>
      </c>
      <c r="K24" s="12">
        <v>12843</v>
      </c>
      <c r="L24" s="12">
        <v>14259</v>
      </c>
      <c r="M24" s="12">
        <v>13809</v>
      </c>
      <c r="N24" s="12">
        <v>14914</v>
      </c>
      <c r="O24" s="12">
        <v>11710</v>
      </c>
      <c r="P24" s="12">
        <v>3577</v>
      </c>
      <c r="Q24" s="12">
        <v>3741</v>
      </c>
      <c r="R24" s="21">
        <v>11047.7</v>
      </c>
      <c r="S24" s="21">
        <v>14309.7</v>
      </c>
    </row>
    <row r="25" spans="2:27" x14ac:dyDescent="0.25">
      <c r="D25" s="10" t="s">
        <v>7</v>
      </c>
      <c r="H25" s="13">
        <f>+H24/H21</f>
        <v>0.21331849817716964</v>
      </c>
      <c r="I25" s="13">
        <f t="shared" ref="I25:Q25" si="3">+I24/I21</f>
        <v>0.20868113522537562</v>
      </c>
      <c r="J25" s="13">
        <f t="shared" si="3"/>
        <v>0.23630916962472043</v>
      </c>
      <c r="K25" s="13">
        <f t="shared" si="3"/>
        <v>0.24696652116224063</v>
      </c>
      <c r="L25" s="13">
        <f t="shared" si="3"/>
        <v>0.25753142609449503</v>
      </c>
      <c r="M25" s="13">
        <f t="shared" si="3"/>
        <v>0.25133319986167485</v>
      </c>
      <c r="N25" s="13">
        <f t="shared" si="3"/>
        <v>0.25078612386285293</v>
      </c>
      <c r="O25" s="13">
        <f t="shared" si="3"/>
        <v>0.168678516896661</v>
      </c>
      <c r="P25" s="13">
        <f t="shared" si="3"/>
        <v>5.4924300586555293E-2</v>
      </c>
      <c r="Q25" s="13">
        <f t="shared" si="3"/>
        <v>5.5515158710136972E-2</v>
      </c>
      <c r="R25" s="13">
        <f t="shared" ref="R25" si="4">+R24/R21</f>
        <v>0.13079076815617657</v>
      </c>
      <c r="S25" s="13">
        <f t="shared" ref="S25" si="5">+S24/S21</f>
        <v>0.151653277941457</v>
      </c>
    </row>
    <row r="27" spans="2:27" x14ac:dyDescent="0.25">
      <c r="D27" t="s">
        <v>5</v>
      </c>
      <c r="H27" s="12">
        <v>3087</v>
      </c>
      <c r="I27" s="12">
        <v>2984</v>
      </c>
      <c r="J27" s="12">
        <v>4242</v>
      </c>
      <c r="K27" s="12">
        <v>5016</v>
      </c>
      <c r="L27" s="12">
        <v>5078</v>
      </c>
      <c r="M27" s="12">
        <v>4422</v>
      </c>
      <c r="N27" s="12">
        <v>1663</v>
      </c>
      <c r="O27" s="12">
        <v>3026</v>
      </c>
      <c r="P27" s="12">
        <v>699</v>
      </c>
      <c r="Q27" s="12">
        <v>25</v>
      </c>
      <c r="R27" s="21">
        <v>2101.1999999999998</v>
      </c>
      <c r="S27" s="21">
        <v>2655</v>
      </c>
    </row>
    <row r="28" spans="2:27" x14ac:dyDescent="0.25">
      <c r="D28" s="10" t="s">
        <v>9</v>
      </c>
      <c r="H28" s="13">
        <f>+H27/H24</f>
        <v>0.34258128953501277</v>
      </c>
      <c r="I28" s="13">
        <f t="shared" ref="I28:Q28" si="6">+I27/I24</f>
        <v>0.31829333333333332</v>
      </c>
      <c r="J28" s="13">
        <f t="shared" si="6"/>
        <v>0.36832508465746289</v>
      </c>
      <c r="K28" s="13">
        <f t="shared" si="6"/>
        <v>0.39056295258117263</v>
      </c>
      <c r="L28" s="13">
        <f t="shared" si="6"/>
        <v>0.35612595553685394</v>
      </c>
      <c r="M28" s="13">
        <f t="shared" si="6"/>
        <v>0.32022593960460571</v>
      </c>
      <c r="N28" s="13">
        <f t="shared" si="6"/>
        <v>0.11150596754727102</v>
      </c>
      <c r="O28" s="13">
        <f t="shared" si="6"/>
        <v>0.2584116140051238</v>
      </c>
      <c r="P28" s="13">
        <f t="shared" si="6"/>
        <v>0.1954151523623148</v>
      </c>
      <c r="Q28" s="13">
        <f t="shared" si="6"/>
        <v>6.6827051590483827E-3</v>
      </c>
      <c r="R28" s="13">
        <f t="shared" ref="R28" si="7">+R27/R24</f>
        <v>0.19019343392742377</v>
      </c>
      <c r="S28" s="13">
        <f t="shared" ref="S28" si="8">+S27/S24</f>
        <v>0.18553848089058469</v>
      </c>
    </row>
    <row r="30" spans="2:27" x14ac:dyDescent="0.25">
      <c r="C30" t="s">
        <v>22</v>
      </c>
      <c r="D30" s="9" t="s">
        <v>14</v>
      </c>
      <c r="E30" s="9"/>
      <c r="F30" s="9"/>
      <c r="G30" s="9"/>
      <c r="H30" s="9">
        <v>2012</v>
      </c>
      <c r="I30" s="9">
        <f>H30+1</f>
        <v>2013</v>
      </c>
      <c r="J30" s="9">
        <f t="shared" ref="J30:Z30" si="9">I30+1</f>
        <v>2014</v>
      </c>
      <c r="K30" s="9">
        <f t="shared" si="9"/>
        <v>2015</v>
      </c>
      <c r="L30" s="9">
        <f t="shared" si="9"/>
        <v>2016</v>
      </c>
      <c r="M30" s="9">
        <f t="shared" si="9"/>
        <v>2017</v>
      </c>
      <c r="N30" s="9">
        <f t="shared" si="9"/>
        <v>2018</v>
      </c>
      <c r="O30" s="9">
        <f t="shared" si="9"/>
        <v>2019</v>
      </c>
      <c r="P30" s="9">
        <f t="shared" si="9"/>
        <v>2020</v>
      </c>
      <c r="Q30" s="9">
        <f t="shared" si="9"/>
        <v>2021</v>
      </c>
      <c r="R30" s="9">
        <f t="shared" si="9"/>
        <v>2022</v>
      </c>
      <c r="S30" s="9">
        <f t="shared" si="9"/>
        <v>2023</v>
      </c>
      <c r="T30" s="9">
        <f t="shared" si="9"/>
        <v>2024</v>
      </c>
      <c r="U30" s="9">
        <f t="shared" si="9"/>
        <v>2025</v>
      </c>
      <c r="V30" s="9">
        <f t="shared" si="9"/>
        <v>2026</v>
      </c>
      <c r="W30" s="9">
        <f t="shared" si="9"/>
        <v>2027</v>
      </c>
      <c r="X30" s="9">
        <f t="shared" si="9"/>
        <v>2028</v>
      </c>
      <c r="Y30" s="9">
        <f t="shared" si="9"/>
        <v>2029</v>
      </c>
      <c r="Z30" s="9">
        <f t="shared" si="9"/>
        <v>2030</v>
      </c>
      <c r="AA30" t="s">
        <v>22</v>
      </c>
    </row>
    <row r="31" spans="2:27" x14ac:dyDescent="0.25">
      <c r="D31" t="s">
        <v>10</v>
      </c>
      <c r="H31">
        <v>1987</v>
      </c>
      <c r="I31">
        <v>2192</v>
      </c>
      <c r="J31">
        <v>2288</v>
      </c>
      <c r="K31">
        <v>2354</v>
      </c>
      <c r="L31">
        <v>2527</v>
      </c>
      <c r="M31">
        <v>2782</v>
      </c>
      <c r="N31">
        <v>3011</v>
      </c>
      <c r="O31">
        <v>4167</v>
      </c>
      <c r="P31">
        <v>5345</v>
      </c>
      <c r="Q31">
        <v>5111</v>
      </c>
    </row>
    <row r="32" spans="2:27" x14ac:dyDescent="0.25">
      <c r="D32" s="10" t="s">
        <v>7</v>
      </c>
      <c r="H32" s="13">
        <f>+H31/H21</f>
        <v>4.7038492495620469E-2</v>
      </c>
      <c r="I32" s="13">
        <f t="shared" ref="I32:Q32" si="10">+I31/I21</f>
        <v>4.879243183082916E-2</v>
      </c>
      <c r="J32" s="13">
        <f t="shared" si="10"/>
        <v>4.6945852227260602E-2</v>
      </c>
      <c r="K32" s="13">
        <f t="shared" si="10"/>
        <v>4.5266619233505757E-2</v>
      </c>
      <c r="L32" s="13">
        <f t="shared" si="10"/>
        <v>4.5640080913162837E-2</v>
      </c>
      <c r="M32" s="13">
        <f t="shared" si="10"/>
        <v>5.0634293722585225E-2</v>
      </c>
      <c r="N32" s="13">
        <f t="shared" si="10"/>
        <v>5.0631421412836941E-2</v>
      </c>
      <c r="O32" s="13">
        <f t="shared" si="10"/>
        <v>6.0024199821382268E-2</v>
      </c>
      <c r="P32" s="13">
        <f t="shared" si="10"/>
        <v>8.2071676442588212E-2</v>
      </c>
      <c r="Q32" s="13">
        <f t="shared" si="10"/>
        <v>7.584548948610266E-2</v>
      </c>
    </row>
    <row r="34" spans="3:27" x14ac:dyDescent="0.25">
      <c r="D34" t="s">
        <v>11</v>
      </c>
      <c r="H34">
        <v>3784</v>
      </c>
      <c r="I34">
        <v>2769</v>
      </c>
      <c r="J34">
        <v>3311</v>
      </c>
      <c r="K34">
        <v>4265</v>
      </c>
      <c r="L34">
        <v>4773</v>
      </c>
      <c r="M34">
        <v>3623</v>
      </c>
      <c r="N34">
        <v>4465</v>
      </c>
      <c r="O34">
        <v>4876</v>
      </c>
      <c r="P34">
        <v>4022</v>
      </c>
      <c r="Q34">
        <v>3578</v>
      </c>
    </row>
    <row r="35" spans="3:27" x14ac:dyDescent="0.25">
      <c r="D35" s="10" t="s">
        <v>7</v>
      </c>
      <c r="H35" s="13">
        <f>+H34/H21</f>
        <v>8.9579091899057814E-2</v>
      </c>
      <c r="I35" s="13">
        <f t="shared" ref="I35:Q35" si="11">+I34/I21</f>
        <v>6.1636060100166944E-2</v>
      </c>
      <c r="J35" s="13">
        <f t="shared" si="11"/>
        <v>6.7936065001949236E-2</v>
      </c>
      <c r="K35" s="13">
        <f t="shared" si="11"/>
        <v>8.2014499163509794E-2</v>
      </c>
      <c r="L35" s="13">
        <f t="shared" si="11"/>
        <v>8.62050281751192E-2</v>
      </c>
      <c r="M35" s="13">
        <f t="shared" si="11"/>
        <v>6.5941066195875725E-2</v>
      </c>
      <c r="N35" s="13">
        <f t="shared" si="11"/>
        <v>7.5081134708839897E-2</v>
      </c>
      <c r="O35" s="13">
        <f t="shared" si="11"/>
        <v>7.0237100630923921E-2</v>
      </c>
      <c r="P35" s="13">
        <f t="shared" si="11"/>
        <v>6.1757209102355437E-2</v>
      </c>
      <c r="Q35" s="13">
        <f t="shared" si="11"/>
        <v>5.3096294537522071E-2</v>
      </c>
    </row>
    <row r="37" spans="3:27" x14ac:dyDescent="0.25">
      <c r="D37" t="s">
        <v>12</v>
      </c>
      <c r="H37" s="14">
        <v>-1091</v>
      </c>
      <c r="I37" s="14">
        <v>103</v>
      </c>
      <c r="J37" s="14">
        <v>-272</v>
      </c>
      <c r="K37" s="14">
        <v>129</v>
      </c>
      <c r="L37" s="14">
        <v>-902</v>
      </c>
      <c r="M37" s="14">
        <v>-110</v>
      </c>
      <c r="N37" s="14">
        <v>-837</v>
      </c>
      <c r="O37" s="14">
        <v>-5644</v>
      </c>
      <c r="P37" s="14">
        <v>-645</v>
      </c>
      <c r="Q37" s="14">
        <v>2194</v>
      </c>
    </row>
    <row r="38" spans="3:27" x14ac:dyDescent="0.25">
      <c r="D38" s="10" t="s">
        <v>7</v>
      </c>
      <c r="H38" s="13">
        <f>+H37/H21</f>
        <v>-2.5827375597746317E-2</v>
      </c>
      <c r="I38" s="13">
        <f t="shared" ref="I38:Q38" si="12">+I37/I21</f>
        <v>2.2927100723427935E-3</v>
      </c>
      <c r="J38" s="13">
        <f t="shared" si="12"/>
        <v>-5.5809754396044077E-3</v>
      </c>
      <c r="K38" s="13">
        <f t="shared" si="12"/>
        <v>2.4806261177239774E-3</v>
      </c>
      <c r="L38" s="13">
        <f t="shared" si="12"/>
        <v>-1.6290998410634302E-2</v>
      </c>
      <c r="M38" s="13">
        <f t="shared" si="12"/>
        <v>-2.0020748776004224E-3</v>
      </c>
      <c r="N38" s="13">
        <f t="shared" si="12"/>
        <v>-1.4074559854714222E-2</v>
      </c>
      <c r="O38" s="13">
        <f t="shared" si="12"/>
        <v>-8.1299876119961978E-2</v>
      </c>
      <c r="P38" s="13">
        <f t="shared" si="12"/>
        <v>-9.9038786352608783E-3</v>
      </c>
      <c r="Q38" s="13">
        <f t="shared" si="12"/>
        <v>3.2558208556546515E-2</v>
      </c>
    </row>
    <row r="40" spans="3:27" x14ac:dyDescent="0.25">
      <c r="R40">
        <v>1</v>
      </c>
      <c r="S40">
        <f>+R40+1</f>
        <v>2</v>
      </c>
      <c r="T40">
        <f t="shared" ref="T40:Z40" si="13">+S40+1</f>
        <v>3</v>
      </c>
      <c r="U40">
        <f t="shared" si="13"/>
        <v>4</v>
      </c>
      <c r="V40">
        <f t="shared" si="13"/>
        <v>5</v>
      </c>
      <c r="W40">
        <f t="shared" si="13"/>
        <v>6</v>
      </c>
      <c r="X40">
        <f t="shared" si="13"/>
        <v>7</v>
      </c>
      <c r="Y40">
        <f t="shared" si="13"/>
        <v>8</v>
      </c>
      <c r="Z40">
        <f t="shared" si="13"/>
        <v>9</v>
      </c>
    </row>
    <row r="41" spans="3:27" x14ac:dyDescent="0.25">
      <c r="C41" t="s">
        <v>22</v>
      </c>
      <c r="D41" s="9" t="s">
        <v>6</v>
      </c>
      <c r="E41" s="9"/>
      <c r="F41" s="9"/>
      <c r="G41" s="9"/>
      <c r="H41" s="9">
        <v>2012</v>
      </c>
      <c r="I41" s="9">
        <f>H41+1</f>
        <v>2013</v>
      </c>
      <c r="J41" s="9">
        <f t="shared" ref="J41:Z41" si="14">I41+1</f>
        <v>2014</v>
      </c>
      <c r="K41" s="9">
        <f t="shared" si="14"/>
        <v>2015</v>
      </c>
      <c r="L41" s="9">
        <f t="shared" si="14"/>
        <v>2016</v>
      </c>
      <c r="M41" s="9">
        <f t="shared" si="14"/>
        <v>2017</v>
      </c>
      <c r="N41" s="9">
        <f t="shared" si="14"/>
        <v>2018</v>
      </c>
      <c r="O41" s="9">
        <f t="shared" si="14"/>
        <v>2019</v>
      </c>
      <c r="P41" s="9">
        <f t="shared" si="14"/>
        <v>2020</v>
      </c>
      <c r="Q41" s="9">
        <f t="shared" si="14"/>
        <v>2021</v>
      </c>
      <c r="R41" s="9">
        <f t="shared" si="14"/>
        <v>2022</v>
      </c>
      <c r="S41" s="9">
        <f t="shared" si="14"/>
        <v>2023</v>
      </c>
      <c r="T41" s="9">
        <f t="shared" si="14"/>
        <v>2024</v>
      </c>
      <c r="U41" s="9">
        <f t="shared" si="14"/>
        <v>2025</v>
      </c>
      <c r="V41" s="9">
        <f t="shared" si="14"/>
        <v>2026</v>
      </c>
      <c r="W41" s="9">
        <f t="shared" si="14"/>
        <v>2027</v>
      </c>
      <c r="X41" s="9">
        <f t="shared" si="14"/>
        <v>2028</v>
      </c>
      <c r="Y41" s="9">
        <f t="shared" si="14"/>
        <v>2029</v>
      </c>
      <c r="Z41" s="9">
        <f t="shared" si="14"/>
        <v>2030</v>
      </c>
      <c r="AA41" t="s">
        <v>22</v>
      </c>
    </row>
    <row r="42" spans="3:27" x14ac:dyDescent="0.25">
      <c r="D42" t="s">
        <v>15</v>
      </c>
      <c r="H42" s="19">
        <f>+H21</f>
        <v>42242</v>
      </c>
      <c r="I42" s="19">
        <f t="shared" ref="I42:P42" si="15">+I21</f>
        <v>44925</v>
      </c>
      <c r="J42" s="19">
        <f t="shared" si="15"/>
        <v>48737</v>
      </c>
      <c r="K42" s="19">
        <f t="shared" si="15"/>
        <v>52003</v>
      </c>
      <c r="L42" s="19">
        <f t="shared" si="15"/>
        <v>55368</v>
      </c>
      <c r="M42" s="19">
        <f t="shared" si="15"/>
        <v>54943</v>
      </c>
      <c r="N42" s="19">
        <f t="shared" si="15"/>
        <v>59469</v>
      </c>
      <c r="O42" s="19">
        <f t="shared" si="15"/>
        <v>69422</v>
      </c>
      <c r="P42" s="19">
        <f t="shared" si="15"/>
        <v>65126</v>
      </c>
      <c r="Q42" s="19">
        <v>67387</v>
      </c>
      <c r="R42" s="21">
        <f>+(R21*R43)+Q42</f>
        <v>84280.7</v>
      </c>
      <c r="S42" s="21">
        <f t="shared" ref="S42:Z42" si="16">+(S21*S43)+R42</f>
        <v>93716.5</v>
      </c>
      <c r="T42" s="21">
        <f t="shared" si="16"/>
        <v>102973.01979999999</v>
      </c>
      <c r="U42" s="21">
        <f t="shared" si="16"/>
        <v>111859.278808</v>
      </c>
      <c r="V42" s="21">
        <f t="shared" si="16"/>
        <v>120179.03880424</v>
      </c>
      <c r="W42" s="21">
        <f t="shared" si="16"/>
        <v>127738.1350293952</v>
      </c>
      <c r="X42" s="21">
        <f t="shared" si="16"/>
        <v>134352.34422640601</v>
      </c>
      <c r="Y42" s="21">
        <f t="shared" si="16"/>
        <v>139855.36627831901</v>
      </c>
      <c r="Z42" s="21">
        <f t="shared" si="16"/>
        <v>142661.90752479463</v>
      </c>
    </row>
    <row r="43" spans="3:27" x14ac:dyDescent="0.25">
      <c r="D43" t="s">
        <v>8</v>
      </c>
      <c r="I43" s="18">
        <f>+I22</f>
        <v>5.9721758486366162E-2</v>
      </c>
      <c r="J43" s="18">
        <f t="shared" ref="J43:Q43" si="17">+J22</f>
        <v>7.8215729322691177E-2</v>
      </c>
      <c r="K43" s="18">
        <f t="shared" si="17"/>
        <v>6.2804068996019466E-2</v>
      </c>
      <c r="L43" s="18">
        <f t="shared" si="17"/>
        <v>6.0775176997543708E-2</v>
      </c>
      <c r="M43" s="18">
        <f t="shared" si="17"/>
        <v>-7.7352892998198133E-3</v>
      </c>
      <c r="N43" s="18">
        <f t="shared" si="17"/>
        <v>7.6106879214380599E-2</v>
      </c>
      <c r="O43" s="18">
        <f t="shared" si="17"/>
        <v>0.1433695370343695</v>
      </c>
      <c r="P43" s="18">
        <f t="shared" si="17"/>
        <v>-6.5964438166016645E-2</v>
      </c>
      <c r="Q43" s="18">
        <f t="shared" si="17"/>
        <v>3.3552465609093744E-2</v>
      </c>
      <c r="R43" s="13" cm="1">
        <f t="array" ref="R43:Z43">_xlfn.SWITCH(F9,1,R44:Z44,2,R45:Z45,3,R46:Z46)</f>
        <v>0.2</v>
      </c>
      <c r="S43" s="13">
        <v>0.1</v>
      </c>
      <c r="T43" s="13">
        <v>0.09</v>
      </c>
      <c r="U43" s="13">
        <v>0.08</v>
      </c>
      <c r="V43" s="13">
        <v>7.0000000000000007E-2</v>
      </c>
      <c r="W43" s="13">
        <v>0.06</v>
      </c>
      <c r="X43" s="13">
        <v>0.05</v>
      </c>
      <c r="Y43" s="13">
        <v>0.04</v>
      </c>
      <c r="Z43" s="13">
        <v>0.02</v>
      </c>
    </row>
    <row r="44" spans="3:27" x14ac:dyDescent="0.25">
      <c r="D44" s="10" t="s">
        <v>19</v>
      </c>
      <c r="R44" s="22">
        <v>0.18</v>
      </c>
      <c r="S44" s="23">
        <v>0.08</v>
      </c>
      <c r="T44" s="26">
        <f>+S44-0.01</f>
        <v>7.0000000000000007E-2</v>
      </c>
      <c r="U44" s="26">
        <f t="shared" ref="U44:Z44" si="18">+T44-0.01</f>
        <v>6.0000000000000005E-2</v>
      </c>
      <c r="V44" s="26">
        <f t="shared" si="18"/>
        <v>0.05</v>
      </c>
      <c r="W44" s="26">
        <f t="shared" si="18"/>
        <v>0.04</v>
      </c>
      <c r="X44" s="26">
        <f t="shared" si="18"/>
        <v>0.03</v>
      </c>
      <c r="Y44" s="26">
        <f t="shared" si="18"/>
        <v>1.9999999999999997E-2</v>
      </c>
      <c r="Z44" s="26">
        <f t="shared" si="18"/>
        <v>9.9999999999999967E-3</v>
      </c>
    </row>
    <row r="45" spans="3:27" x14ac:dyDescent="0.25">
      <c r="D45" s="10" t="s">
        <v>20</v>
      </c>
      <c r="R45" s="22">
        <v>0.2</v>
      </c>
      <c r="S45" s="23">
        <v>0.1</v>
      </c>
      <c r="T45" s="23">
        <v>0.09</v>
      </c>
      <c r="U45" s="24">
        <v>0.08</v>
      </c>
      <c r="V45" s="23">
        <v>7.0000000000000007E-2</v>
      </c>
      <c r="W45" s="23">
        <v>0.06</v>
      </c>
      <c r="X45" s="23">
        <v>0.05</v>
      </c>
      <c r="Y45" s="23">
        <v>0.04</v>
      </c>
      <c r="Z45" s="25">
        <v>0.02</v>
      </c>
    </row>
    <row r="46" spans="3:27" x14ac:dyDescent="0.25">
      <c r="D46" s="10" t="s">
        <v>21</v>
      </c>
      <c r="R46" s="27">
        <v>0.21</v>
      </c>
      <c r="S46" s="28">
        <v>0.11</v>
      </c>
      <c r="T46" s="28">
        <f>+S46-0.01</f>
        <v>0.1</v>
      </c>
      <c r="U46" s="28">
        <f t="shared" ref="U46:Z46" si="19">+T46-0.01</f>
        <v>9.0000000000000011E-2</v>
      </c>
      <c r="V46" s="28">
        <f t="shared" si="19"/>
        <v>8.0000000000000016E-2</v>
      </c>
      <c r="W46" s="28">
        <f t="shared" si="19"/>
        <v>7.0000000000000021E-2</v>
      </c>
      <c r="X46" s="28">
        <f t="shared" si="19"/>
        <v>6.0000000000000019E-2</v>
      </c>
      <c r="Y46" s="28">
        <f t="shared" si="19"/>
        <v>5.0000000000000017E-2</v>
      </c>
      <c r="Z46" s="28">
        <f t="shared" si="19"/>
        <v>4.0000000000000015E-2</v>
      </c>
    </row>
    <row r="48" spans="3:27" x14ac:dyDescent="0.25">
      <c r="D48" t="s">
        <v>4</v>
      </c>
      <c r="H48" s="19">
        <f>+H24</f>
        <v>9011</v>
      </c>
      <c r="I48" s="19">
        <f t="shared" ref="I48:Q48" si="20">+I24</f>
        <v>9375</v>
      </c>
      <c r="J48" s="19">
        <f t="shared" si="20"/>
        <v>11517</v>
      </c>
      <c r="K48" s="19">
        <f t="shared" si="20"/>
        <v>12843</v>
      </c>
      <c r="L48" s="19">
        <f t="shared" si="20"/>
        <v>14259</v>
      </c>
      <c r="M48" s="19">
        <f t="shared" si="20"/>
        <v>13809</v>
      </c>
      <c r="N48" s="19">
        <f t="shared" si="20"/>
        <v>14914</v>
      </c>
      <c r="O48" s="19">
        <f t="shared" si="20"/>
        <v>11710</v>
      </c>
      <c r="P48" s="19">
        <f t="shared" si="20"/>
        <v>3577</v>
      </c>
      <c r="Q48" s="19">
        <f t="shared" si="20"/>
        <v>3741</v>
      </c>
      <c r="R48" s="21">
        <f>+R49*R42</f>
        <v>10956.491</v>
      </c>
      <c r="S48" s="21">
        <f t="shared" ref="S48:Z48" si="21">+S49*S42</f>
        <v>14057.475</v>
      </c>
      <c r="T48" s="21">
        <f t="shared" si="21"/>
        <v>15445.952969999998</v>
      </c>
      <c r="U48" s="21">
        <f t="shared" si="21"/>
        <v>17338.188215239999</v>
      </c>
      <c r="V48" s="21">
        <f t="shared" si="21"/>
        <v>19228.646208678401</v>
      </c>
      <c r="W48" s="21">
        <f t="shared" si="21"/>
        <v>21076.792279850208</v>
      </c>
      <c r="X48" s="21">
        <f t="shared" si="21"/>
        <v>22839.898518489023</v>
      </c>
      <c r="Y48" s="21">
        <f t="shared" si="21"/>
        <v>24474.689098705829</v>
      </c>
      <c r="Z48" s="21">
        <f t="shared" si="21"/>
        <v>25679.143354463038</v>
      </c>
    </row>
    <row r="49" spans="3:27" x14ac:dyDescent="0.25">
      <c r="D49" t="s">
        <v>7</v>
      </c>
      <c r="H49" s="18">
        <f>+H25</f>
        <v>0.21331849817716964</v>
      </c>
      <c r="I49" s="18">
        <f t="shared" ref="I49:Q49" si="22">+I25</f>
        <v>0.20868113522537562</v>
      </c>
      <c r="J49" s="18">
        <f t="shared" si="22"/>
        <v>0.23630916962472043</v>
      </c>
      <c r="K49" s="18">
        <f t="shared" si="22"/>
        <v>0.24696652116224063</v>
      </c>
      <c r="L49" s="18">
        <f t="shared" si="22"/>
        <v>0.25753142609449503</v>
      </c>
      <c r="M49" s="18">
        <f t="shared" si="22"/>
        <v>0.25133319986167485</v>
      </c>
      <c r="N49" s="18">
        <f t="shared" si="22"/>
        <v>0.25078612386285293</v>
      </c>
      <c r="O49" s="18">
        <f t="shared" si="22"/>
        <v>0.168678516896661</v>
      </c>
      <c r="P49" s="18">
        <f t="shared" si="22"/>
        <v>5.4924300586555293E-2</v>
      </c>
      <c r="Q49" s="18">
        <f t="shared" si="22"/>
        <v>5.5515158710136972E-2</v>
      </c>
      <c r="R49" s="13" cm="1">
        <f t="array" ref="R49:Z49">+_xlfn.SWITCH(F10,1,R50:Z50,2,R51:Z51,3,R52:Z52)</f>
        <v>0.13</v>
      </c>
      <c r="S49" s="13">
        <v>0.15</v>
      </c>
      <c r="T49" s="13">
        <v>0.15</v>
      </c>
      <c r="U49" s="13">
        <v>0.155</v>
      </c>
      <c r="V49" s="13">
        <v>0.16</v>
      </c>
      <c r="W49" s="13">
        <v>0.16500000000000001</v>
      </c>
      <c r="X49" s="13">
        <v>0.17</v>
      </c>
      <c r="Y49" s="13">
        <v>0.17500000000000002</v>
      </c>
      <c r="Z49" s="13">
        <v>0.18000000000000002</v>
      </c>
    </row>
    <row r="50" spans="3:27" x14ac:dyDescent="0.25">
      <c r="D50" s="10" t="s">
        <v>19</v>
      </c>
      <c r="R50" s="22">
        <v>0.1</v>
      </c>
      <c r="S50" s="23">
        <v>0.11</v>
      </c>
      <c r="T50" s="23">
        <v>0.11</v>
      </c>
      <c r="U50" s="23">
        <v>0.12</v>
      </c>
      <c r="V50" s="23">
        <v>0.13</v>
      </c>
      <c r="W50" s="23">
        <v>0.14000000000000001</v>
      </c>
      <c r="X50" s="23">
        <v>0.15</v>
      </c>
      <c r="Y50" s="23">
        <v>0.15</v>
      </c>
      <c r="Z50" s="23">
        <v>0.15</v>
      </c>
    </row>
    <row r="51" spans="3:27" x14ac:dyDescent="0.25">
      <c r="D51" s="10" t="s">
        <v>20</v>
      </c>
      <c r="R51" s="22">
        <v>0.13</v>
      </c>
      <c r="S51" s="23">
        <v>0.15</v>
      </c>
      <c r="T51" s="23">
        <v>0.15</v>
      </c>
      <c r="U51" s="24">
        <f>+T51+0.005</f>
        <v>0.155</v>
      </c>
      <c r="V51" s="24">
        <f t="shared" ref="V51:Z51" si="23">+U51+0.005</f>
        <v>0.16</v>
      </c>
      <c r="W51" s="24">
        <f t="shared" si="23"/>
        <v>0.16500000000000001</v>
      </c>
      <c r="X51" s="24">
        <f t="shared" si="23"/>
        <v>0.17</v>
      </c>
      <c r="Y51" s="24">
        <f t="shared" si="23"/>
        <v>0.17500000000000002</v>
      </c>
      <c r="Z51" s="24">
        <f t="shared" si="23"/>
        <v>0.18000000000000002</v>
      </c>
    </row>
    <row r="52" spans="3:27" x14ac:dyDescent="0.25">
      <c r="D52" s="10" t="s">
        <v>21</v>
      </c>
      <c r="R52" s="27">
        <v>0.15</v>
      </c>
      <c r="S52" s="28">
        <f>+S51+0.02</f>
        <v>0.16999999999999998</v>
      </c>
      <c r="T52" s="28">
        <f t="shared" ref="T52:Z52" si="24">+T51+0.02</f>
        <v>0.16999999999999998</v>
      </c>
      <c r="U52" s="28">
        <f t="shared" si="24"/>
        <v>0.17499999999999999</v>
      </c>
      <c r="V52" s="28">
        <f t="shared" si="24"/>
        <v>0.18</v>
      </c>
      <c r="W52" s="28">
        <f t="shared" si="24"/>
        <v>0.185</v>
      </c>
      <c r="X52" s="28">
        <f t="shared" si="24"/>
        <v>0.19</v>
      </c>
      <c r="Y52" s="28">
        <f t="shared" si="24"/>
        <v>0.19500000000000001</v>
      </c>
      <c r="Z52" s="28">
        <f t="shared" si="24"/>
        <v>0.2</v>
      </c>
    </row>
    <row r="54" spans="3:27" x14ac:dyDescent="0.25">
      <c r="D54" t="s">
        <v>16</v>
      </c>
      <c r="H54" s="19">
        <f>+H27</f>
        <v>3087</v>
      </c>
      <c r="I54" s="19">
        <f t="shared" ref="I54:Q54" si="25">+I27</f>
        <v>2984</v>
      </c>
      <c r="J54" s="19">
        <f t="shared" si="25"/>
        <v>4242</v>
      </c>
      <c r="K54" s="19">
        <f t="shared" si="25"/>
        <v>5016</v>
      </c>
      <c r="L54" s="19">
        <f t="shared" si="25"/>
        <v>5078</v>
      </c>
      <c r="M54" s="19">
        <f t="shared" si="25"/>
        <v>4422</v>
      </c>
      <c r="N54" s="19">
        <f t="shared" si="25"/>
        <v>1663</v>
      </c>
      <c r="O54" s="19">
        <f t="shared" si="25"/>
        <v>3026</v>
      </c>
      <c r="P54" s="19">
        <f t="shared" si="25"/>
        <v>699</v>
      </c>
      <c r="Q54" s="19">
        <f t="shared" si="25"/>
        <v>25</v>
      </c>
      <c r="R54" s="21">
        <f>+R55*R48</f>
        <v>2081.7332900000001</v>
      </c>
      <c r="S54" s="21">
        <f t="shared" ref="S54:Z54" si="26">+S55*S48</f>
        <v>2670.9202500000001</v>
      </c>
      <c r="T54" s="21">
        <f t="shared" si="26"/>
        <v>3243.6501236999998</v>
      </c>
      <c r="U54" s="21">
        <f t="shared" si="26"/>
        <v>3901.0923484289997</v>
      </c>
      <c r="V54" s="21">
        <f t="shared" si="26"/>
        <v>4614.8750900828163</v>
      </c>
      <c r="W54" s="21">
        <f t="shared" si="26"/>
        <v>5374.5820313618033</v>
      </c>
      <c r="X54" s="21">
        <f t="shared" si="26"/>
        <v>6166.7725999920367</v>
      </c>
      <c r="Y54" s="21">
        <f t="shared" si="26"/>
        <v>6975.2863931311622</v>
      </c>
      <c r="Z54" s="21">
        <f t="shared" si="26"/>
        <v>7703.7430063389129</v>
      </c>
    </row>
    <row r="55" spans="3:27" x14ac:dyDescent="0.25">
      <c r="D55" t="s">
        <v>9</v>
      </c>
      <c r="H55" s="18">
        <f>+H28</f>
        <v>0.34258128953501277</v>
      </c>
      <c r="I55" s="18">
        <f t="shared" ref="I55:Q55" si="27">+I28</f>
        <v>0.31829333333333332</v>
      </c>
      <c r="J55" s="18">
        <f t="shared" si="27"/>
        <v>0.36832508465746289</v>
      </c>
      <c r="K55" s="18">
        <f t="shared" si="27"/>
        <v>0.39056295258117263</v>
      </c>
      <c r="L55" s="18">
        <f t="shared" si="27"/>
        <v>0.35612595553685394</v>
      </c>
      <c r="M55" s="18">
        <f t="shared" si="27"/>
        <v>0.32022593960460571</v>
      </c>
      <c r="N55" s="18">
        <f t="shared" si="27"/>
        <v>0.11150596754727102</v>
      </c>
      <c r="O55" s="18">
        <f t="shared" si="27"/>
        <v>0.2584116140051238</v>
      </c>
      <c r="P55" s="18">
        <f t="shared" si="27"/>
        <v>0.1954151523623148</v>
      </c>
      <c r="Q55" s="18">
        <f t="shared" si="27"/>
        <v>6.6827051590483827E-3</v>
      </c>
      <c r="R55" s="13" cm="1">
        <f t="array" ref="R55:Z55">+_xlfn.SWITCH(F11,1,R56:Z56,2,R57:Z57,3,R58:Z58)</f>
        <v>0.19</v>
      </c>
      <c r="S55" s="13">
        <v>0.19</v>
      </c>
      <c r="T55" s="13">
        <v>0.21</v>
      </c>
      <c r="U55" s="13">
        <v>0.22499999999999998</v>
      </c>
      <c r="V55" s="13">
        <v>0.24</v>
      </c>
      <c r="W55" s="13">
        <v>0.255</v>
      </c>
      <c r="X55" s="13">
        <v>0.27</v>
      </c>
      <c r="Y55" s="13">
        <v>0.28500000000000003</v>
      </c>
      <c r="Z55" s="13">
        <v>0.30000000000000004</v>
      </c>
    </row>
    <row r="56" spans="3:27" x14ac:dyDescent="0.25">
      <c r="D56" s="10" t="s">
        <v>19</v>
      </c>
      <c r="R56" s="22">
        <v>0.2</v>
      </c>
      <c r="S56" s="23">
        <v>0.2</v>
      </c>
      <c r="T56" s="26">
        <f>+S56+0.065</f>
        <v>0.26500000000000001</v>
      </c>
      <c r="U56" s="26">
        <f t="shared" ref="U56:Z56" si="28">+T56+0.015</f>
        <v>0.28000000000000003</v>
      </c>
      <c r="V56" s="26">
        <f t="shared" si="28"/>
        <v>0.29500000000000004</v>
      </c>
      <c r="W56" s="26">
        <f t="shared" si="28"/>
        <v>0.31000000000000005</v>
      </c>
      <c r="X56" s="26">
        <f t="shared" si="28"/>
        <v>0.32500000000000007</v>
      </c>
      <c r="Y56" s="26">
        <f t="shared" si="28"/>
        <v>0.34000000000000008</v>
      </c>
      <c r="Z56" s="26">
        <f t="shared" si="28"/>
        <v>0.35500000000000009</v>
      </c>
    </row>
    <row r="57" spans="3:27" x14ac:dyDescent="0.25">
      <c r="D57" s="10" t="s">
        <v>20</v>
      </c>
      <c r="R57" s="22">
        <v>0.19</v>
      </c>
      <c r="S57" s="23">
        <v>0.19</v>
      </c>
      <c r="T57" s="23">
        <v>0.21</v>
      </c>
      <c r="U57" s="24">
        <f>+T57+0.015</f>
        <v>0.22499999999999998</v>
      </c>
      <c r="V57" s="24">
        <f t="shared" ref="V57:Z57" si="29">+U57+0.015</f>
        <v>0.24</v>
      </c>
      <c r="W57" s="24">
        <f t="shared" si="29"/>
        <v>0.255</v>
      </c>
      <c r="X57" s="24">
        <f t="shared" si="29"/>
        <v>0.27</v>
      </c>
      <c r="Y57" s="24">
        <f t="shared" si="29"/>
        <v>0.28500000000000003</v>
      </c>
      <c r="Z57" s="24">
        <f t="shared" si="29"/>
        <v>0.30000000000000004</v>
      </c>
    </row>
    <row r="58" spans="3:27" x14ac:dyDescent="0.25">
      <c r="D58" s="10" t="s">
        <v>21</v>
      </c>
      <c r="R58" s="27">
        <v>0.15</v>
      </c>
      <c r="S58" s="28">
        <v>0.16</v>
      </c>
      <c r="T58" s="28">
        <f>+S58+0.01</f>
        <v>0.17</v>
      </c>
      <c r="U58" s="28">
        <f t="shared" ref="U58:Z58" si="30">+T58+0.01</f>
        <v>0.18000000000000002</v>
      </c>
      <c r="V58" s="28">
        <f t="shared" si="30"/>
        <v>0.19000000000000003</v>
      </c>
      <c r="W58" s="28">
        <f t="shared" si="30"/>
        <v>0.20000000000000004</v>
      </c>
      <c r="X58" s="28">
        <f t="shared" si="30"/>
        <v>0.21000000000000005</v>
      </c>
      <c r="Y58" s="28">
        <f t="shared" si="30"/>
        <v>0.22000000000000006</v>
      </c>
      <c r="Z58" s="28">
        <f t="shared" si="30"/>
        <v>0.23000000000000007</v>
      </c>
    </row>
    <row r="59" spans="3:27" x14ac:dyDescent="0.25">
      <c r="D59" s="17"/>
    </row>
    <row r="60" spans="3:27" x14ac:dyDescent="0.25">
      <c r="C60" t="s">
        <v>22</v>
      </c>
      <c r="D60" s="15" t="s">
        <v>17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35">
        <f>+R48-R54</f>
        <v>8874.7577099999999</v>
      </c>
      <c r="S60" s="35">
        <f t="shared" ref="S60:AA60" si="31">+S48-S54</f>
        <v>11386.554749999999</v>
      </c>
      <c r="T60" s="35">
        <f t="shared" si="31"/>
        <v>12202.302846299999</v>
      </c>
      <c r="U60" s="35">
        <f t="shared" si="31"/>
        <v>13437.095866811</v>
      </c>
      <c r="V60" s="35">
        <f t="shared" si="31"/>
        <v>14613.771118595585</v>
      </c>
      <c r="W60" s="35">
        <f t="shared" si="31"/>
        <v>15702.210248488405</v>
      </c>
      <c r="X60" s="35">
        <f t="shared" si="31"/>
        <v>16673.125918496986</v>
      </c>
      <c r="Y60" s="35">
        <f t="shared" si="31"/>
        <v>17499.402705574666</v>
      </c>
      <c r="Z60" s="35">
        <f t="shared" si="31"/>
        <v>17975.400348124123</v>
      </c>
      <c r="AA60" s="35">
        <f t="shared" si="31"/>
        <v>0</v>
      </c>
    </row>
    <row r="61" spans="3:27" x14ac:dyDescent="0.25"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3:27" x14ac:dyDescent="0.25">
      <c r="D62" t="s">
        <v>10</v>
      </c>
      <c r="H62" s="38">
        <f>+H31</f>
        <v>1987</v>
      </c>
      <c r="I62" s="38">
        <f t="shared" ref="I62:Q62" si="32">+I31</f>
        <v>2192</v>
      </c>
      <c r="J62" s="38">
        <f t="shared" si="32"/>
        <v>2288</v>
      </c>
      <c r="K62" s="38">
        <f t="shared" si="32"/>
        <v>2354</v>
      </c>
      <c r="L62" s="38">
        <f t="shared" si="32"/>
        <v>2527</v>
      </c>
      <c r="M62" s="38">
        <f t="shared" si="32"/>
        <v>2782</v>
      </c>
      <c r="N62" s="38">
        <f t="shared" si="32"/>
        <v>3011</v>
      </c>
      <c r="O62" s="38">
        <f t="shared" si="32"/>
        <v>4167</v>
      </c>
      <c r="P62" s="38">
        <f t="shared" si="32"/>
        <v>5345</v>
      </c>
      <c r="Q62" s="38">
        <f t="shared" si="32"/>
        <v>5111</v>
      </c>
      <c r="R62" s="39">
        <f>+R63*R42</f>
        <v>4659.8003216727775</v>
      </c>
      <c r="S62" s="39">
        <f t="shared" ref="S62:Z62" si="33">+S63*S42</f>
        <v>5258.8181852030411</v>
      </c>
      <c r="T62" s="39">
        <f t="shared" si="33"/>
        <v>5853.6331273531969</v>
      </c>
      <c r="U62" s="39">
        <f t="shared" si="33"/>
        <v>6469.5293683431728</v>
      </c>
      <c r="V62" s="39">
        <f t="shared" si="33"/>
        <v>7101.7751843769283</v>
      </c>
      <c r="W62" s="39">
        <f t="shared" si="33"/>
        <v>7720.3159000282467</v>
      </c>
      <c r="X62" s="39">
        <f t="shared" si="33"/>
        <v>8251.7928879139836</v>
      </c>
      <c r="Y62" s="39">
        <f t="shared" si="33"/>
        <v>8740.6539825161835</v>
      </c>
      <c r="Z62" s="39">
        <f t="shared" si="33"/>
        <v>8951.3456432931762</v>
      </c>
    </row>
    <row r="63" spans="3:27" x14ac:dyDescent="0.25">
      <c r="D63" t="s">
        <v>7</v>
      </c>
      <c r="H63" s="18">
        <f>+H32</f>
        <v>4.7038492495620469E-2</v>
      </c>
      <c r="I63" s="18">
        <f t="shared" ref="I63:Q63" si="34">+I32</f>
        <v>4.879243183082916E-2</v>
      </c>
      <c r="J63" s="18">
        <f t="shared" si="34"/>
        <v>4.6945852227260602E-2</v>
      </c>
      <c r="K63" s="18">
        <f t="shared" si="34"/>
        <v>4.5266619233505757E-2</v>
      </c>
      <c r="L63" s="18">
        <f t="shared" si="34"/>
        <v>4.5640080913162837E-2</v>
      </c>
      <c r="M63" s="18">
        <f t="shared" si="34"/>
        <v>5.0634293722585225E-2</v>
      </c>
      <c r="N63" s="18">
        <f t="shared" si="34"/>
        <v>5.0631421412836941E-2</v>
      </c>
      <c r="O63" s="18">
        <f t="shared" si="34"/>
        <v>6.0024199821382268E-2</v>
      </c>
      <c r="P63" s="18">
        <f t="shared" si="34"/>
        <v>8.2071676442588212E-2</v>
      </c>
      <c r="Q63" s="18">
        <f t="shared" si="34"/>
        <v>7.584548948610266E-2</v>
      </c>
      <c r="R63" s="37">
        <f>+AVERAGE(H63:Q63)</f>
        <v>5.5289055758587412E-2</v>
      </c>
      <c r="S63" s="37">
        <f t="shared" ref="S63:Z63" si="35">+AVERAGE(I63:R63)</f>
        <v>5.6114112084884107E-2</v>
      </c>
      <c r="T63" s="37">
        <f t="shared" si="35"/>
        <v>5.6846280110289603E-2</v>
      </c>
      <c r="U63" s="37">
        <f t="shared" si="35"/>
        <v>5.7836322898592495E-2</v>
      </c>
      <c r="V63" s="37">
        <f t="shared" si="35"/>
        <v>5.9093293265101175E-2</v>
      </c>
      <c r="W63" s="37">
        <f t="shared" si="35"/>
        <v>6.0438614500295008E-2</v>
      </c>
      <c r="X63" s="37">
        <f t="shared" si="35"/>
        <v>6.1419046578065975E-2</v>
      </c>
      <c r="Y63" s="37">
        <f t="shared" si="35"/>
        <v>6.2497809094588873E-2</v>
      </c>
      <c r="Z63" s="37">
        <f t="shared" si="35"/>
        <v>6.2745170021909547E-2</v>
      </c>
    </row>
    <row r="65" spans="3:27" x14ac:dyDescent="0.25">
      <c r="D65" t="s">
        <v>11</v>
      </c>
      <c r="H65" s="38">
        <f>+H34</f>
        <v>3784</v>
      </c>
      <c r="I65" s="38">
        <f t="shared" ref="I65:Q65" si="36">+I34</f>
        <v>2769</v>
      </c>
      <c r="J65" s="38">
        <f t="shared" si="36"/>
        <v>3311</v>
      </c>
      <c r="K65" s="38">
        <f t="shared" si="36"/>
        <v>4265</v>
      </c>
      <c r="L65" s="38">
        <f t="shared" si="36"/>
        <v>4773</v>
      </c>
      <c r="M65" s="38">
        <f t="shared" si="36"/>
        <v>3623</v>
      </c>
      <c r="N65" s="38">
        <f t="shared" si="36"/>
        <v>4465</v>
      </c>
      <c r="O65" s="38">
        <f t="shared" si="36"/>
        <v>4876</v>
      </c>
      <c r="P65" s="38">
        <f t="shared" si="36"/>
        <v>4022</v>
      </c>
      <c r="Q65" s="38">
        <f t="shared" si="36"/>
        <v>3578</v>
      </c>
      <c r="R65" s="39">
        <f>+R66*R42</f>
        <v>6013.2892991635836</v>
      </c>
      <c r="S65" s="39">
        <f t="shared" ref="S65:Z65" si="37">+S66*S42</f>
        <v>6515.6660209009706</v>
      </c>
      <c r="T65" s="39">
        <f t="shared" si="37"/>
        <v>7240.4658560915605</v>
      </c>
      <c r="U65" s="39">
        <f t="shared" si="37"/>
        <v>7891.8977635031351</v>
      </c>
      <c r="V65" s="39">
        <f t="shared" si="37"/>
        <v>8341.1186075821788</v>
      </c>
      <c r="W65" s="39">
        <f t="shared" si="37"/>
        <v>8651.1728906299977</v>
      </c>
      <c r="X65" s="39">
        <f t="shared" si="37"/>
        <v>9123.104680995948</v>
      </c>
      <c r="Y65" s="39">
        <f t="shared" si="37"/>
        <v>9396.412061755258</v>
      </c>
      <c r="Z65" s="39">
        <f t="shared" si="37"/>
        <v>9541.4556745739847</v>
      </c>
    </row>
    <row r="66" spans="3:27" x14ac:dyDescent="0.25">
      <c r="D66" t="s">
        <v>7</v>
      </c>
      <c r="H66" s="18">
        <f>+H35</f>
        <v>8.9579091899057814E-2</v>
      </c>
      <c r="I66" s="18">
        <f t="shared" ref="I66:P66" si="38">+I35</f>
        <v>6.1636060100166944E-2</v>
      </c>
      <c r="J66" s="18">
        <f t="shared" si="38"/>
        <v>6.7936065001949236E-2</v>
      </c>
      <c r="K66" s="18">
        <f t="shared" si="38"/>
        <v>8.2014499163509794E-2</v>
      </c>
      <c r="L66" s="18">
        <f t="shared" si="38"/>
        <v>8.62050281751192E-2</v>
      </c>
      <c r="M66" s="18">
        <f t="shared" si="38"/>
        <v>6.5941066195875725E-2</v>
      </c>
      <c r="N66" s="18">
        <f t="shared" si="38"/>
        <v>7.5081134708839897E-2</v>
      </c>
      <c r="O66" s="18">
        <f t="shared" si="38"/>
        <v>7.0237100630923921E-2</v>
      </c>
      <c r="P66" s="18">
        <f t="shared" si="38"/>
        <v>6.1757209102355437E-2</v>
      </c>
      <c r="Q66" s="18">
        <f>+Q35</f>
        <v>5.3096294537522071E-2</v>
      </c>
      <c r="R66" s="37">
        <f>+AVERAGE(H66:Q66)</f>
        <v>7.1348354951532009E-2</v>
      </c>
      <c r="S66" s="37">
        <f t="shared" ref="S66:Z66" si="39">+AVERAGE(I66:R66)</f>
        <v>6.9525281256779439E-2</v>
      </c>
      <c r="T66" s="37">
        <f t="shared" si="39"/>
        <v>7.0314203372440681E-2</v>
      </c>
      <c r="U66" s="37">
        <f t="shared" si="39"/>
        <v>7.0552017209489809E-2</v>
      </c>
      <c r="V66" s="37">
        <f t="shared" si="39"/>
        <v>6.940576901408782E-2</v>
      </c>
      <c r="W66" s="37">
        <f t="shared" si="39"/>
        <v>6.772584309798467E-2</v>
      </c>
      <c r="X66" s="37">
        <f t="shared" si="39"/>
        <v>6.7904320788195568E-2</v>
      </c>
      <c r="Y66" s="37">
        <f t="shared" si="39"/>
        <v>6.7186639396131134E-2</v>
      </c>
      <c r="Z66" s="37">
        <f t="shared" si="39"/>
        <v>6.6881593272651849E-2</v>
      </c>
    </row>
    <row r="68" spans="3:27" x14ac:dyDescent="0.25">
      <c r="D68" t="s">
        <v>12</v>
      </c>
      <c r="H68" s="20">
        <f>+H37</f>
        <v>-1091</v>
      </c>
      <c r="I68" s="20">
        <f t="shared" ref="I68:Q68" si="40">+I37</f>
        <v>103</v>
      </c>
      <c r="J68" s="20">
        <f t="shared" si="40"/>
        <v>-272</v>
      </c>
      <c r="K68" s="20">
        <f t="shared" si="40"/>
        <v>129</v>
      </c>
      <c r="L68" s="20">
        <f t="shared" si="40"/>
        <v>-902</v>
      </c>
      <c r="M68" s="20">
        <f t="shared" si="40"/>
        <v>-110</v>
      </c>
      <c r="N68" s="20">
        <f t="shared" si="40"/>
        <v>-837</v>
      </c>
      <c r="O68" s="20">
        <f t="shared" si="40"/>
        <v>-5644</v>
      </c>
      <c r="P68" s="20">
        <f t="shared" si="40"/>
        <v>-645</v>
      </c>
      <c r="Q68" s="20">
        <f t="shared" si="40"/>
        <v>2194</v>
      </c>
      <c r="R68" s="36">
        <f>+R69*R42</f>
        <v>-991.54721599772051</v>
      </c>
      <c r="S68" s="36">
        <f t="shared" ref="S68:Z68" si="41">+S69*S42</f>
        <v>-970.76834445692111</v>
      </c>
      <c r="T68" s="36">
        <f t="shared" si="41"/>
        <v>-1196.9265828860414</v>
      </c>
      <c r="U68" s="36">
        <f t="shared" si="41"/>
        <v>-1367.8110959841727</v>
      </c>
      <c r="V68" s="36">
        <f t="shared" si="41"/>
        <v>-1646.3112188048544</v>
      </c>
      <c r="W68" s="36">
        <f t="shared" si="41"/>
        <v>-1716.7499473480334</v>
      </c>
      <c r="X68" s="36">
        <f t="shared" si="41"/>
        <v>-1959.3081842105139</v>
      </c>
      <c r="Y68" s="36">
        <f t="shared" si="41"/>
        <v>-2046.6765182457491</v>
      </c>
      <c r="Z68" s="36">
        <f t="shared" si="41"/>
        <v>-1136.6833766449968</v>
      </c>
    </row>
    <row r="69" spans="3:27" x14ac:dyDescent="0.25">
      <c r="D69" t="s">
        <v>7</v>
      </c>
      <c r="H69" s="18">
        <f>+H38</f>
        <v>-2.5827375597746317E-2</v>
      </c>
      <c r="I69" s="18">
        <f t="shared" ref="I69:Q69" si="42">+I38</f>
        <v>2.2927100723427935E-3</v>
      </c>
      <c r="J69" s="18">
        <f t="shared" si="42"/>
        <v>-5.5809754396044077E-3</v>
      </c>
      <c r="K69" s="18">
        <f t="shared" si="42"/>
        <v>2.4806261177239774E-3</v>
      </c>
      <c r="L69" s="18">
        <f t="shared" si="42"/>
        <v>-1.6290998410634302E-2</v>
      </c>
      <c r="M69" s="18">
        <f t="shared" si="42"/>
        <v>-2.0020748776004224E-3</v>
      </c>
      <c r="N69" s="18">
        <f t="shared" si="42"/>
        <v>-1.4074559854714222E-2</v>
      </c>
      <c r="O69" s="18">
        <f t="shared" si="42"/>
        <v>-8.1299876119961978E-2</v>
      </c>
      <c r="P69" s="18">
        <f t="shared" si="42"/>
        <v>-9.9038786352608783E-3</v>
      </c>
      <c r="Q69" s="18">
        <f t="shared" si="42"/>
        <v>3.2558208556546515E-2</v>
      </c>
      <c r="R69" s="13">
        <f>+AVERAGE(H69:Q69)</f>
        <v>-1.1764819418890926E-2</v>
      </c>
      <c r="S69" s="13">
        <f t="shared" ref="S69:Z69" si="43">+AVERAGE(I69:R69)</f>
        <v>-1.0358563801005385E-2</v>
      </c>
      <c r="T69" s="13">
        <f t="shared" si="43"/>
        <v>-1.1623691188340205E-2</v>
      </c>
      <c r="U69" s="13">
        <f t="shared" si="43"/>
        <v>-1.2227962763213782E-2</v>
      </c>
      <c r="V69" s="13">
        <f t="shared" si="43"/>
        <v>-1.369882165130756E-2</v>
      </c>
      <c r="W69" s="13">
        <f t="shared" si="43"/>
        <v>-1.3439603975374883E-2</v>
      </c>
      <c r="X69" s="13">
        <f t="shared" si="43"/>
        <v>-1.4583356885152329E-2</v>
      </c>
      <c r="Y69" s="13">
        <f t="shared" si="43"/>
        <v>-1.4634236588196143E-2</v>
      </c>
      <c r="Z69" s="13">
        <f t="shared" si="43"/>
        <v>-7.9676726350195563E-3</v>
      </c>
    </row>
    <row r="71" spans="3:27" x14ac:dyDescent="0.25">
      <c r="C71" t="s">
        <v>22</v>
      </c>
      <c r="D71" s="15" t="s">
        <v>18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40">
        <f>+R60+R62-R65+R68</f>
        <v>6529.7215165114731</v>
      </c>
      <c r="S71" s="40">
        <f t="shared" ref="S71:Z71" si="44">+S60+S62-S65+S68</f>
        <v>9158.9385698451497</v>
      </c>
      <c r="T71" s="40">
        <f t="shared" si="44"/>
        <v>9618.5435346755949</v>
      </c>
      <c r="U71" s="40">
        <f t="shared" si="44"/>
        <v>10646.916375666866</v>
      </c>
      <c r="V71" s="40">
        <f t="shared" si="44"/>
        <v>11728.116476585481</v>
      </c>
      <c r="W71" s="40">
        <f t="shared" si="44"/>
        <v>13054.603310538621</v>
      </c>
      <c r="X71" s="40">
        <f t="shared" si="44"/>
        <v>13842.505941204508</v>
      </c>
      <c r="Y71" s="40">
        <f t="shared" si="44"/>
        <v>14796.968108089844</v>
      </c>
      <c r="Z71" s="40">
        <f t="shared" si="44"/>
        <v>16248.606940198322</v>
      </c>
      <c r="AA71" t="s">
        <v>22</v>
      </c>
    </row>
    <row r="72" spans="3:27" x14ac:dyDescent="0.25">
      <c r="D72" s="29" t="s">
        <v>36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44">
        <f t="shared" ref="R72:Z72" si="45">+R71/(1+wacc)^R40</f>
        <v>6136.9563125107825</v>
      </c>
      <c r="S72" s="44">
        <f t="shared" si="45"/>
        <v>8090.2490335140728</v>
      </c>
      <c r="T72" s="44">
        <f t="shared" si="45"/>
        <v>7985.1748659751865</v>
      </c>
      <c r="U72" s="44">
        <f t="shared" si="45"/>
        <v>8307.2509707577265</v>
      </c>
      <c r="V72" s="44">
        <f t="shared" si="45"/>
        <v>8600.4293118301266</v>
      </c>
      <c r="W72" s="44">
        <f t="shared" si="45"/>
        <v>8997.3354298875583</v>
      </c>
      <c r="X72" s="44">
        <f t="shared" si="45"/>
        <v>8966.5076401125425</v>
      </c>
      <c r="Y72" s="44">
        <f t="shared" si="45"/>
        <v>9008.235143121723</v>
      </c>
      <c r="Z72" s="44">
        <f t="shared" si="45"/>
        <v>9296.9711105022398</v>
      </c>
    </row>
    <row r="73" spans="3:27" x14ac:dyDescent="0.25">
      <c r="D73" s="29" t="s">
        <v>37</v>
      </c>
      <c r="R73" s="21">
        <f>+R74*R67</f>
        <v>0</v>
      </c>
      <c r="Z73" s="44">
        <f>+((Z71*(1+tgr))/(wacc-tgr))</f>
        <v>427046.72086418659</v>
      </c>
    </row>
    <row r="74" spans="3:27" x14ac:dyDescent="0.25">
      <c r="D74" s="29" t="s">
        <v>38</v>
      </c>
      <c r="Z74" s="44">
        <f>+Z73/(1+wacc)^Z40</f>
        <v>244343.47149396906</v>
      </c>
    </row>
    <row r="76" spans="3:27" x14ac:dyDescent="0.25">
      <c r="D76" t="s">
        <v>39</v>
      </c>
      <c r="Z76" s="47">
        <f>+SUM(R72:Z72,Z74)</f>
        <v>319732.58131218102</v>
      </c>
    </row>
    <row r="77" spans="3:27" x14ac:dyDescent="0.25">
      <c r="D77" s="43" t="s">
        <v>40</v>
      </c>
      <c r="Z77" s="47">
        <v>15959</v>
      </c>
    </row>
    <row r="78" spans="3:27" x14ac:dyDescent="0.25">
      <c r="D78" s="43" t="s">
        <v>41</v>
      </c>
      <c r="Z78" s="47">
        <v>63062</v>
      </c>
    </row>
    <row r="79" spans="3:27" x14ac:dyDescent="0.25">
      <c r="D79" t="s">
        <v>42</v>
      </c>
      <c r="Z79" s="47">
        <f>+Z76+Z77-Z78</f>
        <v>272629.58131218102</v>
      </c>
    </row>
    <row r="80" spans="3:27" x14ac:dyDescent="0.25">
      <c r="D80" t="s">
        <v>43</v>
      </c>
      <c r="Z80" s="48">
        <v>1800</v>
      </c>
    </row>
    <row r="81" spans="4:26" x14ac:dyDescent="0.25">
      <c r="D81" t="s">
        <v>44</v>
      </c>
      <c r="Z81" s="32">
        <f>+Z79/Z80</f>
        <v>151.46087850676724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C4E9-7873-418C-B2EF-BEB1A3651AB4}">
  <dimension ref="B3:C17"/>
  <sheetViews>
    <sheetView tabSelected="1" workbookViewId="0">
      <selection activeCell="C17" sqref="C17"/>
    </sheetView>
  </sheetViews>
  <sheetFormatPr defaultRowHeight="15" x14ac:dyDescent="0.25"/>
  <cols>
    <col min="2" max="2" width="14.140625" bestFit="1" customWidth="1"/>
    <col min="3" max="3" width="9.85546875" bestFit="1" customWidth="1"/>
  </cols>
  <sheetData>
    <row r="3" spans="2:3" x14ac:dyDescent="0.25">
      <c r="B3" t="s">
        <v>27</v>
      </c>
      <c r="C3">
        <v>52023</v>
      </c>
    </row>
    <row r="4" spans="2:3" x14ac:dyDescent="0.25">
      <c r="B4" t="s">
        <v>28</v>
      </c>
      <c r="C4" s="11">
        <f>+C3/(C3+C9)</f>
        <v>0.20518089348325952</v>
      </c>
    </row>
    <row r="5" spans="2:3" x14ac:dyDescent="0.25">
      <c r="B5" t="s">
        <v>29</v>
      </c>
      <c r="C5">
        <v>2.9750000000000001</v>
      </c>
    </row>
    <row r="6" spans="2:3" x14ac:dyDescent="0.25">
      <c r="C6">
        <f>+(C5*C4)*(1-0.01)</f>
        <v>0.60430902653157015</v>
      </c>
    </row>
    <row r="9" spans="2:3" x14ac:dyDescent="0.25">
      <c r="B9" t="s">
        <v>34</v>
      </c>
      <c r="C9">
        <v>201524</v>
      </c>
    </row>
    <row r="10" spans="2:3" x14ac:dyDescent="0.25">
      <c r="B10" t="s">
        <v>30</v>
      </c>
      <c r="C10" s="11">
        <f>+C9/(C9+C3)</f>
        <v>0.79481910651674048</v>
      </c>
    </row>
    <row r="11" spans="2:3" x14ac:dyDescent="0.25">
      <c r="B11" t="s">
        <v>31</v>
      </c>
      <c r="C11">
        <v>0.98</v>
      </c>
    </row>
    <row r="12" spans="2:3" x14ac:dyDescent="0.25">
      <c r="B12" t="s">
        <v>32</v>
      </c>
      <c r="C12">
        <v>2.74</v>
      </c>
    </row>
    <row r="13" spans="2:3" x14ac:dyDescent="0.25">
      <c r="B13" t="s">
        <v>33</v>
      </c>
      <c r="C13">
        <v>5.5</v>
      </c>
    </row>
    <row r="14" spans="2:3" x14ac:dyDescent="0.25">
      <c r="B14" t="s">
        <v>29</v>
      </c>
      <c r="C14">
        <f>+C12+(C13*C11)</f>
        <v>8.129999999999999</v>
      </c>
    </row>
    <row r="15" spans="2:3" x14ac:dyDescent="0.25">
      <c r="B15" t="s">
        <v>35</v>
      </c>
      <c r="C15" s="32">
        <f>+C14*C10</f>
        <v>6.4618793359810995</v>
      </c>
    </row>
    <row r="17" spans="2:3" x14ac:dyDescent="0.25">
      <c r="B17" t="s">
        <v>25</v>
      </c>
      <c r="C17" s="32">
        <f>+C15+C6</f>
        <v>7.06618836251267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WACC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Umbright</dc:creator>
  <cp:lastModifiedBy>Connor Umbright</cp:lastModifiedBy>
  <dcterms:created xsi:type="dcterms:W3CDTF">2022-05-29T14:03:29Z</dcterms:created>
  <dcterms:modified xsi:type="dcterms:W3CDTF">2022-07-26T13:40:17Z</dcterms:modified>
</cp:coreProperties>
</file>