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mbright\Downloads\"/>
    </mc:Choice>
  </mc:AlternateContent>
  <xr:revisionPtr revIDLastSave="0" documentId="8_{F719CFB7-8DB0-4781-96F0-5558E2C7C841}" xr6:coauthVersionLast="47" xr6:coauthVersionMax="47" xr10:uidLastSave="{00000000-0000-0000-0000-000000000000}"/>
  <bookViews>
    <workbookView xWindow="28680" yWindow="-120" windowWidth="29040" windowHeight="15840" activeTab="1" xr2:uid="{A55F9586-9ED3-4AE5-B128-E9CA9EC6D69A}"/>
  </bookViews>
  <sheets>
    <sheet name="Sheet1" sheetId="1" r:id="rId1"/>
    <sheet name="Cash flow mapping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F19" i="2" s="1"/>
  <c r="G19" i="2" s="1"/>
  <c r="D19" i="2"/>
  <c r="E22" i="2"/>
  <c r="F22" i="2" s="1"/>
  <c r="G22" i="2" s="1"/>
  <c r="D22" i="2"/>
  <c r="J22" i="2"/>
  <c r="H22" i="2"/>
  <c r="C22" i="2"/>
  <c r="J19" i="2"/>
  <c r="H19" i="2"/>
  <c r="C19" i="2"/>
  <c r="E18" i="2"/>
  <c r="F18" i="2" s="1"/>
  <c r="G18" i="2" s="1"/>
  <c r="H18" i="2" s="1"/>
  <c r="D18" i="2"/>
  <c r="C18" i="2"/>
  <c r="E32" i="2"/>
  <c r="E33" i="2"/>
  <c r="E31" i="2"/>
  <c r="B35" i="2" s="1"/>
  <c r="B36" i="2" s="1"/>
  <c r="B40" i="2" s="1"/>
  <c r="V18" i="2"/>
  <c r="V17" i="2"/>
  <c r="V16" i="2"/>
  <c r="T19" i="2"/>
  <c r="T18" i="2"/>
  <c r="T17" i="2"/>
  <c r="T16" i="2"/>
  <c r="O11" i="2"/>
  <c r="R17" i="2" s="1"/>
  <c r="J14" i="2"/>
  <c r="D14" i="2" s="1"/>
  <c r="E14" i="2" s="1"/>
  <c r="F14" i="2" s="1"/>
  <c r="G14" i="2" s="1"/>
  <c r="D13" i="2"/>
  <c r="E13" i="2" s="1"/>
  <c r="F13" i="2" s="1"/>
  <c r="G13" i="2" s="1"/>
  <c r="H13" i="2" s="1"/>
  <c r="J11" i="2"/>
  <c r="D11" i="2" s="1"/>
  <c r="E11" i="2" s="1"/>
  <c r="F11" i="2" s="1"/>
  <c r="G11" i="2" s="1"/>
  <c r="D10" i="2"/>
  <c r="E10" i="2" s="1"/>
  <c r="F10" i="2" s="1"/>
  <c r="G10" i="2" s="1"/>
  <c r="H10" i="2" s="1"/>
  <c r="R18" i="2" l="1"/>
  <c r="B16" i="1" l="1"/>
  <c r="B14" i="1"/>
  <c r="B18" i="1" s="1"/>
  <c r="C12" i="1"/>
  <c r="B12" i="1"/>
  <c r="B9" i="1"/>
</calcChain>
</file>

<file path=xl/sharedStrings.xml><?xml version="1.0" encoding="utf-8"?>
<sst xmlns="http://schemas.openxmlformats.org/spreadsheetml/2006/main" count="62" uniqueCount="48">
  <si>
    <t>Asset 1</t>
  </si>
  <si>
    <t>Value</t>
  </si>
  <si>
    <t>Asset 2</t>
  </si>
  <si>
    <t>Vol</t>
  </si>
  <si>
    <t>Correl</t>
  </si>
  <si>
    <t>Confidence</t>
  </si>
  <si>
    <t>STDevs</t>
  </si>
  <si>
    <t>$ Change</t>
  </si>
  <si>
    <t>VaR</t>
  </si>
  <si>
    <t>Time</t>
  </si>
  <si>
    <t>ES</t>
  </si>
  <si>
    <t>5-Day σ(p)</t>
  </si>
  <si>
    <t>delta</t>
  </si>
  <si>
    <t>Rate</t>
  </si>
  <si>
    <t>Maturities</t>
  </si>
  <si>
    <t>Zero Rate</t>
  </si>
  <si>
    <t>Bond Vol</t>
  </si>
  <si>
    <t>3-month</t>
  </si>
  <si>
    <t>6-month</t>
  </si>
  <si>
    <t>1-year</t>
  </si>
  <si>
    <t>Correlations</t>
  </si>
  <si>
    <t>Treasury Bond</t>
  </si>
  <si>
    <t>P</t>
  </si>
  <si>
    <t>T</t>
  </si>
  <si>
    <t>C</t>
  </si>
  <si>
    <t>PMT Timeline</t>
  </si>
  <si>
    <t>Position in 3-month bond</t>
  </si>
  <si>
    <t>Position in 6-month bond</t>
  </si>
  <si>
    <t>Position in 1-year bond</t>
  </si>
  <si>
    <t xml:space="preserve">Total </t>
  </si>
  <si>
    <t>% in 1 yr</t>
  </si>
  <si>
    <t>% in 6</t>
  </si>
  <si>
    <t>PV of 1050000</t>
  </si>
  <si>
    <t>alpha 1</t>
  </si>
  <si>
    <t>alpha 2</t>
  </si>
  <si>
    <t>alpha 3</t>
  </si>
  <si>
    <t>stdv</t>
  </si>
  <si>
    <t>vol</t>
  </si>
  <si>
    <t>10 day 99% VaR</t>
  </si>
  <si>
    <t>0.8 Zero Bond</t>
  </si>
  <si>
    <t>0.3 Zero Bond</t>
  </si>
  <si>
    <t>Delta</t>
  </si>
  <si>
    <t xml:space="preserve">Weights from Quadriatic Equation </t>
  </si>
  <si>
    <t>0.8 Bond</t>
  </si>
  <si>
    <t>0.3 Bond</t>
  </si>
  <si>
    <t>3m</t>
  </si>
  <si>
    <t>6m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</si>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</sst>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75" formatCode="0.000%"/>
    <numFmt numFmtId="182" formatCode="0.0"/>
    <numFmt numFmtId="18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3" fillId="0" borderId="0" xfId="0" applyFont="1"/>
    <xf numFmtId="8" fontId="0" fillId="0" borderId="0" xfId="0" applyNumberFormat="1"/>
    <xf numFmtId="44" fontId="0" fillId="0" borderId="0" xfId="2" applyFont="1"/>
    <xf numFmtId="2" fontId="0" fillId="0" borderId="0" xfId="0" applyNumberFormat="1"/>
    <xf numFmtId="43" fontId="0" fillId="0" borderId="0" xfId="1" applyFont="1"/>
    <xf numFmtId="173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75" fontId="0" fillId="0" borderId="0" xfId="0" applyNumberFormat="1"/>
    <xf numFmtId="10" fontId="0" fillId="2" borderId="0" xfId="0" applyNumberFormat="1" applyFill="1"/>
    <xf numFmtId="6" fontId="0" fillId="0" borderId="0" xfId="0" applyNumberFormat="1"/>
    <xf numFmtId="173" fontId="0" fillId="0" borderId="0" xfId="0" applyNumberFormat="1"/>
    <xf numFmtId="182" fontId="0" fillId="0" borderId="0" xfId="0" applyNumberFormat="1"/>
    <xf numFmtId="0" fontId="2" fillId="0" borderId="0" xfId="0" applyFont="1"/>
    <xf numFmtId="10" fontId="0" fillId="0" borderId="0" xfId="0" applyNumberFormat="1" applyFill="1"/>
    <xf numFmtId="175" fontId="0" fillId="2" borderId="0" xfId="0" applyNumberFormat="1" applyFill="1"/>
    <xf numFmtId="184" fontId="2" fillId="2" borderId="0" xfId="2" applyNumberFormat="1" applyFont="1" applyFill="1"/>
    <xf numFmtId="0" fontId="0" fillId="0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19</xdr:row>
      <xdr:rowOff>28574</xdr:rowOff>
    </xdr:from>
    <xdr:to>
      <xdr:col>24</xdr:col>
      <xdr:colOff>540567</xdr:colOff>
      <xdr:row>30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43E371-E5A0-ECF6-4F76-EF133EA48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3467099"/>
          <a:ext cx="8465367" cy="208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34925</xdr:colOff>
      <xdr:row>31</xdr:row>
      <xdr:rowOff>44450</xdr:rowOff>
    </xdr:from>
    <xdr:to>
      <xdr:col>25</xdr:col>
      <xdr:colOff>57150</xdr:colOff>
      <xdr:row>38</xdr:row>
      <xdr:rowOff>142875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9ED81A7-23ED-E1C1-44CD-0B03FEEAE088}"/>
                </a:ext>
              </a:extLst>
            </xdr:cNvPr>
            <xdr:cNvSpPr txBox="1"/>
          </xdr:nvSpPr>
          <xdr:spPr>
            <a:xfrm>
              <a:off x="8216900" y="5654675"/>
              <a:ext cx="8566150" cy="1365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Quadratic Equation</a:t>
              </a:r>
              <a:r>
                <a:rPr lang="en-US" sz="1100" b="1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to find Weights of Each Zero Coupon Bond Used for Interpolation of Rates: Via Hull</a:t>
              </a:r>
              <a:endParaRPr lang="en-US" sz="11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11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𝑖𝑛𝑡𝑒𝑟𝑝𝑜𝑙𝑎𝑡𝑒𝑑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 b="0">
                <a:ea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𝜎</m:t>
                        </m:r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𝜎</m:t>
                        </m:r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(1−</m:t>
                    </m:r>
                    <m:sSup>
                      <m:sSupPr>
                        <m:ctrlP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𝜌𝜎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𝜎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(1−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US" sz="16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9ED81A7-23ED-E1C1-44CD-0B03FEEAE088}"/>
                </a:ext>
              </a:extLst>
            </xdr:cNvPr>
            <xdr:cNvSpPr txBox="1"/>
          </xdr:nvSpPr>
          <xdr:spPr>
            <a:xfrm>
              <a:off x="8216900" y="5654675"/>
              <a:ext cx="8566150" cy="1365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Quadratic Equation</a:t>
              </a:r>
              <a:r>
                <a:rPr lang="en-US" sz="1100" b="1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to find Weights of Each Zero Coupon Bond Used for Interpolation of Rates: Via Hull</a:t>
              </a:r>
              <a:endParaRPr lang="en-US" sz="11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US" sz="11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𝑖=𝑖𝑛𝑡𝑒𝑟𝑝𝑜𝑙𝑎𝑡𝑒𝑑 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 b="0">
                <a:ea typeface="Cambria Math" panose="02040503050406030204" pitchFamily="18" charset="0"/>
              </a:endParaRPr>
            </a:p>
            <a:p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〖𝜎𝑖〗^2=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〖𝜎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〗^2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〖𝜎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(1−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𝜌𝜎1𝜎2𝑎(1−𝛼)</a:t>
              </a:r>
              <a:endParaRPr lang="en-US" sz="16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ECBA-4908-4ECC-A59B-6F8660226CC3}">
  <dimension ref="A2:K18"/>
  <sheetViews>
    <sheetView workbookViewId="0">
      <selection activeCell="J11" sqref="J11"/>
    </sheetView>
  </sheetViews>
  <sheetFormatPr defaultRowHeight="14.5" x14ac:dyDescent="0.35"/>
  <cols>
    <col min="1" max="1" width="10.1796875" bestFit="1" customWidth="1"/>
    <col min="2" max="2" width="11.08984375" customWidth="1"/>
    <col min="3" max="3" width="10.7265625" customWidth="1"/>
  </cols>
  <sheetData>
    <row r="2" spans="1:11" x14ac:dyDescent="0.35">
      <c r="B2" s="8" t="s">
        <v>0</v>
      </c>
      <c r="C2" s="8" t="s">
        <v>2</v>
      </c>
    </row>
    <row r="3" spans="1:11" x14ac:dyDescent="0.35">
      <c r="A3" s="9" t="s">
        <v>1</v>
      </c>
      <c r="B3" s="7">
        <v>100000</v>
      </c>
      <c r="C3" s="7">
        <v>100000</v>
      </c>
    </row>
    <row r="4" spans="1:11" x14ac:dyDescent="0.35">
      <c r="A4" s="9" t="s">
        <v>3</v>
      </c>
      <c r="B4" s="1">
        <v>0.01</v>
      </c>
      <c r="C4" s="1">
        <v>0.01</v>
      </c>
      <c r="G4" s="10"/>
      <c r="H4" s="10"/>
      <c r="I4" s="17"/>
      <c r="J4" s="10"/>
    </row>
    <row r="5" spans="1:11" x14ac:dyDescent="0.35">
      <c r="A5" s="9" t="s">
        <v>4</v>
      </c>
      <c r="B5" s="1">
        <v>0.3</v>
      </c>
      <c r="I5" s="20"/>
    </row>
    <row r="6" spans="1:11" x14ac:dyDescent="0.35">
      <c r="A6" s="9" t="s">
        <v>9</v>
      </c>
      <c r="B6">
        <v>5</v>
      </c>
      <c r="I6" s="20"/>
    </row>
    <row r="7" spans="1:11" x14ac:dyDescent="0.35">
      <c r="A7" s="9" t="s">
        <v>5</v>
      </c>
      <c r="B7">
        <v>0.99</v>
      </c>
      <c r="I7" s="20"/>
    </row>
    <row r="8" spans="1:11" x14ac:dyDescent="0.35">
      <c r="F8" s="10"/>
      <c r="G8" s="10"/>
      <c r="H8" s="10"/>
      <c r="I8" s="17"/>
      <c r="J8" s="10"/>
      <c r="K8" s="10"/>
    </row>
    <row r="9" spans="1:11" x14ac:dyDescent="0.35">
      <c r="A9" t="s">
        <v>6</v>
      </c>
      <c r="B9" s="5">
        <f>+_xlfn.NORM.S.INV(B7)</f>
        <v>2.3263478740408408</v>
      </c>
      <c r="I9" s="20"/>
    </row>
    <row r="12" spans="1:11" x14ac:dyDescent="0.35">
      <c r="A12" t="s">
        <v>7</v>
      </c>
      <c r="B12">
        <f>+B4*B3</f>
        <v>1000</v>
      </c>
      <c r="C12">
        <f t="shared" ref="C12" si="0">+C4*C3</f>
        <v>1000</v>
      </c>
    </row>
    <row r="14" spans="1:11" x14ac:dyDescent="0.35">
      <c r="A14" s="2" t="s">
        <v>11</v>
      </c>
      <c r="B14" s="4">
        <f>+SQRT((B12^2)+(C12^2)+2*B5*B12*C12)*SQRT(5)</f>
        <v>3605.5512754639894</v>
      </c>
    </row>
    <row r="16" spans="1:11" x14ac:dyDescent="0.35">
      <c r="A16" t="s">
        <v>8</v>
      </c>
      <c r="B16" s="4">
        <f>+B9*B14</f>
        <v>8387.7665444208942</v>
      </c>
    </row>
    <row r="18" spans="1:2" x14ac:dyDescent="0.35">
      <c r="A18" t="s">
        <v>10</v>
      </c>
      <c r="B18" s="4">
        <f>+B14*EXP(-B9*B9/2)/(SQRT(2*PI())*0.01)</f>
        <v>9609.5665315525912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1948-0F1F-459C-87A6-49FEC124D14F}">
  <dimension ref="A1:V40"/>
  <sheetViews>
    <sheetView tabSelected="1" topLeftCell="A10" workbookViewId="0">
      <selection activeCell="O42" sqref="O42"/>
    </sheetView>
  </sheetViews>
  <sheetFormatPr defaultRowHeight="14.5" x14ac:dyDescent="0.35"/>
  <cols>
    <col min="2" max="2" width="14.453125" customWidth="1"/>
    <col min="3" max="3" width="11.08984375" bestFit="1" customWidth="1"/>
    <col min="5" max="5" width="10.08984375" bestFit="1" customWidth="1"/>
    <col min="6" max="6" width="11.7265625" customWidth="1"/>
    <col min="15" max="15" width="12.08984375" bestFit="1" customWidth="1"/>
    <col min="18" max="18" width="11.453125" bestFit="1" customWidth="1"/>
    <col min="20" max="20" width="11.453125" bestFit="1" customWidth="1"/>
  </cols>
  <sheetData>
    <row r="1" spans="1:22" x14ac:dyDescent="0.35">
      <c r="A1" t="s">
        <v>21</v>
      </c>
      <c r="D1" t="s">
        <v>25</v>
      </c>
    </row>
    <row r="2" spans="1:22" x14ac:dyDescent="0.35">
      <c r="A2" t="s">
        <v>22</v>
      </c>
      <c r="B2" s="7">
        <v>1000000</v>
      </c>
      <c r="M2" t="s">
        <v>14</v>
      </c>
      <c r="O2" t="s">
        <v>17</v>
      </c>
      <c r="P2" t="s">
        <v>18</v>
      </c>
      <c r="Q2" t="s">
        <v>19</v>
      </c>
    </row>
    <row r="3" spans="1:22" x14ac:dyDescent="0.35">
      <c r="A3" t="s">
        <v>23</v>
      </c>
      <c r="B3">
        <v>0.8</v>
      </c>
      <c r="D3">
        <v>0</v>
      </c>
      <c r="E3">
        <v>0.3</v>
      </c>
      <c r="F3">
        <v>0.8</v>
      </c>
      <c r="M3" t="s">
        <v>15</v>
      </c>
      <c r="O3" s="10">
        <v>5.5E-2</v>
      </c>
      <c r="P3" s="1">
        <v>0.06</v>
      </c>
      <c r="Q3" s="1">
        <v>7.0000000000000007E-2</v>
      </c>
    </row>
    <row r="4" spans="1:22" x14ac:dyDescent="0.35">
      <c r="A4" t="s">
        <v>24</v>
      </c>
      <c r="B4" s="1">
        <v>0.1</v>
      </c>
      <c r="E4" s="7">
        <v>50000</v>
      </c>
      <c r="F4" s="7">
        <v>1050000</v>
      </c>
      <c r="M4" t="s">
        <v>16</v>
      </c>
      <c r="O4" s="11">
        <v>5.9999999999999995E-4</v>
      </c>
      <c r="P4" s="11">
        <v>1E-3</v>
      </c>
      <c r="Q4" s="11">
        <v>2E-3</v>
      </c>
    </row>
    <row r="5" spans="1:22" x14ac:dyDescent="0.35">
      <c r="A5" t="s">
        <v>30</v>
      </c>
    </row>
    <row r="6" spans="1:22" x14ac:dyDescent="0.35">
      <c r="A6" t="s">
        <v>31</v>
      </c>
      <c r="B6" s="10">
        <v>0.32033699999999998</v>
      </c>
      <c r="M6" t="s">
        <v>20</v>
      </c>
      <c r="O6" t="s">
        <v>17</v>
      </c>
      <c r="P6" t="s">
        <v>18</v>
      </c>
      <c r="Q6" t="s">
        <v>19</v>
      </c>
    </row>
    <row r="7" spans="1:22" x14ac:dyDescent="0.35">
      <c r="M7" t="s">
        <v>17</v>
      </c>
      <c r="O7">
        <v>1</v>
      </c>
      <c r="P7">
        <v>0.9</v>
      </c>
      <c r="Q7">
        <v>0.6</v>
      </c>
    </row>
    <row r="8" spans="1:22" x14ac:dyDescent="0.35">
      <c r="M8" t="s">
        <v>18</v>
      </c>
      <c r="O8">
        <v>0.9</v>
      </c>
      <c r="P8">
        <v>1</v>
      </c>
      <c r="Q8">
        <v>0.7</v>
      </c>
    </row>
    <row r="9" spans="1:22" x14ac:dyDescent="0.35">
      <c r="B9" s="16" t="s">
        <v>39</v>
      </c>
      <c r="M9" t="s">
        <v>19</v>
      </c>
      <c r="O9">
        <v>0.6</v>
      </c>
      <c r="P9">
        <v>0.7</v>
      </c>
      <c r="Q9">
        <v>1</v>
      </c>
    </row>
    <row r="10" spans="1:22" x14ac:dyDescent="0.35">
      <c r="B10" t="s">
        <v>9</v>
      </c>
      <c r="C10">
        <v>0.05</v>
      </c>
      <c r="D10">
        <f>+C10+0.01</f>
        <v>6.0000000000000005E-2</v>
      </c>
      <c r="E10">
        <f t="shared" ref="E10:H10" si="0">+D10+0.01</f>
        <v>7.0000000000000007E-2</v>
      </c>
      <c r="F10">
        <f t="shared" si="0"/>
        <v>0.08</v>
      </c>
      <c r="G10">
        <f t="shared" si="0"/>
        <v>0.09</v>
      </c>
      <c r="H10">
        <f t="shared" si="0"/>
        <v>9.9999999999999992E-2</v>
      </c>
      <c r="J10" t="s">
        <v>12</v>
      </c>
    </row>
    <row r="11" spans="1:22" x14ac:dyDescent="0.35">
      <c r="B11" t="s">
        <v>13</v>
      </c>
      <c r="C11" s="10">
        <v>0.06</v>
      </c>
      <c r="D11" s="10">
        <f>+C11+$J$11</f>
        <v>6.2E-2</v>
      </c>
      <c r="E11" s="10">
        <f>+D11+$J$11</f>
        <v>6.4000000000000001E-2</v>
      </c>
      <c r="F11" s="12">
        <f>+E11+$J$11</f>
        <v>6.6000000000000003E-2</v>
      </c>
      <c r="G11" s="10">
        <f>+F11+$J$11</f>
        <v>6.8000000000000005E-2</v>
      </c>
      <c r="H11" s="10">
        <v>7.0000000000000007E-2</v>
      </c>
      <c r="J11">
        <f>+(H11-C11)/5</f>
        <v>2.0000000000000018E-3</v>
      </c>
      <c r="M11" t="s">
        <v>32</v>
      </c>
      <c r="O11" s="13">
        <f>+PV(0.066,0.8,,-1050000)</f>
        <v>997662.24040067487</v>
      </c>
    </row>
    <row r="13" spans="1:22" x14ac:dyDescent="0.35">
      <c r="B13" t="s">
        <v>9</v>
      </c>
      <c r="C13">
        <v>0.05</v>
      </c>
      <c r="D13">
        <f>+C13+0.01</f>
        <v>6.0000000000000005E-2</v>
      </c>
      <c r="E13">
        <f t="shared" ref="E13:H13" si="1">+D13+0.01</f>
        <v>7.0000000000000007E-2</v>
      </c>
      <c r="F13">
        <f t="shared" si="1"/>
        <v>0.08</v>
      </c>
      <c r="G13">
        <f t="shared" si="1"/>
        <v>0.09</v>
      </c>
      <c r="H13">
        <f t="shared" si="1"/>
        <v>9.9999999999999992E-2</v>
      </c>
    </row>
    <row r="14" spans="1:22" x14ac:dyDescent="0.35">
      <c r="B14" t="s">
        <v>3</v>
      </c>
      <c r="C14" s="10">
        <v>1E-3</v>
      </c>
      <c r="D14" s="10">
        <f>+C14+$J$14</f>
        <v>1.2000000000000001E-3</v>
      </c>
      <c r="E14" s="10">
        <f>+D14+$J$14</f>
        <v>1.4000000000000002E-3</v>
      </c>
      <c r="F14" s="12">
        <f>+E14+$J$14</f>
        <v>1.6000000000000003E-3</v>
      </c>
      <c r="G14" s="10">
        <f>+F14+$J$14</f>
        <v>1.8000000000000004E-3</v>
      </c>
      <c r="H14" s="10">
        <v>2E-3</v>
      </c>
      <c r="J14">
        <f>+(H14-C14)/5</f>
        <v>2.0000000000000001E-4</v>
      </c>
    </row>
    <row r="15" spans="1:22" x14ac:dyDescent="0.35">
      <c r="F15" s="3"/>
      <c r="P15" s="13">
        <v>50000</v>
      </c>
      <c r="R15" s="13">
        <v>1050000</v>
      </c>
      <c r="T15" t="s">
        <v>29</v>
      </c>
    </row>
    <row r="16" spans="1:22" x14ac:dyDescent="0.35">
      <c r="B16" s="16" t="s">
        <v>40</v>
      </c>
      <c r="M16" t="s">
        <v>26</v>
      </c>
      <c r="P16">
        <v>37397</v>
      </c>
      <c r="T16" s="13">
        <f>+SUM(P16:S16)</f>
        <v>37397</v>
      </c>
      <c r="V16" s="1">
        <f>+T16/$T$19</f>
        <v>3.5723284105201487E-2</v>
      </c>
    </row>
    <row r="17" spans="2:22" x14ac:dyDescent="0.35">
      <c r="M17" t="s">
        <v>27</v>
      </c>
      <c r="P17">
        <v>11793</v>
      </c>
      <c r="R17" s="13">
        <f>+O11*B6</f>
        <v>319588.12910323095</v>
      </c>
      <c r="T17" s="13">
        <f t="shared" ref="T17:T18" si="2">+SUM(P17:S17)</f>
        <v>331381.12910323095</v>
      </c>
      <c r="V17" s="1">
        <f>+T17/$T$19</f>
        <v>0.31655005005902004</v>
      </c>
    </row>
    <row r="18" spans="2:22" x14ac:dyDescent="0.35">
      <c r="B18" t="s">
        <v>9</v>
      </c>
      <c r="C18">
        <f>3/12</f>
        <v>0.25</v>
      </c>
      <c r="D18" s="6">
        <f>+C18+0.05</f>
        <v>0.3</v>
      </c>
      <c r="E18" s="6">
        <f t="shared" ref="E18:H18" si="3">+D18+0.05</f>
        <v>0.35</v>
      </c>
      <c r="F18" s="6">
        <f t="shared" si="3"/>
        <v>0.39999999999999997</v>
      </c>
      <c r="G18" s="6">
        <f t="shared" si="3"/>
        <v>0.44999999999999996</v>
      </c>
      <c r="H18" s="6">
        <f t="shared" si="3"/>
        <v>0.49999999999999994</v>
      </c>
      <c r="J18" t="s">
        <v>41</v>
      </c>
      <c r="M18" t="s">
        <v>28</v>
      </c>
      <c r="R18" s="13">
        <f>+O11-R17</f>
        <v>678074.11129744397</v>
      </c>
      <c r="T18" s="13">
        <f t="shared" si="2"/>
        <v>678074.11129744397</v>
      </c>
      <c r="V18" s="1">
        <f>+T18/$T$19</f>
        <v>0.64772666583577843</v>
      </c>
    </row>
    <row r="19" spans="2:22" x14ac:dyDescent="0.35">
      <c r="B19" t="s">
        <v>13</v>
      </c>
      <c r="C19" s="10">
        <f>+O3</f>
        <v>5.5E-2</v>
      </c>
      <c r="D19" s="12">
        <f>+C19+$J$19</f>
        <v>5.6000000000000001E-2</v>
      </c>
      <c r="E19" s="17">
        <f t="shared" ref="E19:G19" si="4">+D19+$J$19</f>
        <v>5.7000000000000002E-2</v>
      </c>
      <c r="F19" s="17">
        <f t="shared" si="4"/>
        <v>5.8000000000000003E-2</v>
      </c>
      <c r="G19" s="17">
        <f t="shared" si="4"/>
        <v>5.9000000000000004E-2</v>
      </c>
      <c r="H19" s="1">
        <f>+P3</f>
        <v>0.06</v>
      </c>
      <c r="J19">
        <f>+(H19-C19)/5</f>
        <v>9.9999999999999959E-4</v>
      </c>
      <c r="T19" s="13">
        <f>SUM(T16:T18)</f>
        <v>1046852.240400675</v>
      </c>
    </row>
    <row r="21" spans="2:22" x14ac:dyDescent="0.35">
      <c r="B21" t="s">
        <v>9</v>
      </c>
      <c r="C21">
        <v>0.25</v>
      </c>
      <c r="D21">
        <v>0.3</v>
      </c>
      <c r="E21">
        <v>0.35</v>
      </c>
      <c r="F21">
        <v>0.39999999999999997</v>
      </c>
      <c r="G21">
        <v>0.44999999999999996</v>
      </c>
      <c r="H21">
        <v>0.49999999999999994</v>
      </c>
    </row>
    <row r="22" spans="2:22" x14ac:dyDescent="0.35">
      <c r="B22" t="s">
        <v>3</v>
      </c>
      <c r="C22" s="11">
        <f>+O4</f>
        <v>5.9999999999999995E-4</v>
      </c>
      <c r="D22" s="18">
        <f>+C22+$J$22</f>
        <v>6.7999999999999994E-4</v>
      </c>
      <c r="E22" s="11">
        <f t="shared" ref="E22:G22" si="5">+D22+$J$22</f>
        <v>7.5999999999999993E-4</v>
      </c>
      <c r="F22" s="11">
        <f t="shared" si="5"/>
        <v>8.3999999999999993E-4</v>
      </c>
      <c r="G22" s="11">
        <f t="shared" si="5"/>
        <v>9.1999999999999992E-4</v>
      </c>
      <c r="H22" s="11">
        <f>+P4</f>
        <v>1E-3</v>
      </c>
      <c r="J22">
        <f>+(H22-C22)/5</f>
        <v>8.000000000000002E-5</v>
      </c>
    </row>
    <row r="25" spans="2:22" x14ac:dyDescent="0.35">
      <c r="B25" t="s">
        <v>42</v>
      </c>
      <c r="E25" t="s">
        <v>45</v>
      </c>
      <c r="F25" t="s">
        <v>46</v>
      </c>
      <c r="G25" t="s">
        <v>47</v>
      </c>
    </row>
    <row r="26" spans="2:22" x14ac:dyDescent="0.35">
      <c r="B26" t="s">
        <v>43</v>
      </c>
      <c r="E26" s="10">
        <v>0.76025900000000002</v>
      </c>
      <c r="F26" s="10">
        <v>0.32033699999999998</v>
      </c>
      <c r="G26" s="10">
        <v>0.67966300000000002</v>
      </c>
    </row>
    <row r="27" spans="2:22" x14ac:dyDescent="0.35">
      <c r="B27" t="s">
        <v>44</v>
      </c>
      <c r="F27" s="10">
        <v>0.23974100000000001</v>
      </c>
    </row>
    <row r="30" spans="2:22" x14ac:dyDescent="0.35">
      <c r="D30" s="10" t="s">
        <v>37</v>
      </c>
      <c r="E30" t="s">
        <v>36</v>
      </c>
    </row>
    <row r="31" spans="2:22" x14ac:dyDescent="0.35">
      <c r="B31" t="s">
        <v>33</v>
      </c>
      <c r="C31" s="7">
        <v>37397</v>
      </c>
      <c r="D31">
        <v>5.9999999999999995E-4</v>
      </c>
      <c r="E31" s="14">
        <f>+T16*D31</f>
        <v>22.438199999999998</v>
      </c>
    </row>
    <row r="32" spans="2:22" x14ac:dyDescent="0.35">
      <c r="B32" t="s">
        <v>34</v>
      </c>
      <c r="C32" s="7">
        <v>331382</v>
      </c>
      <c r="D32">
        <v>1E-3</v>
      </c>
      <c r="E32" s="14">
        <f>+T17*D32</f>
        <v>331.38112910323093</v>
      </c>
    </row>
    <row r="33" spans="1:5" x14ac:dyDescent="0.35">
      <c r="B33" t="s">
        <v>35</v>
      </c>
      <c r="C33" s="7">
        <v>678074</v>
      </c>
      <c r="D33">
        <v>2E-3</v>
      </c>
      <c r="E33" s="14">
        <f>+T18*D33</f>
        <v>1356.148222594888</v>
      </c>
    </row>
    <row r="35" spans="1:5" x14ac:dyDescent="0.35">
      <c r="B35" s="14">
        <f>((E31^2)+(E32^2)+(E33^2)+(2*P7*E31*E32)+(2*Q7*E31*E33)+(2*Q8*E32*E33))</f>
        <v>2628517.1310707675</v>
      </c>
    </row>
    <row r="36" spans="1:5" x14ac:dyDescent="0.35">
      <c r="B36" s="15">
        <f>+SQRT(B35)</f>
        <v>1621.2702214839967</v>
      </c>
    </row>
    <row r="38" spans="1:5" x14ac:dyDescent="0.35">
      <c r="B38" s="16" t="s">
        <v>38</v>
      </c>
    </row>
    <row r="40" spans="1:5" x14ac:dyDescent="0.35">
      <c r="A40" s="16" t="s">
        <v>8</v>
      </c>
      <c r="B40" s="19">
        <f>+B36*SQRT(10)*2.33</f>
        <v>11945.692383813544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2EA729E40B64C9E3BDE9867A86F8E" ma:contentTypeVersion="8" ma:contentTypeDescription="Create a new document." ma:contentTypeScope="" ma:versionID="1ce72829a67417a6037511a09d451c62">
  <xsd:schema xmlns:xsd="http://www.w3.org/2001/XMLSchema" xmlns:xs="http://www.w3.org/2001/XMLSchema" xmlns:p="http://schemas.microsoft.com/office/2006/metadata/properties" xmlns:ns3="8c43cc51-5868-4a98-ab1b-1dfe0ccc5bca" xmlns:ns4="f3f9a561-298b-4309-aa23-401c63cea76b" targetNamespace="http://schemas.microsoft.com/office/2006/metadata/properties" ma:root="true" ma:fieldsID="fd5fe56108e95763f7a61f577992653a" ns3:_="" ns4:_="">
    <xsd:import namespace="8c43cc51-5868-4a98-ab1b-1dfe0ccc5bca"/>
    <xsd:import namespace="f3f9a561-298b-4309-aa23-401c63cea7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cc51-5868-4a98-ab1b-1dfe0ccc5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a561-298b-4309-aa23-401c63cea7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43cc51-5868-4a98-ab1b-1dfe0ccc5bca" xsi:nil="true"/>
  </documentManagement>
</p:properties>
</file>

<file path=customXml/itemProps1.xml><?xml version="1.0" encoding="utf-8"?>
<ds:datastoreItem xmlns:ds="http://schemas.openxmlformats.org/officeDocument/2006/customXml" ds:itemID="{5BE275F1-E6D2-40DE-890F-3066D0D2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cc51-5868-4a98-ab1b-1dfe0ccc5bca"/>
    <ds:schemaRef ds:uri="f3f9a561-298b-4309-aa23-401c63cea7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9B096A-A0A9-4D2C-BCC4-B917556CD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805554-0631-40B3-8D97-21E3BA8FEE8F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f3f9a561-298b-4309-aa23-401c63cea76b"/>
    <ds:schemaRef ds:uri="8c43cc51-5868-4a98-ab1b-1dfe0ccc5b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Cash flow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Umbright, Connor</dc:creator>
  <cp:lastModifiedBy>Umbright, Connor</cp:lastModifiedBy>
  <dcterms:created xsi:type="dcterms:W3CDTF">2023-04-22T14:43:58Z</dcterms:created>
  <dcterms:modified xsi:type="dcterms:W3CDTF">2023-04-24T19:25:18Z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0x01010098F2EA729E40B64C9E3BDE9867A86F8E</vt:lpwstr>
  </property>
</Properties>
</file>