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cumbright\Downloads\"/>
    </mc:Choice>
  </mc:AlternateContent>
  <xr:revisionPtr revIDLastSave="0" documentId="8_{8D6FFAFE-1032-4437-896C-5ECDF19A5F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ver Page" sheetId="1" r:id="rId1"/>
    <sheet name="Free Cash Flow" sheetId="2" r:id="rId2"/>
    <sheet name="Fixed Assets" sheetId="3" r:id="rId3"/>
    <sheet name="Net Working Capital" sheetId="4" r:id="rId4"/>
    <sheet name="DCF" sheetId="5" r:id="rId5"/>
    <sheet name="WACC" sheetId="6" r:id="rId6"/>
    <sheet name="Data Source --&gt;" sheetId="7" r:id="rId7"/>
    <sheet name="Income Statement" sheetId="8" r:id="rId8"/>
    <sheet name="Balance Sheet" sheetId="9" r:id="rId9"/>
    <sheet name="Cash Flow Statement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4" roundtripDataSignature="AMtx7mgO+XDV4Zo2EE1nvNhM8Bphb5J3BQ=="/>
    </ext>
  </extLst>
</workbook>
</file>

<file path=xl/calcChain.xml><?xml version="1.0" encoding="utf-8"?>
<calcChain xmlns="http://schemas.openxmlformats.org/spreadsheetml/2006/main">
  <c r="C12" i="5" l="1"/>
  <c r="C13" i="5" s="1"/>
  <c r="G23" i="4"/>
  <c r="F23" i="4"/>
  <c r="E23" i="4"/>
  <c r="D23" i="4"/>
  <c r="C23" i="4"/>
  <c r="G22" i="4"/>
  <c r="G21" i="4"/>
  <c r="F22" i="4"/>
  <c r="E22" i="4"/>
  <c r="D22" i="4"/>
  <c r="C22" i="4"/>
  <c r="F21" i="4"/>
  <c r="E21" i="4"/>
  <c r="D21" i="4"/>
  <c r="G4" i="4" s="1"/>
  <c r="C21" i="4"/>
  <c r="E26" i="8"/>
  <c r="D26" i="8"/>
  <c r="C26" i="8"/>
  <c r="C27" i="8" s="1"/>
  <c r="C18" i="5"/>
  <c r="C17" i="5"/>
  <c r="C16" i="5"/>
  <c r="C9" i="6"/>
  <c r="C18" i="6" s="1"/>
  <c r="C8" i="6"/>
  <c r="C15" i="6"/>
  <c r="C16" i="6"/>
  <c r="F4" i="5"/>
  <c r="E4" i="5"/>
  <c r="D4" i="5"/>
  <c r="J16" i="2"/>
  <c r="I16" i="2"/>
  <c r="H16" i="2"/>
  <c r="G16" i="2"/>
  <c r="F16" i="2"/>
  <c r="F15" i="4"/>
  <c r="E15" i="4"/>
  <c r="D15" i="4"/>
  <c r="C15" i="4"/>
  <c r="K6" i="4"/>
  <c r="J6" i="4"/>
  <c r="I6" i="4"/>
  <c r="H6" i="4"/>
  <c r="K13" i="4"/>
  <c r="J13" i="4"/>
  <c r="I13" i="4"/>
  <c r="H13" i="4"/>
  <c r="K12" i="4"/>
  <c r="J12" i="4"/>
  <c r="I12" i="4"/>
  <c r="H12" i="4"/>
  <c r="K11" i="4"/>
  <c r="J11" i="4"/>
  <c r="I11" i="4"/>
  <c r="H11" i="4"/>
  <c r="K10" i="4"/>
  <c r="J10" i="4"/>
  <c r="I10" i="4"/>
  <c r="H10" i="4"/>
  <c r="G13" i="4"/>
  <c r="G12" i="4"/>
  <c r="G11" i="4"/>
  <c r="G10" i="4"/>
  <c r="G6" i="4"/>
  <c r="H23" i="4"/>
  <c r="I29" i="4"/>
  <c r="J29" i="4" s="1"/>
  <c r="K29" i="4" s="1"/>
  <c r="I28" i="4"/>
  <c r="J28" i="4" s="1"/>
  <c r="K28" i="4" s="1"/>
  <c r="I27" i="4"/>
  <c r="J27" i="4" s="1"/>
  <c r="K27" i="4" s="1"/>
  <c r="I26" i="4"/>
  <c r="J26" i="4" s="1"/>
  <c r="K26" i="4" s="1"/>
  <c r="I25" i="4"/>
  <c r="J25" i="4" s="1"/>
  <c r="K25" i="4" s="1"/>
  <c r="H29" i="4"/>
  <c r="H28" i="4"/>
  <c r="H27" i="4"/>
  <c r="H26" i="4"/>
  <c r="H25" i="4"/>
  <c r="G29" i="4"/>
  <c r="G28" i="4"/>
  <c r="G27" i="4"/>
  <c r="G26" i="4"/>
  <c r="G25" i="4"/>
  <c r="F29" i="4"/>
  <c r="E29" i="4"/>
  <c r="D29" i="4"/>
  <c r="F28" i="4"/>
  <c r="E28" i="4"/>
  <c r="D28" i="4"/>
  <c r="F27" i="4"/>
  <c r="E27" i="4"/>
  <c r="D27" i="4"/>
  <c r="F26" i="4"/>
  <c r="E26" i="4"/>
  <c r="D26" i="4"/>
  <c r="F25" i="4"/>
  <c r="E25" i="4"/>
  <c r="D25" i="4"/>
  <c r="C29" i="4"/>
  <c r="C28" i="4"/>
  <c r="C27" i="4"/>
  <c r="C26" i="4"/>
  <c r="C25" i="4"/>
  <c r="J15" i="2"/>
  <c r="I15" i="2"/>
  <c r="H15" i="2"/>
  <c r="G15" i="2"/>
  <c r="F15" i="2"/>
  <c r="J11" i="2"/>
  <c r="I11" i="2"/>
  <c r="H11" i="2"/>
  <c r="G11" i="2"/>
  <c r="F11" i="2"/>
  <c r="F6" i="3"/>
  <c r="F5" i="3"/>
  <c r="F7" i="3" s="1"/>
  <c r="G4" i="3" s="1"/>
  <c r="F4" i="3"/>
  <c r="J14" i="2"/>
  <c r="I14" i="2"/>
  <c r="F14" i="2"/>
  <c r="J13" i="2"/>
  <c r="I13" i="2"/>
  <c r="H13" i="2"/>
  <c r="F13" i="2"/>
  <c r="J12" i="2"/>
  <c r="I12" i="2"/>
  <c r="H12" i="2"/>
  <c r="H14" i="2" s="1"/>
  <c r="G12" i="2"/>
  <c r="G13" i="2" s="1"/>
  <c r="F12" i="2"/>
  <c r="J10" i="2"/>
  <c r="I10" i="2"/>
  <c r="H10" i="2"/>
  <c r="G10" i="2"/>
  <c r="F10" i="2"/>
  <c r="J9" i="2"/>
  <c r="I9" i="2"/>
  <c r="H9" i="2"/>
  <c r="G9" i="2"/>
  <c r="F9" i="2"/>
  <c r="J8" i="2"/>
  <c r="I8" i="2"/>
  <c r="H8" i="2"/>
  <c r="G8" i="2"/>
  <c r="F8" i="2"/>
  <c r="J6" i="2"/>
  <c r="I6" i="2"/>
  <c r="H6" i="2"/>
  <c r="G6" i="2"/>
  <c r="F6" i="2"/>
  <c r="J5" i="2"/>
  <c r="K19" i="4" s="1"/>
  <c r="I5" i="2"/>
  <c r="J19" i="4" s="1"/>
  <c r="H5" i="2"/>
  <c r="I19" i="4" s="1"/>
  <c r="G5" i="2"/>
  <c r="H19" i="4" s="1"/>
  <c r="F5" i="2"/>
  <c r="H4" i="2"/>
  <c r="I18" i="4" s="1"/>
  <c r="G4" i="2"/>
  <c r="H18" i="4" s="1"/>
  <c r="F4" i="2"/>
  <c r="C13" i="6"/>
  <c r="C4" i="6"/>
  <c r="G19" i="4"/>
  <c r="D19" i="4"/>
  <c r="G18" i="4"/>
  <c r="F13" i="4"/>
  <c r="E13" i="4"/>
  <c r="D13" i="4"/>
  <c r="C13" i="4"/>
  <c r="F12" i="4"/>
  <c r="E12" i="4"/>
  <c r="D12" i="4"/>
  <c r="C12" i="4"/>
  <c r="F11" i="4"/>
  <c r="E11" i="4"/>
  <c r="D11" i="4"/>
  <c r="C11" i="4"/>
  <c r="F10" i="4"/>
  <c r="E10" i="4"/>
  <c r="D10" i="4"/>
  <c r="C10" i="4"/>
  <c r="F9" i="4"/>
  <c r="F14" i="4" s="1"/>
  <c r="E20" i="2" s="1"/>
  <c r="E9" i="4"/>
  <c r="E14" i="4" s="1"/>
  <c r="D20" i="2" s="1"/>
  <c r="D9" i="4"/>
  <c r="D14" i="4" s="1"/>
  <c r="C20" i="2" s="1"/>
  <c r="C9" i="4"/>
  <c r="C14" i="4" s="1"/>
  <c r="F6" i="4"/>
  <c r="E6" i="4"/>
  <c r="D6" i="4"/>
  <c r="C6" i="4"/>
  <c r="F5" i="4"/>
  <c r="E5" i="4"/>
  <c r="D5" i="4"/>
  <c r="C5" i="4"/>
  <c r="F4" i="4"/>
  <c r="F7" i="4" s="1"/>
  <c r="E19" i="2" s="1"/>
  <c r="E4" i="4"/>
  <c r="E7" i="4" s="1"/>
  <c r="D19" i="2" s="1"/>
  <c r="D18" i="2" s="1"/>
  <c r="D4" i="4"/>
  <c r="D7" i="4" s="1"/>
  <c r="C19" i="2" s="1"/>
  <c r="C18" i="2" s="1"/>
  <c r="C17" i="2" s="1"/>
  <c r="C4" i="4"/>
  <c r="C7" i="4" s="1"/>
  <c r="G12" i="3"/>
  <c r="H12" i="3" s="1"/>
  <c r="I12" i="3" s="1"/>
  <c r="J12" i="3" s="1"/>
  <c r="E7" i="3"/>
  <c r="E6" i="3" s="1"/>
  <c r="D7" i="3"/>
  <c r="C7" i="3"/>
  <c r="C6" i="3" s="1"/>
  <c r="D6" i="3"/>
  <c r="D12" i="3" s="1"/>
  <c r="D5" i="3"/>
  <c r="D11" i="3" s="1"/>
  <c r="C5" i="3"/>
  <c r="C11" i="3" s="1"/>
  <c r="F11" i="3" s="1"/>
  <c r="G11" i="3" s="1"/>
  <c r="H11" i="3" s="1"/>
  <c r="I11" i="3" s="1"/>
  <c r="J11" i="3" s="1"/>
  <c r="E4" i="3"/>
  <c r="D4" i="3"/>
  <c r="C4" i="3"/>
  <c r="E28" i="2"/>
  <c r="E27" i="2"/>
  <c r="J24" i="2"/>
  <c r="I24" i="2"/>
  <c r="H24" i="2"/>
  <c r="G24" i="2"/>
  <c r="F24" i="2"/>
  <c r="E24" i="2"/>
  <c r="D24" i="2"/>
  <c r="C24" i="2"/>
  <c r="B24" i="2"/>
  <c r="E13" i="2"/>
  <c r="D13" i="2"/>
  <c r="C13" i="2"/>
  <c r="E11" i="2"/>
  <c r="E5" i="3" s="1"/>
  <c r="E11" i="3" s="1"/>
  <c r="D11" i="2"/>
  <c r="D15" i="2" s="1"/>
  <c r="C11" i="2"/>
  <c r="C15" i="2" s="1"/>
  <c r="E9" i="2"/>
  <c r="D9" i="2"/>
  <c r="C9" i="2"/>
  <c r="E8" i="2"/>
  <c r="D8" i="2"/>
  <c r="D28" i="2" s="1"/>
  <c r="C8" i="2"/>
  <c r="C28" i="2" s="1"/>
  <c r="F28" i="2" s="1"/>
  <c r="G28" i="2" s="1"/>
  <c r="H28" i="2" s="1"/>
  <c r="I28" i="2" s="1"/>
  <c r="J28" i="2" s="1"/>
  <c r="E6" i="2"/>
  <c r="E10" i="2" s="1"/>
  <c r="E12" i="2" s="1"/>
  <c r="E5" i="2"/>
  <c r="F19" i="4" s="1"/>
  <c r="D5" i="2"/>
  <c r="E19" i="4" s="1"/>
  <c r="C5" i="2"/>
  <c r="E4" i="2"/>
  <c r="F18" i="4" s="1"/>
  <c r="D4" i="2"/>
  <c r="D6" i="2" s="1"/>
  <c r="D10" i="2" s="1"/>
  <c r="D12" i="2" s="1"/>
  <c r="D14" i="2" s="1"/>
  <c r="C4" i="2"/>
  <c r="C27" i="2" s="1"/>
  <c r="H9" i="4" l="1"/>
  <c r="H14" i="4" s="1"/>
  <c r="G20" i="2" s="1"/>
  <c r="I23" i="4"/>
  <c r="G9" i="4"/>
  <c r="G14" i="4" s="1"/>
  <c r="F20" i="2" s="1"/>
  <c r="G5" i="4"/>
  <c r="H22" i="4"/>
  <c r="G7" i="4"/>
  <c r="G15" i="4" s="1"/>
  <c r="H21" i="4"/>
  <c r="E18" i="2"/>
  <c r="G14" i="2"/>
  <c r="G5" i="3"/>
  <c r="G6" i="3"/>
  <c r="G7" i="3"/>
  <c r="H4" i="3" s="1"/>
  <c r="I4" i="2"/>
  <c r="D29" i="2"/>
  <c r="D17" i="2"/>
  <c r="E17" i="2"/>
  <c r="E14" i="2"/>
  <c r="E29" i="2"/>
  <c r="E12" i="3"/>
  <c r="E16" i="2"/>
  <c r="C12" i="3"/>
  <c r="C16" i="2"/>
  <c r="E15" i="2"/>
  <c r="D25" i="2"/>
  <c r="D18" i="4"/>
  <c r="E25" i="2"/>
  <c r="E18" i="4"/>
  <c r="C6" i="2"/>
  <c r="C10" i="2" s="1"/>
  <c r="C12" i="2" s="1"/>
  <c r="C14" i="2" s="1"/>
  <c r="D16" i="2"/>
  <c r="D21" i="2" s="1"/>
  <c r="D27" i="2"/>
  <c r="F27" i="2" s="1"/>
  <c r="G27" i="2" s="1"/>
  <c r="H27" i="2" s="1"/>
  <c r="I27" i="2" s="1"/>
  <c r="J27" i="2" s="1"/>
  <c r="J23" i="4" l="1"/>
  <c r="I9" i="4"/>
  <c r="I14" i="4" s="1"/>
  <c r="H20" i="2" s="1"/>
  <c r="I22" i="4"/>
  <c r="H5" i="4"/>
  <c r="F19" i="2"/>
  <c r="I21" i="4"/>
  <c r="H4" i="4"/>
  <c r="F17" i="2"/>
  <c r="F21" i="2" s="1"/>
  <c r="G4" i="5" s="1"/>
  <c r="G7" i="5" s="1"/>
  <c r="F18" i="2"/>
  <c r="H5" i="3"/>
  <c r="H6" i="3"/>
  <c r="H7" i="3"/>
  <c r="I4" i="3" s="1"/>
  <c r="J4" i="2"/>
  <c r="K18" i="4" s="1"/>
  <c r="J18" i="4"/>
  <c r="C21" i="2"/>
  <c r="C29" i="2"/>
  <c r="E21" i="2"/>
  <c r="K23" i="4" l="1"/>
  <c r="K9" i="4" s="1"/>
  <c r="K14" i="4" s="1"/>
  <c r="J20" i="2" s="1"/>
  <c r="J9" i="4"/>
  <c r="J14" i="4" s="1"/>
  <c r="I20" i="2" s="1"/>
  <c r="H7" i="4"/>
  <c r="G19" i="2" s="1"/>
  <c r="J22" i="4"/>
  <c r="I5" i="4"/>
  <c r="H15" i="4"/>
  <c r="J21" i="4"/>
  <c r="I4" i="4"/>
  <c r="I6" i="3"/>
  <c r="I5" i="3"/>
  <c r="I7" i="3" s="1"/>
  <c r="J4" i="3" s="1"/>
  <c r="I7" i="4" l="1"/>
  <c r="H19" i="2" s="1"/>
  <c r="K22" i="4"/>
  <c r="K5" i="4" s="1"/>
  <c r="J5" i="4"/>
  <c r="K21" i="4"/>
  <c r="K4" i="4" s="1"/>
  <c r="K7" i="4" s="1"/>
  <c r="J4" i="4"/>
  <c r="G17" i="2"/>
  <c r="G21" i="2" s="1"/>
  <c r="H4" i="5" s="1"/>
  <c r="H7" i="5" s="1"/>
  <c r="G18" i="2"/>
  <c r="J6" i="3"/>
  <c r="J5" i="3"/>
  <c r="J7" i="3" s="1"/>
  <c r="I15" i="4" l="1"/>
  <c r="H17" i="2" s="1"/>
  <c r="H21" i="2" s="1"/>
  <c r="I4" i="5" s="1"/>
  <c r="I7" i="5" s="1"/>
  <c r="J7" i="4"/>
  <c r="I19" i="2" s="1"/>
  <c r="H18" i="2"/>
  <c r="K15" i="4"/>
  <c r="J19" i="2"/>
  <c r="J15" i="4" l="1"/>
  <c r="J17" i="2" s="1"/>
  <c r="J21" i="2" s="1"/>
  <c r="K4" i="5" s="1"/>
  <c r="K7" i="5" s="1"/>
  <c r="C14" i="5" s="1"/>
  <c r="J18" i="2"/>
  <c r="I18" i="2" l="1"/>
  <c r="I17" i="2"/>
  <c r="I21" i="2" s="1"/>
  <c r="J4" i="5" s="1"/>
  <c r="J7" i="5" s="1"/>
  <c r="C10" i="5"/>
  <c r="C15" i="5" s="1"/>
  <c r="C19" i="5" s="1"/>
  <c r="C21" i="5" s="1"/>
  <c r="F12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1" authorId="0" shapeId="0" xr:uid="{00000000-0006-0000-0400-000002000000}">
      <text>
        <r>
          <rPr>
            <sz val="11"/>
            <color theme="1"/>
            <rFont val="Calibri"/>
            <scheme val="minor"/>
          </rPr>
          <t>======
ID#AAAAccCPVgc
kenji    (2022-07-02 07:51:37)
Industry Growth Rate</t>
        </r>
      </text>
    </comment>
    <comment ref="C20" authorId="0" shapeId="0" xr:uid="{00000000-0006-0000-0400-000001000000}">
      <text>
        <r>
          <rPr>
            <sz val="11"/>
            <color theme="1"/>
            <rFont val="Calibri"/>
            <scheme val="minor"/>
          </rPr>
          <t>======
ID#AAAAccCPVgg
kenji    (2022-07-02 07:51:37)
Source: Company 10k filing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LLZJ0isP2on7YGGbghdkv2AKwl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" authorId="0" shapeId="0" xr:uid="{00000000-0006-0000-0500-000004000000}">
      <text>
        <r>
          <rPr>
            <sz val="11"/>
            <color theme="1"/>
            <rFont val="Calibri"/>
            <scheme val="minor"/>
          </rPr>
          <t>======
ID#AAAAccCPVgU
kenji    (2022-07-02 07:51:37)
Source: Bloomberg</t>
        </r>
      </text>
    </comment>
    <comment ref="C7" authorId="0" shapeId="0" xr:uid="{00000000-0006-0000-0500-000003000000}">
      <text>
        <r>
          <rPr>
            <sz val="11"/>
            <color theme="1"/>
            <rFont val="Calibri"/>
            <scheme val="minor"/>
          </rPr>
          <t>======
ID#AAAAccCPVgk
kenji    (2022-07-02 07:51:37)
US Corporate Tax Rate</t>
        </r>
      </text>
    </comment>
    <comment ref="C11" authorId="0" shapeId="0" xr:uid="{00000000-0006-0000-0500-000001000000}">
      <text>
        <r>
          <rPr>
            <sz val="11"/>
            <color theme="1"/>
            <rFont val="Calibri"/>
            <scheme val="minor"/>
          </rPr>
          <t>======
ID#AAAAccCPVgs
kenji    (2022-07-02 07:51:37)
Source: Bloomberg</t>
        </r>
      </text>
    </comment>
    <comment ref="C12" authorId="0" shapeId="0" xr:uid="{00000000-0006-0000-0500-000002000000}">
      <text>
        <r>
          <rPr>
            <sz val="11"/>
            <color theme="1"/>
            <rFont val="Calibri"/>
            <scheme val="minor"/>
          </rPr>
          <t>======
ID#AAAAccCPVgo
kenji    (2022-07-02 07:51:37)
Source: Bloomberg</t>
        </r>
      </text>
    </comment>
    <comment ref="C14" authorId="0" shapeId="0" xr:uid="{00000000-0006-0000-0500-000005000000}">
      <text>
        <r>
          <rPr>
            <sz val="11"/>
            <color theme="1"/>
            <rFont val="Calibri"/>
            <scheme val="minor"/>
          </rPr>
          <t>======
ID#AAAAccCPVgY
kenji    (2022-07-02 07:51:37)
Source: Bloomberg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n+NGYzTHC6dOFxnHnU1G7rGzs/A=="/>
    </ext>
  </extLst>
</comments>
</file>

<file path=xl/sharedStrings.xml><?xml version="1.0" encoding="utf-8"?>
<sst xmlns="http://schemas.openxmlformats.org/spreadsheetml/2006/main" count="207" uniqueCount="182">
  <si>
    <t>Discounted Cash Flow File</t>
  </si>
  <si>
    <r>
      <rPr>
        <sz val="16"/>
        <color theme="1"/>
        <rFont val="Calibri"/>
      </rPr>
      <t>Get 10%</t>
    </r>
    <r>
      <rPr>
        <b/>
        <sz val="16"/>
        <color theme="1"/>
        <rFont val="Calibri"/>
      </rPr>
      <t xml:space="preserve"> OFF</t>
    </r>
    <r>
      <rPr>
        <sz val="16"/>
        <color theme="1"/>
        <rFont val="Calibri"/>
      </rPr>
      <t xml:space="preserve"> our course using coupon code </t>
    </r>
    <r>
      <rPr>
        <b/>
        <sz val="16"/>
        <color theme="1"/>
        <rFont val="Calibri"/>
      </rPr>
      <t>EMAIL10</t>
    </r>
  </si>
  <si>
    <t>Get Our Complete Finance &amp; Valuation Course</t>
  </si>
  <si>
    <t>Made by Kenji Explains / Career Principles</t>
  </si>
  <si>
    <t>Note</t>
  </si>
  <si>
    <t>All content is copyright material of Kenji Explains / Career Principles</t>
  </si>
  <si>
    <t>This Excel model may not be reproduced or distributed by any means, including printing, 
screencapturing, or any other method without the prior permission of the publisher.</t>
  </si>
  <si>
    <t>Unlevered Free Cash Flow (mm)</t>
  </si>
  <si>
    <t>Fiscal Year</t>
  </si>
  <si>
    <t>Revenue</t>
  </si>
  <si>
    <t>COGS</t>
  </si>
  <si>
    <t>Gross Profit</t>
  </si>
  <si>
    <t>Operating Expenses</t>
  </si>
  <si>
    <t>Selling, General, Administrative</t>
  </si>
  <si>
    <t>Total Operating Expenses</t>
  </si>
  <si>
    <t>EBITDA</t>
  </si>
  <si>
    <t>Depreciation &amp; Amortization</t>
  </si>
  <si>
    <t>Operating Profit (EBIT)</t>
  </si>
  <si>
    <t>Operating Taxes</t>
  </si>
  <si>
    <t>NOPAT (Net Operating Profit After Taxes)</t>
  </si>
  <si>
    <t>(+) Depreciation &amp; Amortization</t>
  </si>
  <si>
    <t>(-) Capital Expenditures</t>
  </si>
  <si>
    <t>(-) Change in NWC</t>
  </si>
  <si>
    <t>NWC</t>
  </si>
  <si>
    <t>Current Assets</t>
  </si>
  <si>
    <t>Current Liabilitites</t>
  </si>
  <si>
    <t>Unlevered Free Cash Flow</t>
  </si>
  <si>
    <t>Assumptions</t>
  </si>
  <si>
    <t>Revenue Growth</t>
  </si>
  <si>
    <t>COGS % of Revenue</t>
  </si>
  <si>
    <t>SG&amp;A % of Revenue</t>
  </si>
  <si>
    <t>Tax % of EBIT</t>
  </si>
  <si>
    <t>Fixed Assets Schedule</t>
  </si>
  <si>
    <t>Beginning PP&amp;E</t>
  </si>
  <si>
    <t>D&amp;A</t>
  </si>
  <si>
    <t>CapEx</t>
  </si>
  <si>
    <t>Ending PP&amp;E</t>
  </si>
  <si>
    <t>D&amp;A as a % of Beginning PP&amp;E</t>
  </si>
  <si>
    <t>CapEx as a % of Beginning PP&amp;E</t>
  </si>
  <si>
    <t>Net Working Capital</t>
  </si>
  <si>
    <t>Accounts Receivables</t>
  </si>
  <si>
    <t>Merchandise Inventory</t>
  </si>
  <si>
    <t>Other Current Assets</t>
  </si>
  <si>
    <t>Accounts Payable</t>
  </si>
  <si>
    <t>Accrued Salaries and Benefits</t>
  </si>
  <si>
    <t>Accrued Member Rewards</t>
  </si>
  <si>
    <t>Deferred Membership Fees</t>
  </si>
  <si>
    <t>Other Current Liabilities</t>
  </si>
  <si>
    <t>Current Liabilities</t>
  </si>
  <si>
    <t>Days Sales Outstanding (DSO)</t>
  </si>
  <si>
    <t>Days Inventory Outstanding (DIO)</t>
  </si>
  <si>
    <t>Days Payable Outstanding (DPO)</t>
  </si>
  <si>
    <t>Other Current Assets as a % of Revenue</t>
  </si>
  <si>
    <t>Accrued Salaries as a % of Revenue</t>
  </si>
  <si>
    <t>Accrued Member Rewards as a % of Revenue</t>
  </si>
  <si>
    <t>Deferred Membership Fees as a % of Revenue</t>
  </si>
  <si>
    <t>Other Current Liabilities as a % of Revenue</t>
  </si>
  <si>
    <t>Projection Year</t>
  </si>
  <si>
    <t>Present Value of Free Cash Flow</t>
  </si>
  <si>
    <t>Implied Share Price Calculation</t>
  </si>
  <si>
    <t>Sensitivity Table</t>
  </si>
  <si>
    <t>Sum of PV of FCF</t>
  </si>
  <si>
    <t>Growth Rate</t>
  </si>
  <si>
    <t>WACC</t>
  </si>
  <si>
    <t>Terminal Value</t>
  </si>
  <si>
    <t>PV of Terminal Value</t>
  </si>
  <si>
    <t>Enterprise Value</t>
  </si>
  <si>
    <t>(+) Cash</t>
  </si>
  <si>
    <t>(-) Debt</t>
  </si>
  <si>
    <t>(-) Minority Interest</t>
  </si>
  <si>
    <t>Equity Value</t>
  </si>
  <si>
    <t>Diluted Shares Outstanding (mm)</t>
  </si>
  <si>
    <t>Implied Share Price</t>
  </si>
  <si>
    <t>Weighted Average Cost of Capital (WACC)</t>
  </si>
  <si>
    <t>Equity (mm)</t>
  </si>
  <si>
    <t>Debt (mm)</t>
  </si>
  <si>
    <t>Cost of Debt</t>
  </si>
  <si>
    <t>Tax Rate</t>
  </si>
  <si>
    <t>D/(D+E)</t>
  </si>
  <si>
    <t>After Tax Cost of Debt</t>
  </si>
  <si>
    <t>Risk Free Rate (10-Yr Treasury Yield)</t>
  </si>
  <si>
    <t>Expected Market Return</t>
  </si>
  <si>
    <t>Market Risk Premium</t>
  </si>
  <si>
    <t>Levered Beta</t>
  </si>
  <si>
    <t>E/(D+E)</t>
  </si>
  <si>
    <t>Cost of Equity</t>
  </si>
  <si>
    <t>Consolidated Statements Of Income - USD ($) shares in Thousands, $ in Millions</t>
  </si>
  <si>
    <t>Sep. 01, 2019</t>
  </si>
  <si>
    <t>Aug. 30, 2020</t>
  </si>
  <si>
    <t>Aug. 29, 2021</t>
  </si>
  <si>
    <t>REVENUE</t>
  </si>
  <si>
    <t>Total revenue</t>
  </si>
  <si>
    <t>OPERATING EXPENSES</t>
  </si>
  <si>
    <t>Merchandise costs</t>
  </si>
  <si>
    <t>Selling, general and administrative</t>
  </si>
  <si>
    <t>Preopening expenses</t>
  </si>
  <si>
    <t>Operating Income</t>
  </si>
  <si>
    <t>OTHER INCOME (EXPENSE)</t>
  </si>
  <si>
    <t>Interest expense</t>
  </si>
  <si>
    <t>Interest income and other, net</t>
  </si>
  <si>
    <t>INCOME BEFORE INCOME TAXES</t>
  </si>
  <si>
    <t>Income Tax Expense (Benefit)</t>
  </si>
  <si>
    <t>Net Income</t>
  </si>
  <si>
    <t>Diluted (shares)</t>
  </si>
  <si>
    <t>Merchandise Sales Revenue</t>
  </si>
  <si>
    <t>Membership Fee Revenue</t>
  </si>
  <si>
    <t>Consolidated Balance Sheets - USD ($) $ in Millions</t>
  </si>
  <si>
    <t>Sep. 02, 2018</t>
  </si>
  <si>
    <t>CURRENT ASSETS</t>
  </si>
  <si>
    <t>Cash and cash equivalents</t>
  </si>
  <si>
    <t>Short-term investments</t>
  </si>
  <si>
    <t>Receivables, net</t>
  </si>
  <si>
    <t>Merchandise inventories</t>
  </si>
  <si>
    <t>Other current assets</t>
  </si>
  <si>
    <t>Total current assets</t>
  </si>
  <si>
    <t>OTHER ASSETS</t>
  </si>
  <si>
    <t>Property and Equipment, net</t>
  </si>
  <si>
    <t>Operating lease right-of-use assets</t>
  </si>
  <si>
    <t>Other long-term assets</t>
  </si>
  <si>
    <t>TOTAL ASSETS</t>
  </si>
  <si>
    <t>CURRENT LIABILITIES</t>
  </si>
  <si>
    <t>Accounts payable</t>
  </si>
  <si>
    <t>Accrued salaries and benefits</t>
  </si>
  <si>
    <t>Accrued member rewards</t>
  </si>
  <si>
    <t>Deferred membership fees</t>
  </si>
  <si>
    <t>Current portion of long-term debt</t>
  </si>
  <si>
    <t>Other current liabilities</t>
  </si>
  <si>
    <t>Total current liabilities</t>
  </si>
  <si>
    <t>OTHER LIABILITIES</t>
  </si>
  <si>
    <t>Long-term debt, excluding current portion</t>
  </si>
  <si>
    <t>Long-term operating lease liabilities</t>
  </si>
  <si>
    <t>Other long-term liabilities</t>
  </si>
  <si>
    <t>Total liabilities</t>
  </si>
  <si>
    <t>EQUITY</t>
  </si>
  <si>
    <t>Preferred stock $.01 par value; 100,000,000 shares authorized; no shares issued and outstanding</t>
  </si>
  <si>
    <t>Common Stock $.01 par value; 100,000,000 shares authorized; 441,825,000 and 441,255,000 shares issued and outstanding</t>
  </si>
  <si>
    <t>Additional paid-in capital</t>
  </si>
  <si>
    <t>Accumulated other comprehensive loss</t>
  </si>
  <si>
    <t>Retained earnings</t>
  </si>
  <si>
    <t>Total Costco stockholders' equity</t>
  </si>
  <si>
    <t>Noncontrolling interests</t>
  </si>
  <si>
    <t>Total equity</t>
  </si>
  <si>
    <t>TOTAL LIABILITIES AND EQUITY</t>
  </si>
  <si>
    <t>Consolidated Statements Of Cash Flows - USD ($) $ in Millions</t>
  </si>
  <si>
    <t>CASH FLOWS FROM OPERATING ACTIVITIES</t>
  </si>
  <si>
    <t>Net income including noncontrolling interests</t>
  </si>
  <si>
    <t>Adjustments to reconcile net income including noncontrolling interests to net cash provided by operating activities:</t>
  </si>
  <si>
    <t>Depreciation and amortization</t>
  </si>
  <si>
    <t>Non-cash lease expense</t>
  </si>
  <si>
    <t>Stock-based compensation</t>
  </si>
  <si>
    <t>Other non-cash operating activities, net</t>
  </si>
  <si>
    <t>Deferred income taxes</t>
  </si>
  <si>
    <t>Changes in operating assets and liabilities:</t>
  </si>
  <si>
    <t>Other operating assets and liabilities, net</t>
  </si>
  <si>
    <t>Net Cash Provided by (Used in) Operating Activities</t>
  </si>
  <si>
    <t>CASH FLOWS FROM INVESTING ACTIVITIES</t>
  </si>
  <si>
    <t>Purchases of short-term investments</t>
  </si>
  <si>
    <t>Maturities and sales of short-term investments</t>
  </si>
  <si>
    <t>Additions to property and equipment</t>
  </si>
  <si>
    <t>Acquisitions</t>
  </si>
  <si>
    <t>Other investing activities, net</t>
  </si>
  <si>
    <t>Net Cash Provided by (Used in) Investing Activities</t>
  </si>
  <si>
    <t>CASH FLOWS FROM FINANCING ACTIVITIES</t>
  </si>
  <si>
    <t>Change in bank payments outstanding</t>
  </si>
  <si>
    <t>Proceeds from short-term borrowings</t>
  </si>
  <si>
    <t>Proceeds from issuance of long-term debt</t>
  </si>
  <si>
    <t>Repayments of long-term debt</t>
  </si>
  <si>
    <t>Tax withholdings on stock-based awards</t>
  </si>
  <si>
    <t>Repurchases of common stock</t>
  </si>
  <si>
    <t>Cash dividend payments</t>
  </si>
  <si>
    <t>Other financing activities, net</t>
  </si>
  <si>
    <t>Net Cash Provided by (Used in) Financing Activities</t>
  </si>
  <si>
    <t>EFFECT OF EXCHANGE RATE CHANGES ON CASH AND CASH EQUIVALENTS</t>
  </si>
  <si>
    <t>Net change in cash and cash equivalents</t>
  </si>
  <si>
    <t>CASH AND CASH EQUIVALENTS BEGINNING OF YEAR</t>
  </si>
  <si>
    <t>CASH AND CASH EQUIVALENTS END OF YEAR</t>
  </si>
  <si>
    <t>SUPPLEMENTAL DISCLOSURE OF CASH FLOW INFORMATION:</t>
  </si>
  <si>
    <t>Interest paid</t>
  </si>
  <si>
    <t>Income taxes paid, net</t>
  </si>
  <si>
    <t>SUPPLEMENTAL DISCLOSURE OF NON-CASH INVESTING AND FINANCING ACTIVITIES:</t>
  </si>
  <si>
    <t>Cash dividend declared, but not yet paid</t>
  </si>
  <si>
    <t>dso=ar/sales * 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</si>
</sst>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yyyy\A"/>
    <numFmt numFmtId="165" formatCode="yyyy\E"/>
    <numFmt numFmtId="166" formatCode="#,##0_);\(#,##0\);\-\-_)"/>
    <numFmt numFmtId="167" formatCode="0.0%"/>
    <numFmt numFmtId="168" formatCode="0.0"/>
    <numFmt numFmtId="169" formatCode="&quot;$&quot;#,##0"/>
  </numFmts>
  <fonts count="13">
    <font>
      <sz val="11"/>
      <color theme="1"/>
      <name val="Calibri"/>
      <scheme val="minor"/>
    </font>
    <font>
      <sz val="11"/>
      <color theme="1"/>
      <name val="Calibri"/>
    </font>
    <font>
      <b/>
      <sz val="50"/>
      <color theme="1"/>
      <name val="Calibri"/>
    </font>
    <font>
      <sz val="12"/>
      <color theme="1"/>
      <name val="Calibri"/>
    </font>
    <font>
      <sz val="16"/>
      <color theme="1"/>
      <name val="Calibri"/>
    </font>
    <font>
      <u/>
      <sz val="18"/>
      <color theme="10"/>
      <name val="Calibri"/>
    </font>
    <font>
      <i/>
      <u/>
      <sz val="14"/>
      <color rgb="FF1155CC"/>
      <name val="Calibri"/>
    </font>
    <font>
      <b/>
      <sz val="11"/>
      <color theme="1"/>
      <name val="Calibri"/>
    </font>
    <font>
      <sz val="11"/>
      <color theme="0"/>
      <name val="Calibri"/>
    </font>
    <font>
      <sz val="11"/>
      <color theme="1"/>
      <name val="Calibri"/>
      <scheme val="minor"/>
    </font>
    <font>
      <sz val="11"/>
      <name val="Calibri"/>
    </font>
    <font>
      <sz val="11"/>
      <color rgb="FF0000FF"/>
      <name val="Calibri"/>
    </font>
    <font>
      <b/>
      <sz val="16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  <fill>
      <patternFill patternType="solid">
        <fgColor rgb="FF2A3E68"/>
        <bgColor rgb="FF2A3E68"/>
      </patternFill>
    </fill>
    <fill>
      <patternFill patternType="solid">
        <fgColor rgb="FFFFFF99"/>
        <bgColor rgb="FFFFFF99"/>
      </patternFill>
    </fill>
    <fill>
      <patternFill patternType="solid">
        <fgColor rgb="FFE7E6E6"/>
        <bgColor rgb="FFE7E6E6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2" borderId="1" xfId="0" applyFont="1" applyFill="1" applyBorder="1"/>
    <xf numFmtId="0" fontId="1" fillId="0" borderId="2" xfId="0" applyFont="1" applyBorder="1"/>
    <xf numFmtId="0" fontId="2" fillId="0" borderId="3" xfId="0" applyFont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2" fillId="0" borderId="0" xfId="0" applyFont="1" applyAlignment="1">
      <alignment horizontal="center" vertical="center"/>
    </xf>
    <xf numFmtId="0" fontId="1" fillId="0" borderId="6" xfId="0" applyFont="1" applyBorder="1"/>
    <xf numFmtId="0" fontId="1" fillId="0" borderId="0" xfId="0" applyFont="1"/>
    <xf numFmtId="0" fontId="3" fillId="2" borderId="1" xfId="0" applyFont="1" applyFill="1" applyBorder="1"/>
    <xf numFmtId="0" fontId="3" fillId="0" borderId="5" xfId="0" applyFont="1" applyBorder="1"/>
    <xf numFmtId="0" fontId="4" fillId="0" borderId="0" xfId="0" applyFont="1"/>
    <xf numFmtId="0" fontId="3" fillId="0" borderId="6" xfId="0" applyFont="1" applyBorder="1"/>
    <xf numFmtId="0" fontId="1" fillId="2" borderId="1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5" fillId="3" borderId="7" xfId="0" applyFont="1" applyFill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6" fillId="0" borderId="0" xfId="0" applyFont="1"/>
    <xf numFmtId="0" fontId="7" fillId="0" borderId="8" xfId="0" applyFont="1" applyBorder="1"/>
    <xf numFmtId="0" fontId="1" fillId="0" borderId="0" xfId="0" applyFont="1" applyAlignment="1">
      <alignment vertical="top" wrapText="1"/>
    </xf>
    <xf numFmtId="0" fontId="1" fillId="0" borderId="9" xfId="0" applyFont="1" applyBorder="1"/>
    <xf numFmtId="0" fontId="1" fillId="0" borderId="8" xfId="0" applyFont="1" applyBorder="1"/>
    <xf numFmtId="0" fontId="1" fillId="0" borderId="10" xfId="0" applyFont="1" applyBorder="1"/>
    <xf numFmtId="0" fontId="8" fillId="4" borderId="1" xfId="0" applyFont="1" applyFill="1" applyBorder="1"/>
    <xf numFmtId="0" fontId="1" fillId="2" borderId="11" xfId="0" applyFont="1" applyFill="1" applyBorder="1"/>
    <xf numFmtId="164" fontId="1" fillId="2" borderId="11" xfId="0" applyNumberFormat="1" applyFont="1" applyFill="1" applyBorder="1"/>
    <xf numFmtId="165" fontId="1" fillId="2" borderId="11" xfId="0" applyNumberFormat="1" applyFont="1" applyFill="1" applyBorder="1"/>
    <xf numFmtId="0" fontId="9" fillId="0" borderId="0" xfId="0" applyFont="1"/>
    <xf numFmtId="166" fontId="1" fillId="0" borderId="0" xfId="0" applyNumberFormat="1" applyFont="1"/>
    <xf numFmtId="0" fontId="1" fillId="0" borderId="12" xfId="0" applyFont="1" applyBorder="1"/>
    <xf numFmtId="166" fontId="1" fillId="0" borderId="12" xfId="0" applyNumberFormat="1" applyFont="1" applyBorder="1"/>
    <xf numFmtId="0" fontId="7" fillId="0" borderId="0" xfId="0" applyFont="1"/>
    <xf numFmtId="166" fontId="7" fillId="0" borderId="0" xfId="0" applyNumberFormat="1" applyFont="1"/>
    <xf numFmtId="0" fontId="1" fillId="0" borderId="0" xfId="0" applyFont="1" applyAlignment="1">
      <alignment horizontal="left"/>
    </xf>
    <xf numFmtId="0" fontId="7" fillId="5" borderId="13" xfId="0" applyFont="1" applyFill="1" applyBorder="1"/>
    <xf numFmtId="166" fontId="7" fillId="5" borderId="13" xfId="0" applyNumberFormat="1" applyFont="1" applyFill="1" applyBorder="1"/>
    <xf numFmtId="0" fontId="1" fillId="6" borderId="1" xfId="0" applyFont="1" applyFill="1" applyBorder="1"/>
    <xf numFmtId="167" fontId="1" fillId="6" borderId="1" xfId="0" applyNumberFormat="1" applyFont="1" applyFill="1" applyBorder="1"/>
    <xf numFmtId="3" fontId="1" fillId="0" borderId="0" xfId="0" applyNumberFormat="1" applyFont="1"/>
    <xf numFmtId="0" fontId="7" fillId="0" borderId="14" xfId="0" applyFont="1" applyBorder="1"/>
    <xf numFmtId="3" fontId="7" fillId="0" borderId="14" xfId="0" applyNumberFormat="1" applyFont="1" applyBorder="1"/>
    <xf numFmtId="167" fontId="1" fillId="0" borderId="0" xfId="0" applyNumberFormat="1" applyFont="1"/>
    <xf numFmtId="3" fontId="1" fillId="6" borderId="1" xfId="0" applyNumberFormat="1" applyFont="1" applyFill="1" applyBorder="1"/>
    <xf numFmtId="168" fontId="1" fillId="6" borderId="1" xfId="0" applyNumberFormat="1" applyFont="1" applyFill="1" applyBorder="1"/>
    <xf numFmtId="9" fontId="11" fillId="0" borderId="0" xfId="0" applyNumberFormat="1" applyFont="1"/>
    <xf numFmtId="4" fontId="1" fillId="0" borderId="0" xfId="0" applyNumberFormat="1" applyFont="1"/>
    <xf numFmtId="4" fontId="1" fillId="2" borderId="1" xfId="0" applyNumberFormat="1" applyFont="1" applyFill="1" applyBorder="1"/>
    <xf numFmtId="4" fontId="8" fillId="4" borderId="1" xfId="0" applyNumberFormat="1" applyFont="1" applyFill="1" applyBorder="1"/>
    <xf numFmtId="0" fontId="1" fillId="0" borderId="14" xfId="0" applyFont="1" applyBorder="1"/>
    <xf numFmtId="3" fontId="1" fillId="0" borderId="14" xfId="0" applyNumberFormat="1" applyFont="1" applyBorder="1"/>
    <xf numFmtId="2" fontId="11" fillId="0" borderId="0" xfId="0" applyNumberFormat="1" applyFont="1"/>
    <xf numFmtId="4" fontId="7" fillId="5" borderId="13" xfId="0" applyNumberFormat="1" applyFont="1" applyFill="1" applyBorder="1"/>
    <xf numFmtId="3" fontId="11" fillId="0" borderId="0" xfId="0" applyNumberFormat="1" applyFont="1"/>
    <xf numFmtId="167" fontId="11" fillId="0" borderId="0" xfId="0" applyNumberFormat="1" applyFont="1"/>
    <xf numFmtId="167" fontId="7" fillId="0" borderId="14" xfId="0" applyNumberFormat="1" applyFont="1" applyBorder="1"/>
    <xf numFmtId="167" fontId="7" fillId="0" borderId="0" xfId="0" applyNumberFormat="1" applyFont="1"/>
    <xf numFmtId="0" fontId="11" fillId="0" borderId="0" xfId="0" applyFont="1"/>
    <xf numFmtId="167" fontId="7" fillId="5" borderId="13" xfId="0" applyNumberFormat="1" applyFont="1" applyFill="1" applyBorder="1"/>
    <xf numFmtId="0" fontId="1" fillId="0" borderId="0" xfId="0" applyFont="1" applyAlignment="1">
      <alignment horizontal="center"/>
    </xf>
    <xf numFmtId="169" fontId="1" fillId="0" borderId="0" xfId="0" applyNumberFormat="1" applyFont="1"/>
    <xf numFmtId="0" fontId="8" fillId="4" borderId="15" xfId="0" applyFont="1" applyFill="1" applyBorder="1" applyAlignment="1">
      <alignment horizontal="center"/>
    </xf>
    <xf numFmtId="0" fontId="10" fillId="0" borderId="16" xfId="0" applyFont="1" applyBorder="1"/>
    <xf numFmtId="0" fontId="10" fillId="0" borderId="17" xfId="0" applyFont="1" applyBorder="1"/>
    <xf numFmtId="0" fontId="8" fillId="4" borderId="18" xfId="0" applyFont="1" applyFill="1" applyBorder="1" applyAlignment="1">
      <alignment horizontal="center" vertical="center" textRotation="90"/>
    </xf>
    <xf numFmtId="0" fontId="10" fillId="0" borderId="19" xfId="0" applyFont="1" applyBorder="1"/>
    <xf numFmtId="0" fontId="10" fillId="0" borderId="20" xfId="0" applyFont="1" applyBorder="1"/>
    <xf numFmtId="0" fontId="0" fillId="0" borderId="0" xfId="0" applyFont="1"/>
    <xf numFmtId="3" fontId="0" fillId="0" borderId="0" xfId="0" applyNumberFormat="1"/>
    <xf numFmtId="167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2428875</xdr:colOff>
      <xdr:row>3</xdr:row>
      <xdr:rowOff>895350</xdr:rowOff>
    </xdr:from>
    <xdr:ext cx="3048000" cy="85725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careerprinciples.com/" TargetMode="External"/><Relationship Id="rId1" Type="http://schemas.openxmlformats.org/officeDocument/2006/relationships/hyperlink" Target="https://www.careerprinciples.com/courses/finance-valuation-course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workbookViewId="0"/>
  </sheetViews>
  <sheetFormatPr defaultColWidth="14.42578125" defaultRowHeight="15" customHeight="1"/>
  <cols>
    <col min="1" max="1" width="10.85546875" customWidth="1"/>
    <col min="2" max="2" width="8.42578125" customWidth="1"/>
    <col min="3" max="3" width="110.5703125" customWidth="1"/>
    <col min="4" max="4" width="9.42578125" customWidth="1"/>
    <col min="5" max="26" width="10.85546875" customWidth="1"/>
  </cols>
  <sheetData>
    <row r="1" spans="1:26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70.5" customHeight="1">
      <c r="A4" s="1"/>
      <c r="B4" s="2"/>
      <c r="C4" s="3" t="s">
        <v>0</v>
      </c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5"/>
      <c r="C5" s="6"/>
      <c r="D5" s="7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/>
      <c r="B6" s="5"/>
      <c r="C6" s="8"/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1"/>
      <c r="B7" s="5"/>
      <c r="C7" s="8"/>
      <c r="D7" s="7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2.25" customHeight="1">
      <c r="A8" s="1"/>
      <c r="B8" s="5"/>
      <c r="C8" s="8"/>
      <c r="D8" s="7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>
      <c r="A9" s="9"/>
      <c r="B9" s="10"/>
      <c r="C9" s="11" t="s">
        <v>1</v>
      </c>
      <c r="D9" s="12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4.25" customHeight="1">
      <c r="A10" s="9"/>
      <c r="B10" s="10"/>
      <c r="C10" s="11"/>
      <c r="D10" s="12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23.25" customHeight="1">
      <c r="A11" s="13"/>
      <c r="B11" s="14"/>
      <c r="C11" s="15" t="s">
        <v>2</v>
      </c>
      <c r="D11" s="16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4.25" customHeight="1">
      <c r="A12" s="1"/>
      <c r="B12" s="5"/>
      <c r="C12" s="8"/>
      <c r="D12" s="7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1"/>
      <c r="B13" s="5"/>
      <c r="C13" s="8"/>
      <c r="D13" s="7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"/>
      <c r="B14" s="5"/>
      <c r="C14" s="8"/>
      <c r="D14" s="7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4.75" customHeight="1">
      <c r="A15" s="1"/>
      <c r="B15" s="5"/>
      <c r="C15" s="17" t="s">
        <v>3</v>
      </c>
      <c r="D15" s="7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1"/>
      <c r="B16" s="5"/>
      <c r="C16" s="18" t="s">
        <v>4</v>
      </c>
      <c r="D16" s="7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1"/>
      <c r="B17" s="5"/>
      <c r="C17" s="8" t="s">
        <v>5</v>
      </c>
      <c r="D17" s="7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1"/>
      <c r="B18" s="5"/>
      <c r="C18" s="19" t="s">
        <v>6</v>
      </c>
      <c r="D18" s="7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1"/>
      <c r="B19" s="20"/>
      <c r="C19" s="21"/>
      <c r="D19" s="2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ef="C11" r:id="rId1" xr:uid="{00000000-0004-0000-0000-000000000000}"/>
    <hyperlink ref="C15" r:id="rId2" xr:uid="{00000000-0004-0000-0000-000001000000}"/>
  </hyperlinks>
  <pageMargins left="0.7" right="0.7" top="0.75" bottom="0.75" header="0" footer="0"/>
  <pageSetup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1000"/>
  <sheetViews>
    <sheetView showGridLines="0" workbookViewId="0">
      <selection activeCell="F21" sqref="F21"/>
    </sheetView>
  </sheetViews>
  <sheetFormatPr defaultColWidth="14.42578125" defaultRowHeight="15" customHeight="1"/>
  <cols>
    <col min="1" max="1" width="8.85546875" customWidth="1"/>
    <col min="2" max="2" width="45.42578125" customWidth="1"/>
    <col min="3" max="10" width="10.42578125" customWidth="1"/>
    <col min="11" max="26" width="8.85546875" customWidth="1"/>
  </cols>
  <sheetData>
    <row r="1" spans="2:10" ht="14.25" customHeight="1"/>
    <row r="2" spans="2:10" ht="14.25" customHeight="1">
      <c r="B2" s="23" t="s">
        <v>7</v>
      </c>
      <c r="C2" s="23"/>
      <c r="D2" s="23"/>
      <c r="E2" s="23"/>
      <c r="F2" s="23"/>
      <c r="G2" s="23"/>
      <c r="H2" s="23"/>
      <c r="I2" s="23"/>
      <c r="J2" s="23"/>
    </row>
    <row r="3" spans="2:10" ht="14.25" customHeight="1">
      <c r="B3" s="24" t="s">
        <v>8</v>
      </c>
      <c r="C3" s="25">
        <v>43830</v>
      </c>
      <c r="D3" s="25">
        <v>44196</v>
      </c>
      <c r="E3" s="25">
        <v>44561</v>
      </c>
      <c r="F3" s="26">
        <v>44926</v>
      </c>
      <c r="G3" s="26">
        <v>45291</v>
      </c>
      <c r="H3" s="26">
        <v>45657</v>
      </c>
      <c r="I3" s="26">
        <v>46022</v>
      </c>
      <c r="J3" s="26">
        <v>46387</v>
      </c>
    </row>
    <row r="4" spans="2:10" ht="14.25" customHeight="1">
      <c r="B4" s="27" t="s">
        <v>9</v>
      </c>
      <c r="C4" s="28">
        <f>'Income Statement'!C5</f>
        <v>152703</v>
      </c>
      <c r="D4" s="28">
        <f>'Income Statement'!D5</f>
        <v>166761</v>
      </c>
      <c r="E4" s="28">
        <f>'Income Statement'!E5</f>
        <v>195929</v>
      </c>
      <c r="F4" s="28">
        <f>+E4*(1+F25)</f>
        <v>215521.90000000002</v>
      </c>
      <c r="G4" s="28">
        <f t="shared" ref="G4:J4" si="0">+F4*(1+G25)</f>
        <v>237074.09000000005</v>
      </c>
      <c r="H4" s="28">
        <f t="shared" si="0"/>
        <v>258410.75810000006</v>
      </c>
      <c r="I4" s="28">
        <f t="shared" si="0"/>
        <v>276499.51116700011</v>
      </c>
      <c r="J4" s="28">
        <f t="shared" si="0"/>
        <v>290324.48672535014</v>
      </c>
    </row>
    <row r="5" spans="2:10" ht="14.25" customHeight="1">
      <c r="B5" s="29" t="s">
        <v>10</v>
      </c>
      <c r="C5" s="30">
        <f>'Income Statement'!C7</f>
        <v>132886</v>
      </c>
      <c r="D5" s="30">
        <f>'Income Statement'!D7</f>
        <v>144939</v>
      </c>
      <c r="E5" s="30">
        <f>'Income Statement'!E7</f>
        <v>170684</v>
      </c>
      <c r="F5" s="30">
        <f>+F4*F27</f>
        <v>187541.37989690871</v>
      </c>
      <c r="G5" s="30">
        <f t="shared" ref="G5:J5" si="1">+G4*G27</f>
        <v>206295.51788659961</v>
      </c>
      <c r="H5" s="30">
        <f t="shared" si="1"/>
        <v>224862.11449639357</v>
      </c>
      <c r="I5" s="30">
        <f t="shared" si="1"/>
        <v>240602.46251114114</v>
      </c>
      <c r="J5" s="30">
        <f t="shared" si="1"/>
        <v>252632.58563669823</v>
      </c>
    </row>
    <row r="6" spans="2:10" ht="14.25" customHeight="1">
      <c r="B6" s="31" t="s">
        <v>11</v>
      </c>
      <c r="C6" s="32">
        <f t="shared" ref="C6:J6" si="2">C4-C5</f>
        <v>19817</v>
      </c>
      <c r="D6" s="32">
        <f t="shared" si="2"/>
        <v>21822</v>
      </c>
      <c r="E6" s="32">
        <f t="shared" si="2"/>
        <v>25245</v>
      </c>
      <c r="F6" s="32">
        <f t="shared" si="2"/>
        <v>27980.520103091316</v>
      </c>
      <c r="G6" s="32">
        <f t="shared" si="2"/>
        <v>30778.572113400442</v>
      </c>
      <c r="H6" s="32">
        <f t="shared" si="2"/>
        <v>33548.643603606499</v>
      </c>
      <c r="I6" s="32">
        <f t="shared" si="2"/>
        <v>35897.048655858962</v>
      </c>
      <c r="J6" s="32">
        <f t="shared" si="2"/>
        <v>37691.90108865191</v>
      </c>
    </row>
    <row r="7" spans="2:10" ht="14.25" customHeight="1">
      <c r="B7" s="27" t="s">
        <v>12</v>
      </c>
      <c r="C7" s="28"/>
      <c r="D7" s="28"/>
      <c r="E7" s="28"/>
      <c r="F7" s="28"/>
      <c r="G7" s="28"/>
      <c r="H7" s="28"/>
      <c r="I7" s="28"/>
      <c r="J7" s="28"/>
    </row>
    <row r="8" spans="2:10" ht="14.25" customHeight="1">
      <c r="B8" s="27" t="s">
        <v>13</v>
      </c>
      <c r="C8" s="28">
        <f>SUM('Income Statement'!C8,'Income Statement'!C10)</f>
        <v>13588</v>
      </c>
      <c r="D8" s="28">
        <f>SUM('Income Statement'!D8,'Income Statement'!D10)</f>
        <v>14742</v>
      </c>
      <c r="E8" s="28">
        <f>SUM('Income Statement'!E8,'Income Statement'!E10)</f>
        <v>16756</v>
      </c>
      <c r="F8" s="28">
        <f>+F4*F28</f>
        <v>18887.32847958626</v>
      </c>
      <c r="G8" s="28">
        <f t="shared" ref="G8:J8" si="3">+G4*G28</f>
        <v>20776.061327544889</v>
      </c>
      <c r="H8" s="28">
        <f t="shared" si="3"/>
        <v>22645.906847023929</v>
      </c>
      <c r="I8" s="28">
        <f t="shared" si="3"/>
        <v>24231.120326315606</v>
      </c>
      <c r="J8" s="28">
        <f t="shared" si="3"/>
        <v>25442.676342631388</v>
      </c>
    </row>
    <row r="9" spans="2:10" ht="14.25" customHeight="1">
      <c r="B9" s="29" t="s">
        <v>14</v>
      </c>
      <c r="C9" s="30">
        <f t="shared" ref="C9:J9" si="4">SUM(C8)</f>
        <v>13588</v>
      </c>
      <c r="D9" s="30">
        <f t="shared" si="4"/>
        <v>14742</v>
      </c>
      <c r="E9" s="30">
        <f t="shared" si="4"/>
        <v>16756</v>
      </c>
      <c r="F9" s="30">
        <f t="shared" si="4"/>
        <v>18887.32847958626</v>
      </c>
      <c r="G9" s="30">
        <f t="shared" si="4"/>
        <v>20776.061327544889</v>
      </c>
      <c r="H9" s="30">
        <f t="shared" si="4"/>
        <v>22645.906847023929</v>
      </c>
      <c r="I9" s="30">
        <f t="shared" si="4"/>
        <v>24231.120326315606</v>
      </c>
      <c r="J9" s="30">
        <f t="shared" si="4"/>
        <v>25442.676342631388</v>
      </c>
    </row>
    <row r="10" spans="2:10" ht="14.25" customHeight="1">
      <c r="B10" s="31" t="s">
        <v>15</v>
      </c>
      <c r="C10" s="32">
        <f t="shared" ref="C10:J10" si="5">C6-C9</f>
        <v>6229</v>
      </c>
      <c r="D10" s="32">
        <f t="shared" si="5"/>
        <v>7080</v>
      </c>
      <c r="E10" s="32">
        <f t="shared" si="5"/>
        <v>8489</v>
      </c>
      <c r="F10" s="32">
        <f t="shared" si="5"/>
        <v>9093.1916235050558</v>
      </c>
      <c r="G10" s="32">
        <f t="shared" si="5"/>
        <v>10002.510785855553</v>
      </c>
      <c r="H10" s="32">
        <f t="shared" si="5"/>
        <v>10902.73675658257</v>
      </c>
      <c r="I10" s="32">
        <f t="shared" si="5"/>
        <v>11665.928329543356</v>
      </c>
      <c r="J10" s="32">
        <f t="shared" si="5"/>
        <v>12249.224746020522</v>
      </c>
    </row>
    <row r="11" spans="2:10" ht="14.25" customHeight="1">
      <c r="B11" s="29" t="s">
        <v>16</v>
      </c>
      <c r="C11" s="30">
        <f>'Income Statement'!C9</f>
        <v>1492</v>
      </c>
      <c r="D11" s="30">
        <f>'Income Statement'!D9</f>
        <v>1645</v>
      </c>
      <c r="E11" s="30">
        <f>'Income Statement'!E9</f>
        <v>1781</v>
      </c>
      <c r="F11" s="30">
        <f>+'Fixed Assets'!F5</f>
        <v>1995.9571154515827</v>
      </c>
      <c r="G11" s="30">
        <f>+'Fixed Assets'!G5</f>
        <v>2144.3445116404519</v>
      </c>
      <c r="H11" s="30">
        <f>+'Fixed Assets'!H5</f>
        <v>2303.7636174673962</v>
      </c>
      <c r="I11" s="30">
        <f>+'Fixed Assets'!I5</f>
        <v>2475.0345741348665</v>
      </c>
      <c r="J11" s="30">
        <f>+'Fixed Assets'!J5</f>
        <v>2659.0384954065948</v>
      </c>
    </row>
    <row r="12" spans="2:10" ht="14.25" customHeight="1">
      <c r="B12" s="31" t="s">
        <v>17</v>
      </c>
      <c r="C12" s="32">
        <f t="shared" ref="C12:J12" si="6">C10-C11</f>
        <v>4737</v>
      </c>
      <c r="D12" s="32">
        <f t="shared" si="6"/>
        <v>5435</v>
      </c>
      <c r="E12" s="32">
        <f t="shared" si="6"/>
        <v>6708</v>
      </c>
      <c r="F12" s="32">
        <f t="shared" si="6"/>
        <v>7097.2345080534733</v>
      </c>
      <c r="G12" s="32">
        <f t="shared" si="6"/>
        <v>7858.1662742151011</v>
      </c>
      <c r="H12" s="32">
        <f t="shared" si="6"/>
        <v>8598.9731391151727</v>
      </c>
      <c r="I12" s="32">
        <f t="shared" si="6"/>
        <v>9190.8937554084896</v>
      </c>
      <c r="J12" s="32">
        <f t="shared" si="6"/>
        <v>9590.1862506139259</v>
      </c>
    </row>
    <row r="13" spans="2:10" ht="14.25" customHeight="1">
      <c r="B13" s="29" t="s">
        <v>18</v>
      </c>
      <c r="C13" s="30">
        <f>'Income Statement'!C16</f>
        <v>1061</v>
      </c>
      <c r="D13" s="30">
        <f>'Income Statement'!D16</f>
        <v>1308</v>
      </c>
      <c r="E13" s="30">
        <f>'Income Statement'!E16</f>
        <v>1601</v>
      </c>
      <c r="F13" s="30">
        <f>+F12*F29</f>
        <v>1490.4192466912293</v>
      </c>
      <c r="G13" s="30">
        <f t="shared" ref="G13:J13" si="7">+G12*G29</f>
        <v>1650.2149175851712</v>
      </c>
      <c r="H13" s="30">
        <f t="shared" si="7"/>
        <v>1805.7843592141862</v>
      </c>
      <c r="I13" s="30">
        <f t="shared" si="7"/>
        <v>1930.0876886357828</v>
      </c>
      <c r="J13" s="30">
        <f t="shared" si="7"/>
        <v>2013.9391126289245</v>
      </c>
    </row>
    <row r="14" spans="2:10" ht="14.25" customHeight="1">
      <c r="B14" s="31" t="s">
        <v>19</v>
      </c>
      <c r="C14" s="32">
        <f t="shared" ref="C14:J14" si="8">C12-C13</f>
        <v>3676</v>
      </c>
      <c r="D14" s="32">
        <f t="shared" si="8"/>
        <v>4127</v>
      </c>
      <c r="E14" s="32">
        <f t="shared" si="8"/>
        <v>5107</v>
      </c>
      <c r="F14" s="32">
        <f t="shared" si="8"/>
        <v>5606.8152613622442</v>
      </c>
      <c r="G14" s="32">
        <f t="shared" si="8"/>
        <v>6207.9513566299302</v>
      </c>
      <c r="H14" s="32">
        <f t="shared" si="8"/>
        <v>6793.1887799009864</v>
      </c>
      <c r="I14" s="32">
        <f t="shared" si="8"/>
        <v>7260.8060667727068</v>
      </c>
      <c r="J14" s="32">
        <f t="shared" si="8"/>
        <v>7576.2471379850012</v>
      </c>
    </row>
    <row r="15" spans="2:10" ht="14.25" customHeight="1">
      <c r="B15" s="27" t="s">
        <v>20</v>
      </c>
      <c r="C15" s="28">
        <f t="shared" ref="C15:E15" si="9">C11</f>
        <v>1492</v>
      </c>
      <c r="D15" s="28">
        <f t="shared" si="9"/>
        <v>1645</v>
      </c>
      <c r="E15" s="28">
        <f t="shared" si="9"/>
        <v>1781</v>
      </c>
      <c r="F15" s="28">
        <f>+F11</f>
        <v>1995.9571154515827</v>
      </c>
      <c r="G15" s="28">
        <f t="shared" ref="G15:J15" si="10">+G11</f>
        <v>2144.3445116404519</v>
      </c>
      <c r="H15" s="28">
        <f t="shared" si="10"/>
        <v>2303.7636174673962</v>
      </c>
      <c r="I15" s="28">
        <f t="shared" si="10"/>
        <v>2475.0345741348665</v>
      </c>
      <c r="J15" s="28">
        <f t="shared" si="10"/>
        <v>2659.0384954065948</v>
      </c>
    </row>
    <row r="16" spans="2:10" ht="14.25" customHeight="1">
      <c r="B16" s="27" t="s">
        <v>21</v>
      </c>
      <c r="C16" s="28">
        <f>'Fixed Assets'!C6</f>
        <v>2701</v>
      </c>
      <c r="D16" s="28">
        <f>'Fixed Assets'!D6</f>
        <v>5350</v>
      </c>
      <c r="E16" s="28">
        <f>'Fixed Assets'!E6</f>
        <v>3568</v>
      </c>
      <c r="F16" s="28">
        <f>+'Fixed Assets'!F6</f>
        <v>3957.2999999999997</v>
      </c>
      <c r="G16" s="28">
        <f>+'Fixed Assets'!G6</f>
        <v>4251.501432682262</v>
      </c>
      <c r="H16" s="28">
        <f>+'Fixed Assets'!H6</f>
        <v>4567.5749708385338</v>
      </c>
      <c r="I16" s="28">
        <f>+'Fixed Assets'!I6</f>
        <v>4907.1466738442041</v>
      </c>
      <c r="J16" s="28">
        <f>+'Fixed Assets'!J6</f>
        <v>5271.9634888006049</v>
      </c>
    </row>
    <row r="17" spans="2:10" ht="14.25" customHeight="1">
      <c r="B17" s="27" t="s">
        <v>22</v>
      </c>
      <c r="C17" s="28">
        <f>C18-('Net Working Capital'!C7-'Net Working Capital'!C14)</f>
        <v>-691</v>
      </c>
      <c r="D17" s="28">
        <f t="shared" ref="D17:E17" si="11">D18-C18</f>
        <v>-2437</v>
      </c>
      <c r="E17" s="28">
        <f t="shared" si="11"/>
        <v>-1378</v>
      </c>
      <c r="F17" s="28">
        <f>+'Net Working Capital'!G15-'Net Working Capital'!F15</f>
        <v>-255.13641859409836</v>
      </c>
      <c r="G17" s="28">
        <f>+'Net Working Capital'!H15-'Net Working Capital'!G15</f>
        <v>-1156.7136418594091</v>
      </c>
      <c r="H17" s="28">
        <f>+'Net Working Capital'!I15-'Net Working Capital'!H15</f>
        <v>-1145.1465054408254</v>
      </c>
      <c r="I17" s="28">
        <f>+'Net Working Capital'!J15-'Net Working Capital'!I15</f>
        <v>-970.82975961259945</v>
      </c>
      <c r="J17" s="28">
        <f>+'Net Working Capital'!K15-'Net Working Capital'!J15</f>
        <v>-741.99131627535462</v>
      </c>
    </row>
    <row r="18" spans="2:10" ht="14.25" customHeight="1">
      <c r="B18" s="33" t="s">
        <v>23</v>
      </c>
      <c r="C18" s="28">
        <f t="shared" ref="C18:E18" si="12">C19-C20</f>
        <v>-7497</v>
      </c>
      <c r="D18" s="28">
        <f t="shared" si="12"/>
        <v>-9934</v>
      </c>
      <c r="E18" s="28">
        <f t="shared" si="12"/>
        <v>-11312</v>
      </c>
      <c r="F18" s="28">
        <f>+'Net Working Capital'!G15</f>
        <v>-11567.136418594098</v>
      </c>
      <c r="G18" s="28">
        <f>+'Net Working Capital'!H15</f>
        <v>-12723.850060453507</v>
      </c>
      <c r="H18" s="28">
        <f>+'Net Working Capital'!I15</f>
        <v>-13868.996565894333</v>
      </c>
      <c r="I18" s="28">
        <f>+'Net Working Capital'!J15</f>
        <v>-14839.826325506932</v>
      </c>
      <c r="J18" s="28">
        <f>+'Net Working Capital'!K15</f>
        <v>-15581.817641782287</v>
      </c>
    </row>
    <row r="19" spans="2:10" ht="14.25" customHeight="1">
      <c r="B19" s="33" t="s">
        <v>24</v>
      </c>
      <c r="C19" s="28">
        <f>'Net Working Capital'!D7</f>
        <v>14041</v>
      </c>
      <c r="D19" s="28">
        <f>'Net Working Capital'!E7</f>
        <v>14815</v>
      </c>
      <c r="E19" s="28">
        <f>'Net Working Capital'!F7</f>
        <v>17330</v>
      </c>
      <c r="F19" s="28">
        <f>+'Net Working Capital'!G7</f>
        <v>19217.067988407245</v>
      </c>
      <c r="G19" s="28">
        <f>+'Net Working Capital'!H7</f>
        <v>21138.774787247974</v>
      </c>
      <c r="H19" s="28">
        <f>+'Net Working Capital'!I7</f>
        <v>23041.264518100288</v>
      </c>
      <c r="I19" s="28">
        <f>+'Net Working Capital'!J7</f>
        <v>24654.153034367315</v>
      </c>
      <c r="J19" s="28">
        <f>+'Net Working Capital'!K7</f>
        <v>25886.860686085678</v>
      </c>
    </row>
    <row r="20" spans="2:10" ht="14.25" customHeight="1">
      <c r="B20" s="33" t="s">
        <v>25</v>
      </c>
      <c r="C20" s="28">
        <f>'Net Working Capital'!D14</f>
        <v>21538</v>
      </c>
      <c r="D20" s="28">
        <f>'Net Working Capital'!E14</f>
        <v>24749</v>
      </c>
      <c r="E20" s="28">
        <f>'Net Working Capital'!F14</f>
        <v>28642</v>
      </c>
      <c r="F20" s="28">
        <f>+'Net Working Capital'!G14</f>
        <v>30784.204407001343</v>
      </c>
      <c r="G20" s="28">
        <f>+'Net Working Capital'!H14</f>
        <v>33862.624847701481</v>
      </c>
      <c r="H20" s="28">
        <f>+'Net Working Capital'!I14</f>
        <v>36910.261083994621</v>
      </c>
      <c r="I20" s="28">
        <f>+'Net Working Capital'!J14</f>
        <v>39493.979359874247</v>
      </c>
      <c r="J20" s="28">
        <f>+'Net Working Capital'!K14</f>
        <v>41468.678327867965</v>
      </c>
    </row>
    <row r="21" spans="2:10" ht="14.25" customHeight="1">
      <c r="B21" s="34" t="s">
        <v>26</v>
      </c>
      <c r="C21" s="35">
        <f t="shared" ref="C21:E21" si="13">C14+C15-C16-C17</f>
        <v>3158</v>
      </c>
      <c r="D21" s="35">
        <f t="shared" si="13"/>
        <v>2859</v>
      </c>
      <c r="E21" s="35">
        <f t="shared" si="13"/>
        <v>4698</v>
      </c>
      <c r="F21" s="35">
        <f>+F14+F15-F16-F17</f>
        <v>3900.6087954079253</v>
      </c>
      <c r="G21" s="35">
        <f t="shared" ref="G21:J21" si="14">+G14+G15-G16-G17</f>
        <v>5257.50807744753</v>
      </c>
      <c r="H21" s="35">
        <f t="shared" si="14"/>
        <v>5674.5239319706743</v>
      </c>
      <c r="I21" s="35">
        <f t="shared" si="14"/>
        <v>5799.5237266759677</v>
      </c>
      <c r="J21" s="35">
        <f t="shared" si="14"/>
        <v>5705.3134608663449</v>
      </c>
    </row>
    <row r="22" spans="2:10" ht="14.25" customHeight="1"/>
    <row r="23" spans="2:10" ht="14.25" customHeight="1">
      <c r="B23" s="23" t="s">
        <v>27</v>
      </c>
      <c r="C23" s="23"/>
      <c r="D23" s="23"/>
      <c r="E23" s="23"/>
      <c r="F23" s="23"/>
      <c r="G23" s="23"/>
      <c r="H23" s="23"/>
      <c r="I23" s="23"/>
      <c r="J23" s="23"/>
    </row>
    <row r="24" spans="2:10" ht="14.25" customHeight="1">
      <c r="B24" s="24" t="str">
        <f t="shared" ref="B24:J24" si="15">B3</f>
        <v>Fiscal Year</v>
      </c>
      <c r="C24" s="25">
        <f t="shared" si="15"/>
        <v>43830</v>
      </c>
      <c r="D24" s="25">
        <f t="shared" si="15"/>
        <v>44196</v>
      </c>
      <c r="E24" s="25">
        <f t="shared" si="15"/>
        <v>44561</v>
      </c>
      <c r="F24" s="26">
        <f t="shared" si="15"/>
        <v>44926</v>
      </c>
      <c r="G24" s="26">
        <f t="shared" si="15"/>
        <v>45291</v>
      </c>
      <c r="H24" s="26">
        <f t="shared" si="15"/>
        <v>45657</v>
      </c>
      <c r="I24" s="26">
        <f t="shared" si="15"/>
        <v>46022</v>
      </c>
      <c r="J24" s="26">
        <f t="shared" si="15"/>
        <v>46387</v>
      </c>
    </row>
    <row r="25" spans="2:10" ht="14.25" customHeight="1">
      <c r="B25" s="36" t="s">
        <v>28</v>
      </c>
      <c r="C25" s="36"/>
      <c r="D25" s="37">
        <f t="shared" ref="D25:E25" si="16">D4/C4-1</f>
        <v>9.2061059704131587E-2</v>
      </c>
      <c r="E25" s="37">
        <f t="shared" si="16"/>
        <v>0.17490900150514799</v>
      </c>
      <c r="F25" s="37">
        <v>0.1</v>
      </c>
      <c r="G25" s="37">
        <v>0.1</v>
      </c>
      <c r="H25" s="37">
        <v>0.09</v>
      </c>
      <c r="I25" s="37">
        <v>7.0000000000000007E-2</v>
      </c>
      <c r="J25" s="37">
        <v>0.05</v>
      </c>
    </row>
    <row r="26" spans="2:10" ht="14.25" customHeight="1">
      <c r="B26" s="36"/>
      <c r="C26" s="36"/>
      <c r="D26" s="36"/>
      <c r="E26" s="36"/>
      <c r="F26" s="36"/>
      <c r="G26" s="36"/>
      <c r="H26" s="36"/>
      <c r="I26" s="36"/>
      <c r="J26" s="36"/>
    </row>
    <row r="27" spans="2:10" ht="14.25" customHeight="1">
      <c r="B27" s="36" t="s">
        <v>29</v>
      </c>
      <c r="C27" s="37">
        <f t="shared" ref="C27:E27" si="17">C5/C4</f>
        <v>0.87022520841109863</v>
      </c>
      <c r="D27" s="37">
        <f t="shared" si="17"/>
        <v>0.86914206559087559</v>
      </c>
      <c r="E27" s="37">
        <f t="shared" si="17"/>
        <v>0.87115230517177145</v>
      </c>
      <c r="F27" s="37">
        <f t="shared" ref="F27:F28" si="18">AVERAGE(C27:E27)</f>
        <v>0.87017319305791518</v>
      </c>
      <c r="G27" s="37">
        <f t="shared" ref="G27:J27" si="19">F27</f>
        <v>0.87017319305791518</v>
      </c>
      <c r="H27" s="37">
        <f t="shared" si="19"/>
        <v>0.87017319305791518</v>
      </c>
      <c r="I27" s="37">
        <f t="shared" si="19"/>
        <v>0.87017319305791518</v>
      </c>
      <c r="J27" s="37">
        <f t="shared" si="19"/>
        <v>0.87017319305791518</v>
      </c>
    </row>
    <row r="28" spans="2:10" ht="14.25" customHeight="1">
      <c r="B28" s="36" t="s">
        <v>30</v>
      </c>
      <c r="C28" s="37">
        <f t="shared" ref="C28:E28" si="20">C8/C4</f>
        <v>8.8983189590250353E-2</v>
      </c>
      <c r="D28" s="37">
        <f t="shared" si="20"/>
        <v>8.8401964488099741E-2</v>
      </c>
      <c r="E28" s="37">
        <f t="shared" si="20"/>
        <v>8.5520775382919328E-2</v>
      </c>
      <c r="F28" s="37">
        <f t="shared" si="18"/>
        <v>8.7635309820423155E-2</v>
      </c>
      <c r="G28" s="37">
        <f t="shared" ref="G28:J28" si="21">F28</f>
        <v>8.7635309820423155E-2</v>
      </c>
      <c r="H28" s="37">
        <f t="shared" si="21"/>
        <v>8.7635309820423155E-2</v>
      </c>
      <c r="I28" s="37">
        <f t="shared" si="21"/>
        <v>8.7635309820423155E-2</v>
      </c>
      <c r="J28" s="37">
        <f t="shared" si="21"/>
        <v>8.7635309820423155E-2</v>
      </c>
    </row>
    <row r="29" spans="2:10" ht="14.25" customHeight="1">
      <c r="B29" s="36" t="s">
        <v>31</v>
      </c>
      <c r="C29" s="37">
        <f t="shared" ref="C29:E29" si="22">C13/C12</f>
        <v>0.22398142284146083</v>
      </c>
      <c r="D29" s="37">
        <f t="shared" si="22"/>
        <v>0.24066237350505978</v>
      </c>
      <c r="E29" s="37">
        <f t="shared" si="22"/>
        <v>0.23867024448419796</v>
      </c>
      <c r="F29" s="37">
        <v>0.21</v>
      </c>
      <c r="G29" s="37">
        <v>0.21</v>
      </c>
      <c r="H29" s="37">
        <v>0.21</v>
      </c>
      <c r="I29" s="37">
        <v>0.21</v>
      </c>
      <c r="J29" s="37">
        <v>0.21</v>
      </c>
    </row>
    <row r="30" spans="2:10" ht="14.25" customHeight="1"/>
    <row r="31" spans="2:10" ht="14.25" customHeight="1"/>
    <row r="32" spans="2:10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1000"/>
  <sheetViews>
    <sheetView showGridLines="0" workbookViewId="0">
      <selection activeCell="F7" sqref="F7"/>
    </sheetView>
  </sheetViews>
  <sheetFormatPr defaultColWidth="14.42578125" defaultRowHeight="15" customHeight="1"/>
  <cols>
    <col min="1" max="1" width="8.85546875" customWidth="1"/>
    <col min="2" max="2" width="27.85546875" customWidth="1"/>
    <col min="3" max="10" width="8.42578125" customWidth="1"/>
    <col min="11" max="26" width="8.85546875" customWidth="1"/>
  </cols>
  <sheetData>
    <row r="1" spans="2:10" ht="14.25" customHeight="1"/>
    <row r="2" spans="2:10" ht="14.25" customHeight="1">
      <c r="B2" s="23" t="s">
        <v>32</v>
      </c>
      <c r="C2" s="23"/>
      <c r="D2" s="23"/>
      <c r="E2" s="23"/>
      <c r="F2" s="23"/>
      <c r="G2" s="23"/>
      <c r="H2" s="23"/>
      <c r="I2" s="23"/>
      <c r="J2" s="23"/>
    </row>
    <row r="3" spans="2:10" ht="14.25" customHeight="1">
      <c r="B3" s="24" t="s">
        <v>8</v>
      </c>
      <c r="C3" s="25">
        <v>43830</v>
      </c>
      <c r="D3" s="25">
        <v>44196</v>
      </c>
      <c r="E3" s="25">
        <v>44561</v>
      </c>
      <c r="F3" s="26">
        <v>44926</v>
      </c>
      <c r="G3" s="26">
        <v>45291</v>
      </c>
      <c r="H3" s="26">
        <v>45657</v>
      </c>
      <c r="I3" s="26">
        <v>46022</v>
      </c>
      <c r="J3" s="26">
        <v>46387</v>
      </c>
    </row>
    <row r="4" spans="2:10" ht="14.25" customHeight="1">
      <c r="B4" s="27" t="s">
        <v>33</v>
      </c>
      <c r="C4" s="38">
        <f>SUM('Balance Sheet'!C11:C12)</f>
        <v>19681</v>
      </c>
      <c r="D4" s="38">
        <f>SUM('Balance Sheet'!D11:D12)</f>
        <v>20890</v>
      </c>
      <c r="E4" s="38">
        <f>SUM('Balance Sheet'!E11:E12)</f>
        <v>24595</v>
      </c>
      <c r="F4" s="38">
        <f>+E7</f>
        <v>26382</v>
      </c>
      <c r="G4" s="38">
        <f t="shared" ref="G4:J4" si="0">+F7</f>
        <v>28343.342884548416</v>
      </c>
      <c r="H4" s="38">
        <f t="shared" si="0"/>
        <v>30450.499805590225</v>
      </c>
      <c r="I4" s="38">
        <f t="shared" si="0"/>
        <v>32714.311158961362</v>
      </c>
      <c r="J4" s="38">
        <f t="shared" si="0"/>
        <v>35146.4232586707</v>
      </c>
    </row>
    <row r="5" spans="2:10" ht="14.25" customHeight="1">
      <c r="B5" s="27" t="s">
        <v>34</v>
      </c>
      <c r="C5" s="38">
        <f>'Free Cash Flow'!C11</f>
        <v>1492</v>
      </c>
      <c r="D5" s="38">
        <f>'Free Cash Flow'!D11</f>
        <v>1645</v>
      </c>
      <c r="E5" s="38">
        <f>'Free Cash Flow'!E11</f>
        <v>1781</v>
      </c>
      <c r="F5" s="38">
        <f>+F4*F11</f>
        <v>1995.9571154515827</v>
      </c>
      <c r="G5" s="38">
        <f t="shared" ref="G5:J5" si="1">+G4*G11</f>
        <v>2144.3445116404519</v>
      </c>
      <c r="H5" s="38">
        <f t="shared" si="1"/>
        <v>2303.7636174673962</v>
      </c>
      <c r="I5" s="38">
        <f t="shared" si="1"/>
        <v>2475.0345741348665</v>
      </c>
      <c r="J5" s="38">
        <f t="shared" si="1"/>
        <v>2659.0384954065948</v>
      </c>
    </row>
    <row r="6" spans="2:10" ht="14.25" customHeight="1">
      <c r="B6" s="27" t="s">
        <v>35</v>
      </c>
      <c r="C6" s="38">
        <f t="shared" ref="C6:E6" si="2">C7-C4+C5</f>
        <v>2701</v>
      </c>
      <c r="D6" s="38">
        <f t="shared" si="2"/>
        <v>5350</v>
      </c>
      <c r="E6" s="38">
        <f t="shared" si="2"/>
        <v>3568</v>
      </c>
      <c r="F6" s="38">
        <f>+F4*F12</f>
        <v>3957.2999999999997</v>
      </c>
      <c r="G6" s="38">
        <f t="shared" ref="G6:J6" si="3">+G4*G12</f>
        <v>4251.501432682262</v>
      </c>
      <c r="H6" s="38">
        <f t="shared" si="3"/>
        <v>4567.5749708385338</v>
      </c>
      <c r="I6" s="38">
        <f t="shared" si="3"/>
        <v>4907.1466738442041</v>
      </c>
      <c r="J6" s="38">
        <f t="shared" si="3"/>
        <v>5271.9634888006049</v>
      </c>
    </row>
    <row r="7" spans="2:10" ht="14.25" customHeight="1">
      <c r="B7" s="39" t="s">
        <v>36</v>
      </c>
      <c r="C7" s="40">
        <f>SUM('Balance Sheet'!D11:D12)</f>
        <v>20890</v>
      </c>
      <c r="D7" s="40">
        <f>SUM('Balance Sheet'!E11:E12)</f>
        <v>24595</v>
      </c>
      <c r="E7" s="40">
        <f>SUM('Balance Sheet'!F11:F12)</f>
        <v>26382</v>
      </c>
      <c r="F7" s="40">
        <f>+F4-F5+F6</f>
        <v>28343.342884548416</v>
      </c>
      <c r="G7" s="40">
        <f t="shared" ref="G7:J7" si="4">+G4-G5+G6</f>
        <v>30450.499805590225</v>
      </c>
      <c r="H7" s="40">
        <f t="shared" si="4"/>
        <v>32714.311158961362</v>
      </c>
      <c r="I7" s="40">
        <f t="shared" si="4"/>
        <v>35146.4232586707</v>
      </c>
      <c r="J7" s="40">
        <f t="shared" si="4"/>
        <v>37759.348252064709</v>
      </c>
    </row>
    <row r="8" spans="2:10" ht="14.25" customHeight="1">
      <c r="E8" s="38"/>
    </row>
    <row r="9" spans="2:10" ht="14.25" customHeight="1">
      <c r="B9" s="23" t="s">
        <v>27</v>
      </c>
      <c r="C9" s="23"/>
      <c r="D9" s="23"/>
      <c r="E9" s="23"/>
      <c r="F9" s="23"/>
      <c r="G9" s="23"/>
      <c r="H9" s="23"/>
      <c r="I9" s="23"/>
      <c r="J9" s="23"/>
    </row>
    <row r="10" spans="2:10" ht="14.25" customHeight="1">
      <c r="B10" s="24" t="s">
        <v>8</v>
      </c>
      <c r="C10" s="25">
        <v>43830</v>
      </c>
      <c r="D10" s="25">
        <v>44196</v>
      </c>
      <c r="E10" s="25">
        <v>44561</v>
      </c>
      <c r="F10" s="26">
        <v>44926</v>
      </c>
      <c r="G10" s="26">
        <v>45291</v>
      </c>
      <c r="H10" s="26">
        <v>45657</v>
      </c>
      <c r="I10" s="26">
        <v>46022</v>
      </c>
      <c r="J10" s="26">
        <v>46387</v>
      </c>
    </row>
    <row r="11" spans="2:10" ht="14.25" customHeight="1">
      <c r="B11" s="36" t="s">
        <v>37</v>
      </c>
      <c r="C11" s="37">
        <f t="shared" ref="C11:E11" si="5">C5/C4</f>
        <v>7.5809156038819159E-2</v>
      </c>
      <c r="D11" s="37">
        <f t="shared" si="5"/>
        <v>7.8745811393011012E-2</v>
      </c>
      <c r="E11" s="37">
        <f t="shared" si="5"/>
        <v>7.2413092091888592E-2</v>
      </c>
      <c r="F11" s="37">
        <f>AVERAGE(C11:E11)</f>
        <v>7.5656019841239583E-2</v>
      </c>
      <c r="G11" s="37">
        <f t="shared" ref="G11:J11" si="6">F11</f>
        <v>7.5656019841239583E-2</v>
      </c>
      <c r="H11" s="37">
        <f t="shared" si="6"/>
        <v>7.5656019841239583E-2</v>
      </c>
      <c r="I11" s="37">
        <f t="shared" si="6"/>
        <v>7.5656019841239583E-2</v>
      </c>
      <c r="J11" s="37">
        <f t="shared" si="6"/>
        <v>7.5656019841239583E-2</v>
      </c>
    </row>
    <row r="12" spans="2:10" ht="14.25" customHeight="1">
      <c r="B12" s="36" t="s">
        <v>38</v>
      </c>
      <c r="C12" s="37">
        <f t="shared" ref="C12:E12" si="7">C6/C4</f>
        <v>0.13723896143488643</v>
      </c>
      <c r="D12" s="37">
        <f t="shared" si="7"/>
        <v>0.25610339875538535</v>
      </c>
      <c r="E12" s="37">
        <f t="shared" si="7"/>
        <v>0.14507013620654605</v>
      </c>
      <c r="F12" s="37">
        <v>0.15</v>
      </c>
      <c r="G12" s="37">
        <f t="shared" ref="G12:J12" si="8">F12</f>
        <v>0.15</v>
      </c>
      <c r="H12" s="37">
        <f t="shared" si="8"/>
        <v>0.15</v>
      </c>
      <c r="I12" s="37">
        <f t="shared" si="8"/>
        <v>0.15</v>
      </c>
      <c r="J12" s="37">
        <f t="shared" si="8"/>
        <v>0.15</v>
      </c>
    </row>
    <row r="13" spans="2:10" ht="14.25" customHeight="1">
      <c r="C13" s="41"/>
      <c r="D13" s="41"/>
      <c r="E13" s="41"/>
      <c r="F13" s="41"/>
      <c r="G13" s="41"/>
      <c r="H13" s="41"/>
      <c r="I13" s="41"/>
      <c r="J13" s="41"/>
    </row>
    <row r="14" spans="2:10" ht="14.25" customHeight="1">
      <c r="C14" s="41"/>
      <c r="D14" s="41"/>
      <c r="E14" s="41"/>
      <c r="F14" s="41"/>
      <c r="G14" s="41"/>
      <c r="H14" s="41"/>
      <c r="I14" s="41"/>
      <c r="J14" s="41"/>
    </row>
    <row r="15" spans="2:10" ht="14.25" customHeight="1">
      <c r="C15" s="41"/>
      <c r="D15" s="41"/>
      <c r="E15" s="41"/>
      <c r="F15" s="41"/>
      <c r="G15" s="41"/>
      <c r="H15" s="41"/>
      <c r="I15" s="41"/>
      <c r="J15" s="41"/>
    </row>
    <row r="16" spans="2:10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N1000"/>
  <sheetViews>
    <sheetView showGridLines="0" workbookViewId="0">
      <selection activeCell="G19" sqref="G19"/>
    </sheetView>
  </sheetViews>
  <sheetFormatPr defaultColWidth="14.42578125" defaultRowHeight="15" customHeight="1"/>
  <cols>
    <col min="1" max="1" width="8.85546875" customWidth="1"/>
    <col min="2" max="2" width="40.5703125" customWidth="1"/>
    <col min="3" max="3" width="9.5703125" customWidth="1"/>
    <col min="4" max="26" width="8.85546875" customWidth="1"/>
  </cols>
  <sheetData>
    <row r="1" spans="2:14" ht="14.25" customHeight="1"/>
    <row r="2" spans="2:14" ht="14.25" customHeight="1">
      <c r="B2" s="23" t="s">
        <v>39</v>
      </c>
      <c r="C2" s="23"/>
      <c r="D2" s="23"/>
      <c r="E2" s="23"/>
      <c r="F2" s="23"/>
      <c r="G2" s="23"/>
      <c r="H2" s="23"/>
      <c r="I2" s="23"/>
      <c r="J2" s="23"/>
      <c r="K2" s="23"/>
    </row>
    <row r="3" spans="2:14" ht="14.25" customHeight="1">
      <c r="B3" s="24" t="s">
        <v>8</v>
      </c>
      <c r="C3" s="25">
        <v>43465</v>
      </c>
      <c r="D3" s="25">
        <v>43830</v>
      </c>
      <c r="E3" s="25">
        <v>44196</v>
      </c>
      <c r="F3" s="25">
        <v>44561</v>
      </c>
      <c r="G3" s="26">
        <v>44926</v>
      </c>
      <c r="H3" s="26">
        <v>45291</v>
      </c>
      <c r="I3" s="26">
        <v>45657</v>
      </c>
      <c r="J3" s="26">
        <v>46022</v>
      </c>
      <c r="K3" s="26">
        <v>46387</v>
      </c>
    </row>
    <row r="4" spans="2:14" ht="14.25" customHeight="1">
      <c r="B4" s="27" t="s">
        <v>40</v>
      </c>
      <c r="C4" s="38">
        <f>'Balance Sheet'!C6</f>
        <v>1669</v>
      </c>
      <c r="D4" s="38">
        <f>'Balance Sheet'!D6</f>
        <v>1535</v>
      </c>
      <c r="E4" s="38">
        <f>'Balance Sheet'!E6</f>
        <v>1550</v>
      </c>
      <c r="F4" s="38">
        <f>'Balance Sheet'!F6</f>
        <v>1803</v>
      </c>
      <c r="G4" s="38">
        <f>+(G21/365)*G18</f>
        <v>2143.6557893925269</v>
      </c>
      <c r="H4" s="38">
        <f t="shared" ref="H4:K4" si="0">+(H21/365)*H18</f>
        <v>2358.0213683317797</v>
      </c>
      <c r="I4" s="38">
        <f t="shared" si="0"/>
        <v>2570.24329148164</v>
      </c>
      <c r="J4" s="38">
        <f t="shared" si="0"/>
        <v>2750.1603218853552</v>
      </c>
      <c r="K4" s="38">
        <f t="shared" si="0"/>
        <v>2887.6683379796232</v>
      </c>
      <c r="N4" t="s">
        <v>181</v>
      </c>
    </row>
    <row r="5" spans="2:14" ht="14.25" customHeight="1">
      <c r="B5" s="27" t="s">
        <v>41</v>
      </c>
      <c r="C5" s="38">
        <f>'Balance Sheet'!C7</f>
        <v>11040</v>
      </c>
      <c r="D5" s="38">
        <f>'Balance Sheet'!D7</f>
        <v>11395</v>
      </c>
      <c r="E5" s="38">
        <f>'Balance Sheet'!E7</f>
        <v>12242</v>
      </c>
      <c r="F5" s="38">
        <f>'Balance Sheet'!F7</f>
        <v>14215</v>
      </c>
      <c r="G5" s="38">
        <f>+(G22/365)*G19</f>
        <v>15867.905235481787</v>
      </c>
      <c r="H5" s="38">
        <f t="shared" ref="H5:K5" si="1">+(H22/365)*H19</f>
        <v>17454.695759029968</v>
      </c>
      <c r="I5" s="38">
        <f t="shared" si="1"/>
        <v>19025.618377342664</v>
      </c>
      <c r="J5" s="38">
        <f t="shared" si="1"/>
        <v>20357.411663756655</v>
      </c>
      <c r="K5" s="38">
        <f t="shared" si="1"/>
        <v>21375.282246944487</v>
      </c>
    </row>
    <row r="6" spans="2:14" ht="14.25" customHeight="1">
      <c r="B6" s="27" t="s">
        <v>42</v>
      </c>
      <c r="C6" s="38">
        <f>'Balance Sheet'!C8</f>
        <v>321</v>
      </c>
      <c r="D6" s="38">
        <f>'Balance Sheet'!D8</f>
        <v>1111</v>
      </c>
      <c r="E6" s="38">
        <f>'Balance Sheet'!E8</f>
        <v>1023</v>
      </c>
      <c r="F6" s="38">
        <f>'Balance Sheet'!F8</f>
        <v>1312</v>
      </c>
      <c r="G6" s="38">
        <f>+G25*G18</f>
        <v>1205.5069635329301</v>
      </c>
      <c r="H6" s="38">
        <f t="shared" ref="H6:K6" si="2">+H25*H18</f>
        <v>1326.0576598862233</v>
      </c>
      <c r="I6" s="38">
        <f t="shared" si="2"/>
        <v>1445.4028492759833</v>
      </c>
      <c r="J6" s="38">
        <f t="shared" si="2"/>
        <v>1546.5810487253025</v>
      </c>
      <c r="K6" s="38">
        <f t="shared" si="2"/>
        <v>1623.9101011615676</v>
      </c>
    </row>
    <row r="7" spans="2:14" ht="14.25" customHeight="1">
      <c r="B7" s="39" t="s">
        <v>24</v>
      </c>
      <c r="C7" s="40">
        <f t="shared" ref="C7:K7" si="3">SUM(C4:C6)</f>
        <v>13030</v>
      </c>
      <c r="D7" s="40">
        <f t="shared" si="3"/>
        <v>14041</v>
      </c>
      <c r="E7" s="40">
        <f t="shared" si="3"/>
        <v>14815</v>
      </c>
      <c r="F7" s="40">
        <f t="shared" si="3"/>
        <v>17330</v>
      </c>
      <c r="G7" s="40">
        <f t="shared" si="3"/>
        <v>19217.067988407245</v>
      </c>
      <c r="H7" s="40">
        <f t="shared" si="3"/>
        <v>21138.774787247974</v>
      </c>
      <c r="I7" s="40">
        <f t="shared" si="3"/>
        <v>23041.264518100288</v>
      </c>
      <c r="J7" s="40">
        <f t="shared" si="3"/>
        <v>24654.153034367315</v>
      </c>
      <c r="K7" s="40">
        <f t="shared" si="3"/>
        <v>25886.860686085678</v>
      </c>
    </row>
    <row r="8" spans="2:14" ht="14.25" customHeight="1"/>
    <row r="9" spans="2:14" ht="14.25" customHeight="1">
      <c r="B9" s="27" t="s">
        <v>43</v>
      </c>
      <c r="C9" s="38">
        <f>'Balance Sheet'!C16</f>
        <v>11237</v>
      </c>
      <c r="D9" s="38">
        <f>'Balance Sheet'!D16</f>
        <v>11679</v>
      </c>
      <c r="E9" s="38">
        <f>'Balance Sheet'!E16</f>
        <v>14172</v>
      </c>
      <c r="F9" s="38">
        <f>'Balance Sheet'!F16</f>
        <v>16278</v>
      </c>
      <c r="G9" s="38">
        <f>+(G23/365)*G19</f>
        <v>17215.40219047969</v>
      </c>
      <c r="H9" s="38">
        <f t="shared" ref="H9:K9" si="4">+(H23/365)*H19</f>
        <v>18936.942409527663</v>
      </c>
      <c r="I9" s="38">
        <f t="shared" si="4"/>
        <v>20641.267226385149</v>
      </c>
      <c r="J9" s="38">
        <f t="shared" si="4"/>
        <v>22086.155932232115</v>
      </c>
      <c r="K9" s="38">
        <f t="shared" si="4"/>
        <v>23190.463728843722</v>
      </c>
    </row>
    <row r="10" spans="2:14" ht="14.25" customHeight="1">
      <c r="B10" s="27" t="s">
        <v>44</v>
      </c>
      <c r="C10" s="38">
        <f>'Balance Sheet'!C17</f>
        <v>2994</v>
      </c>
      <c r="D10" s="38">
        <f>'Balance Sheet'!D17</f>
        <v>3176</v>
      </c>
      <c r="E10" s="38">
        <f>'Balance Sheet'!E17</f>
        <v>3605</v>
      </c>
      <c r="F10" s="38">
        <f>'Balance Sheet'!F17</f>
        <v>4090</v>
      </c>
      <c r="G10" s="38">
        <f>+G26*G18</f>
        <v>4549.6063613377883</v>
      </c>
      <c r="H10" s="38">
        <f t="shared" ref="H10:K10" si="5">+H26*H18</f>
        <v>5004.5669974715684</v>
      </c>
      <c r="I10" s="38">
        <f t="shared" si="5"/>
        <v>5454.9780272440094</v>
      </c>
      <c r="J10" s="38">
        <f t="shared" si="5"/>
        <v>5836.8264891510908</v>
      </c>
      <c r="K10" s="38">
        <f t="shared" si="5"/>
        <v>6128.6678136086457</v>
      </c>
    </row>
    <row r="11" spans="2:14" ht="14.25" customHeight="1">
      <c r="B11" s="27" t="s">
        <v>45</v>
      </c>
      <c r="C11" s="38">
        <f>'Balance Sheet'!C18</f>
        <v>1057</v>
      </c>
      <c r="D11" s="38">
        <f>'Balance Sheet'!D18</f>
        <v>1180</v>
      </c>
      <c r="E11" s="38">
        <f>'Balance Sheet'!E18</f>
        <v>1393</v>
      </c>
      <c r="F11" s="38">
        <f>'Balance Sheet'!F18</f>
        <v>1671</v>
      </c>
      <c r="G11" s="38">
        <f>+G18*G27</f>
        <v>1728.2294341420902</v>
      </c>
      <c r="H11" s="38">
        <f t="shared" ref="H11:K11" si="6">+H18*H27</f>
        <v>1901.0523775562995</v>
      </c>
      <c r="I11" s="38">
        <f t="shared" si="6"/>
        <v>2072.1470915363666</v>
      </c>
      <c r="J11" s="38">
        <f t="shared" si="6"/>
        <v>2217.1973879439124</v>
      </c>
      <c r="K11" s="38">
        <f t="shared" si="6"/>
        <v>2328.0572573411082</v>
      </c>
    </row>
    <row r="12" spans="2:14" ht="14.25" customHeight="1">
      <c r="B12" s="27" t="s">
        <v>46</v>
      </c>
      <c r="C12" s="38">
        <f>'Balance Sheet'!C19</f>
        <v>1624</v>
      </c>
      <c r="D12" s="38">
        <f>'Balance Sheet'!D19</f>
        <v>1711</v>
      </c>
      <c r="E12" s="38">
        <f>'Balance Sheet'!E19</f>
        <v>1851</v>
      </c>
      <c r="F12" s="38">
        <f>'Balance Sheet'!F19</f>
        <v>2042</v>
      </c>
      <c r="G12" s="38">
        <f>+G18*G28</f>
        <v>2381.381646728039</v>
      </c>
      <c r="H12" s="38">
        <f t="shared" ref="H12:K12" si="7">+H18*H28</f>
        <v>2619.5198114008431</v>
      </c>
      <c r="I12" s="38">
        <f t="shared" si="7"/>
        <v>2855.276594426919</v>
      </c>
      <c r="J12" s="38">
        <f t="shared" si="7"/>
        <v>3055.1459560368039</v>
      </c>
      <c r="K12" s="38">
        <f t="shared" si="7"/>
        <v>3207.9032538386446</v>
      </c>
    </row>
    <row r="13" spans="2:14" ht="14.25" customHeight="1">
      <c r="B13" s="27" t="s">
        <v>47</v>
      </c>
      <c r="C13" s="38">
        <f>'Balance Sheet'!C21</f>
        <v>2924</v>
      </c>
      <c r="D13" s="38">
        <f>'Balance Sheet'!D21</f>
        <v>3792</v>
      </c>
      <c r="E13" s="38">
        <f>'Balance Sheet'!E21</f>
        <v>3728</v>
      </c>
      <c r="F13" s="38">
        <f>'Balance Sheet'!F21</f>
        <v>4561</v>
      </c>
      <c r="G13" s="38">
        <f>+G18*G29</f>
        <v>4909.5847743137392</v>
      </c>
      <c r="H13" s="38">
        <f t="shared" ref="H13:K13" si="8">+H18*H29</f>
        <v>5400.5432517451136</v>
      </c>
      <c r="I13" s="38">
        <f t="shared" si="8"/>
        <v>5886.5921444021742</v>
      </c>
      <c r="J13" s="38">
        <f t="shared" si="8"/>
        <v>6298.6535945103269</v>
      </c>
      <c r="K13" s="38">
        <f t="shared" si="8"/>
        <v>6613.586274235844</v>
      </c>
    </row>
    <row r="14" spans="2:14" ht="14.25" customHeight="1">
      <c r="B14" s="39" t="s">
        <v>48</v>
      </c>
      <c r="C14" s="40">
        <f t="shared" ref="C14:K14" si="9">SUM(C9:C13)</f>
        <v>19836</v>
      </c>
      <c r="D14" s="40">
        <f t="shared" si="9"/>
        <v>21538</v>
      </c>
      <c r="E14" s="40">
        <f t="shared" si="9"/>
        <v>24749</v>
      </c>
      <c r="F14" s="40">
        <f t="shared" si="9"/>
        <v>28642</v>
      </c>
      <c r="G14" s="40">
        <f t="shared" si="9"/>
        <v>30784.204407001343</v>
      </c>
      <c r="H14" s="40">
        <f t="shared" si="9"/>
        <v>33862.624847701481</v>
      </c>
      <c r="I14" s="40">
        <f t="shared" si="9"/>
        <v>36910.261083994621</v>
      </c>
      <c r="J14" s="40">
        <f t="shared" si="9"/>
        <v>39493.979359874247</v>
      </c>
      <c r="K14" s="40">
        <f t="shared" si="9"/>
        <v>41468.678327867965</v>
      </c>
    </row>
    <row r="15" spans="2:14" ht="14.25" customHeight="1">
      <c r="B15" s="66" t="s">
        <v>23</v>
      </c>
      <c r="C15" s="67">
        <f>+C7-C14</f>
        <v>-6806</v>
      </c>
      <c r="D15" s="67">
        <f t="shared" ref="D15:K15" si="10">+D7-D14</f>
        <v>-7497</v>
      </c>
      <c r="E15" s="67">
        <f t="shared" si="10"/>
        <v>-9934</v>
      </c>
      <c r="F15" s="67">
        <f t="shared" si="10"/>
        <v>-11312</v>
      </c>
      <c r="G15" s="67">
        <f t="shared" si="10"/>
        <v>-11567.136418594098</v>
      </c>
      <c r="H15" s="67">
        <f t="shared" si="10"/>
        <v>-12723.850060453507</v>
      </c>
      <c r="I15" s="67">
        <f t="shared" si="10"/>
        <v>-13868.996565894333</v>
      </c>
      <c r="J15" s="67">
        <f t="shared" si="10"/>
        <v>-14839.826325506932</v>
      </c>
      <c r="K15" s="67">
        <f t="shared" si="10"/>
        <v>-15581.817641782287</v>
      </c>
    </row>
    <row r="16" spans="2:14" ht="14.25" customHeight="1">
      <c r="B16" s="23" t="s">
        <v>27</v>
      </c>
      <c r="C16" s="23"/>
      <c r="D16" s="23"/>
      <c r="E16" s="23"/>
      <c r="F16" s="23"/>
      <c r="G16" s="23"/>
      <c r="H16" s="23"/>
      <c r="I16" s="23"/>
      <c r="J16" s="23"/>
      <c r="K16" s="23"/>
    </row>
    <row r="17" spans="2:11" ht="14.25" customHeight="1">
      <c r="B17" s="24" t="s">
        <v>8</v>
      </c>
      <c r="C17" s="25">
        <v>43465</v>
      </c>
      <c r="D17" s="25">
        <v>43830</v>
      </c>
      <c r="E17" s="25">
        <v>44196</v>
      </c>
      <c r="F17" s="25">
        <v>44561</v>
      </c>
      <c r="G17" s="26">
        <v>44926</v>
      </c>
      <c r="H17" s="26">
        <v>45291</v>
      </c>
      <c r="I17" s="26">
        <v>45657</v>
      </c>
      <c r="J17" s="26">
        <v>46022</v>
      </c>
      <c r="K17" s="26">
        <v>46387</v>
      </c>
    </row>
    <row r="18" spans="2:11" ht="14.25" customHeight="1">
      <c r="B18" s="36" t="s">
        <v>9</v>
      </c>
      <c r="C18" s="42">
        <v>141576</v>
      </c>
      <c r="D18" s="42">
        <f>'Free Cash Flow'!C4</f>
        <v>152703</v>
      </c>
      <c r="E18" s="42">
        <f>'Free Cash Flow'!D4</f>
        <v>166761</v>
      </c>
      <c r="F18" s="42">
        <f>'Free Cash Flow'!E4</f>
        <v>195929</v>
      </c>
      <c r="G18" s="42">
        <f>'Free Cash Flow'!F4</f>
        <v>215521.90000000002</v>
      </c>
      <c r="H18" s="42">
        <f>'Free Cash Flow'!G4</f>
        <v>237074.09000000005</v>
      </c>
      <c r="I18" s="42">
        <f>'Free Cash Flow'!H4</f>
        <v>258410.75810000006</v>
      </c>
      <c r="J18" s="42">
        <f>'Free Cash Flow'!I4</f>
        <v>276499.51116700011</v>
      </c>
      <c r="K18" s="42">
        <f>'Free Cash Flow'!J4</f>
        <v>290324.48672535014</v>
      </c>
    </row>
    <row r="19" spans="2:11" ht="14.25" customHeight="1">
      <c r="B19" s="36" t="s">
        <v>10</v>
      </c>
      <c r="C19" s="42">
        <v>123152</v>
      </c>
      <c r="D19" s="42">
        <f>'Free Cash Flow'!C5</f>
        <v>132886</v>
      </c>
      <c r="E19" s="42">
        <f>'Free Cash Flow'!D5</f>
        <v>144939</v>
      </c>
      <c r="F19" s="42">
        <f>'Free Cash Flow'!E5</f>
        <v>170684</v>
      </c>
      <c r="G19" s="42">
        <f>'Free Cash Flow'!F5</f>
        <v>187541.37989690871</v>
      </c>
      <c r="H19" s="42">
        <f>'Free Cash Flow'!G5</f>
        <v>206295.51788659961</v>
      </c>
      <c r="I19" s="42">
        <f>'Free Cash Flow'!H5</f>
        <v>224862.11449639357</v>
      </c>
      <c r="J19" s="42">
        <f>'Free Cash Flow'!I5</f>
        <v>240602.46251114114</v>
      </c>
      <c r="K19" s="42">
        <f>'Free Cash Flow'!J5</f>
        <v>252632.58563669823</v>
      </c>
    </row>
    <row r="20" spans="2:11" ht="14.25" customHeight="1">
      <c r="B20" s="36"/>
      <c r="C20" s="36"/>
      <c r="D20" s="36"/>
      <c r="E20" s="36"/>
      <c r="F20" s="36"/>
      <c r="G20" s="36"/>
      <c r="H20" s="36"/>
      <c r="I20" s="36"/>
      <c r="J20" s="36"/>
      <c r="K20" s="36"/>
    </row>
    <row r="21" spans="2:11" ht="14.25" customHeight="1">
      <c r="B21" s="36" t="s">
        <v>49</v>
      </c>
      <c r="C21" s="43">
        <f>+(C4/C18)*360</f>
        <v>4.2439396507882696</v>
      </c>
      <c r="D21" s="43">
        <f t="shared" ref="D21:F21" si="11">+(D4/D18)*360</f>
        <v>3.6187894147462725</v>
      </c>
      <c r="E21" s="43">
        <f t="shared" si="11"/>
        <v>3.3461061039451674</v>
      </c>
      <c r="F21" s="43">
        <f t="shared" si="11"/>
        <v>3.3128327098081449</v>
      </c>
      <c r="G21" s="43">
        <f>+AVERAGE(C21:F21)</f>
        <v>3.6304169698219635</v>
      </c>
      <c r="H21" s="43">
        <f>+G21</f>
        <v>3.6304169698219635</v>
      </c>
      <c r="I21" s="43">
        <f t="shared" ref="I21:K21" si="12">+H21</f>
        <v>3.6304169698219635</v>
      </c>
      <c r="J21" s="43">
        <f t="shared" si="12"/>
        <v>3.6304169698219635</v>
      </c>
      <c r="K21" s="43">
        <f t="shared" si="12"/>
        <v>3.6304169698219635</v>
      </c>
    </row>
    <row r="22" spans="2:11" ht="14.25" customHeight="1">
      <c r="B22" s="36" t="s">
        <v>50</v>
      </c>
      <c r="C22" s="43">
        <f>+(C5/C19)*360</f>
        <v>32.272313888527997</v>
      </c>
      <c r="D22" s="43">
        <f t="shared" ref="D22:F22" si="13">+(D5/D19)*360</f>
        <v>30.870069081769337</v>
      </c>
      <c r="E22" s="43">
        <f t="shared" si="13"/>
        <v>30.406722828224286</v>
      </c>
      <c r="F22" s="43">
        <f t="shared" si="13"/>
        <v>29.981720606500904</v>
      </c>
      <c r="G22" s="43">
        <f t="shared" ref="G22:G23" si="14">+AVERAGE(C22:F22)</f>
        <v>30.882706601255631</v>
      </c>
      <c r="H22" s="43">
        <f t="shared" ref="H22:K23" si="15">+G22</f>
        <v>30.882706601255631</v>
      </c>
      <c r="I22" s="43">
        <f t="shared" si="15"/>
        <v>30.882706601255631</v>
      </c>
      <c r="J22" s="43">
        <f t="shared" si="15"/>
        <v>30.882706601255631</v>
      </c>
      <c r="K22" s="43">
        <f t="shared" si="15"/>
        <v>30.882706601255631</v>
      </c>
    </row>
    <row r="23" spans="2:11" ht="14.25" customHeight="1">
      <c r="B23" s="36" t="s">
        <v>51</v>
      </c>
      <c r="C23" s="43">
        <f>+(C9/C19)*360</f>
        <v>32.848187605560611</v>
      </c>
      <c r="D23" s="43">
        <f t="shared" ref="D23:F23" si="16">+(D9/D19)*360</f>
        <v>31.639450355944192</v>
      </c>
      <c r="E23" s="43">
        <f t="shared" si="16"/>
        <v>35.200463643325811</v>
      </c>
      <c r="F23" s="43">
        <f t="shared" si="16"/>
        <v>34.332919312882282</v>
      </c>
      <c r="G23" s="43">
        <f t="shared" si="14"/>
        <v>33.505255229428229</v>
      </c>
      <c r="H23" s="43">
        <f t="shared" si="15"/>
        <v>33.505255229428229</v>
      </c>
      <c r="I23" s="43">
        <f t="shared" si="15"/>
        <v>33.505255229428229</v>
      </c>
      <c r="J23" s="43">
        <f t="shared" si="15"/>
        <v>33.505255229428229</v>
      </c>
      <c r="K23" s="43">
        <f t="shared" si="15"/>
        <v>33.505255229428229</v>
      </c>
    </row>
    <row r="24" spans="2:11" ht="14.25" customHeight="1">
      <c r="B24" s="36"/>
      <c r="C24" s="36"/>
      <c r="D24" s="36"/>
      <c r="E24" s="36"/>
      <c r="F24" s="36"/>
      <c r="G24" s="36"/>
      <c r="H24" s="36"/>
      <c r="I24" s="36"/>
      <c r="J24" s="36"/>
      <c r="K24" s="36"/>
    </row>
    <row r="25" spans="2:11" ht="14.25" customHeight="1">
      <c r="B25" s="36" t="s">
        <v>52</v>
      </c>
      <c r="C25" s="37">
        <f>+C6/C18</f>
        <v>2.2673334463468382E-3</v>
      </c>
      <c r="D25" s="37">
        <f t="shared" ref="D25:F25" si="17">+D6/D18</f>
        <v>7.2755610564298016E-3</v>
      </c>
      <c r="E25" s="37">
        <f t="shared" si="17"/>
        <v>6.1345278572328063E-3</v>
      </c>
      <c r="F25" s="37">
        <f t="shared" si="17"/>
        <v>6.6963032527088892E-3</v>
      </c>
      <c r="G25" s="37">
        <f>+AVERAGE(C25:F25)</f>
        <v>5.5934314031795837E-3</v>
      </c>
      <c r="H25" s="37">
        <f>+G25</f>
        <v>5.5934314031795837E-3</v>
      </c>
      <c r="I25" s="37">
        <f t="shared" ref="I25:K25" si="18">+H25</f>
        <v>5.5934314031795837E-3</v>
      </c>
      <c r="J25" s="37">
        <f t="shared" si="18"/>
        <v>5.5934314031795837E-3</v>
      </c>
      <c r="K25" s="37">
        <f t="shared" si="18"/>
        <v>5.5934314031795837E-3</v>
      </c>
    </row>
    <row r="26" spans="2:11" ht="14.25" customHeight="1">
      <c r="B26" s="36" t="s">
        <v>53</v>
      </c>
      <c r="C26" s="37">
        <f>+C10/C18</f>
        <v>2.1147652144431258E-2</v>
      </c>
      <c r="D26" s="37">
        <f t="shared" ref="D26:F26" si="19">+D10/D18</f>
        <v>2.0798543578056751E-2</v>
      </c>
      <c r="E26" s="37">
        <f t="shared" si="19"/>
        <v>2.1617764345380514E-2</v>
      </c>
      <c r="F26" s="37">
        <f t="shared" si="19"/>
        <v>2.0874908767972072E-2</v>
      </c>
      <c r="G26" s="37">
        <f t="shared" ref="G26:G29" si="20">+AVERAGE(C26:F26)</f>
        <v>2.1109717208960148E-2</v>
      </c>
      <c r="H26" s="37">
        <f t="shared" ref="H26:K29" si="21">+G26</f>
        <v>2.1109717208960148E-2</v>
      </c>
      <c r="I26" s="37">
        <f t="shared" si="21"/>
        <v>2.1109717208960148E-2</v>
      </c>
      <c r="J26" s="37">
        <f t="shared" si="21"/>
        <v>2.1109717208960148E-2</v>
      </c>
      <c r="K26" s="37">
        <f t="shared" si="21"/>
        <v>2.1109717208960148E-2</v>
      </c>
    </row>
    <row r="27" spans="2:11" ht="14.25" customHeight="1">
      <c r="B27" s="36" t="s">
        <v>54</v>
      </c>
      <c r="C27" s="37">
        <f>+C11/C18</f>
        <v>7.4659546815844489E-3</v>
      </c>
      <c r="D27" s="37">
        <f t="shared" ref="D27:F27" si="22">+D11/D18</f>
        <v>7.7274185837868277E-3</v>
      </c>
      <c r="E27" s="37">
        <f t="shared" si="22"/>
        <v>8.3532720480208201E-3</v>
      </c>
      <c r="F27" s="37">
        <f t="shared" si="22"/>
        <v>8.5285996457900564E-3</v>
      </c>
      <c r="G27" s="37">
        <f t="shared" si="20"/>
        <v>8.0188112397955383E-3</v>
      </c>
      <c r="H27" s="37">
        <f t="shared" si="21"/>
        <v>8.0188112397955383E-3</v>
      </c>
      <c r="I27" s="37">
        <f t="shared" si="21"/>
        <v>8.0188112397955383E-3</v>
      </c>
      <c r="J27" s="37">
        <f t="shared" si="21"/>
        <v>8.0188112397955383E-3</v>
      </c>
      <c r="K27" s="37">
        <f t="shared" si="21"/>
        <v>8.0188112397955383E-3</v>
      </c>
    </row>
    <row r="28" spans="2:11" ht="14.25" customHeight="1">
      <c r="B28" s="36" t="s">
        <v>55</v>
      </c>
      <c r="C28" s="37">
        <f>+C12/C18</f>
        <v>1.1470870769056903E-2</v>
      </c>
      <c r="D28" s="37">
        <f t="shared" ref="D28:F28" si="23">+D12/D18</f>
        <v>1.1204756946490901E-2</v>
      </c>
      <c r="E28" s="37">
        <f t="shared" si="23"/>
        <v>1.1099717559861118E-2</v>
      </c>
      <c r="F28" s="37">
        <f t="shared" si="23"/>
        <v>1.0422142714963074E-2</v>
      </c>
      <c r="G28" s="37">
        <f t="shared" si="20"/>
        <v>1.1049371997593E-2</v>
      </c>
      <c r="H28" s="37">
        <f t="shared" si="21"/>
        <v>1.1049371997593E-2</v>
      </c>
      <c r="I28" s="37">
        <f t="shared" si="21"/>
        <v>1.1049371997593E-2</v>
      </c>
      <c r="J28" s="37">
        <f t="shared" si="21"/>
        <v>1.1049371997593E-2</v>
      </c>
      <c r="K28" s="37">
        <f t="shared" si="21"/>
        <v>1.1049371997593E-2</v>
      </c>
    </row>
    <row r="29" spans="2:11" ht="14.25" customHeight="1">
      <c r="B29" s="36" t="s">
        <v>56</v>
      </c>
      <c r="C29" s="37">
        <f>+C13/C18</f>
        <v>2.0653218059558116E-2</v>
      </c>
      <c r="D29" s="37">
        <f t="shared" ref="D29:F29" si="24">+D13/D18</f>
        <v>2.4832518025186146E-2</v>
      </c>
      <c r="E29" s="37">
        <f t="shared" si="24"/>
        <v>2.2355346873669503E-2</v>
      </c>
      <c r="F29" s="37">
        <f t="shared" si="24"/>
        <v>2.3278840804577167E-2</v>
      </c>
      <c r="G29" s="37">
        <f t="shared" si="20"/>
        <v>2.2779980940747731E-2</v>
      </c>
      <c r="H29" s="37">
        <f t="shared" si="21"/>
        <v>2.2779980940747731E-2</v>
      </c>
      <c r="I29" s="37">
        <f t="shared" si="21"/>
        <v>2.2779980940747731E-2</v>
      </c>
      <c r="J29" s="37">
        <f t="shared" si="21"/>
        <v>2.2779980940747731E-2</v>
      </c>
      <c r="K29" s="37">
        <f t="shared" si="21"/>
        <v>2.2779980940747731E-2</v>
      </c>
    </row>
    <row r="30" spans="2:11" ht="14.25" customHeight="1"/>
    <row r="31" spans="2:11" ht="14.25" customHeight="1"/>
    <row r="32" spans="2:1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1000"/>
  <sheetViews>
    <sheetView showGridLines="0" workbookViewId="0">
      <selection activeCell="I15" sqref="I15"/>
    </sheetView>
  </sheetViews>
  <sheetFormatPr defaultColWidth="14.42578125" defaultRowHeight="15" customHeight="1"/>
  <cols>
    <col min="1" max="1" width="8.85546875" customWidth="1"/>
    <col min="2" max="2" width="28.5703125" customWidth="1"/>
    <col min="3" max="10" width="9.42578125" customWidth="1"/>
    <col min="11" max="11" width="8.140625" customWidth="1"/>
    <col min="12" max="26" width="8.85546875" customWidth="1"/>
  </cols>
  <sheetData>
    <row r="1" spans="2:11" ht="14.25" customHeight="1"/>
    <row r="2" spans="2:11" ht="14.25" customHeight="1">
      <c r="B2" s="23" t="s">
        <v>7</v>
      </c>
      <c r="C2" s="23"/>
      <c r="D2" s="23"/>
      <c r="E2" s="23"/>
      <c r="F2" s="23"/>
      <c r="G2" s="23"/>
      <c r="H2" s="23"/>
      <c r="I2" s="23"/>
      <c r="J2" s="23"/>
      <c r="K2" s="23"/>
    </row>
    <row r="3" spans="2:11" ht="14.25" customHeight="1">
      <c r="B3" s="24" t="s">
        <v>8</v>
      </c>
      <c r="C3" s="25"/>
      <c r="D3" s="25">
        <v>43830</v>
      </c>
      <c r="E3" s="25">
        <v>44196</v>
      </c>
      <c r="F3" s="25">
        <v>44561</v>
      </c>
      <c r="G3" s="26">
        <v>44926</v>
      </c>
      <c r="H3" s="26">
        <v>45291</v>
      </c>
      <c r="I3" s="26">
        <v>45657</v>
      </c>
      <c r="J3" s="26">
        <v>46022</v>
      </c>
      <c r="K3" s="26">
        <v>46387</v>
      </c>
    </row>
    <row r="4" spans="2:11" ht="14.25" customHeight="1">
      <c r="B4" s="27" t="s">
        <v>26</v>
      </c>
      <c r="C4" s="38"/>
      <c r="D4" s="38">
        <f>+'Free Cash Flow'!C21</f>
        <v>3158</v>
      </c>
      <c r="E4" s="38">
        <f>+'Free Cash Flow'!D21</f>
        <v>2859</v>
      </c>
      <c r="F4" s="38">
        <f>+'Free Cash Flow'!E21</f>
        <v>4698</v>
      </c>
      <c r="G4" s="38">
        <f>+'Free Cash Flow'!F21</f>
        <v>3900.6087954079253</v>
      </c>
      <c r="H4" s="38">
        <f>+'Free Cash Flow'!G21</f>
        <v>5257.50807744753</v>
      </c>
      <c r="I4" s="38">
        <f>+'Free Cash Flow'!H21</f>
        <v>5674.5239319706743</v>
      </c>
      <c r="J4" s="38">
        <f>+'Free Cash Flow'!I21</f>
        <v>5799.5237266759677</v>
      </c>
      <c r="K4" s="38">
        <f>+'Free Cash Flow'!J21</f>
        <v>5705.3134608663449</v>
      </c>
    </row>
    <row r="5" spans="2:11" ht="14.25" customHeight="1"/>
    <row r="6" spans="2:11" ht="14.25" customHeight="1">
      <c r="B6" s="27" t="s">
        <v>57</v>
      </c>
      <c r="G6" s="27">
        <v>1</v>
      </c>
      <c r="H6" s="27">
        <v>2</v>
      </c>
      <c r="I6" s="27">
        <v>3</v>
      </c>
      <c r="J6" s="27">
        <v>4</v>
      </c>
      <c r="K6" s="27">
        <v>5</v>
      </c>
    </row>
    <row r="7" spans="2:11" ht="14.25" customHeight="1">
      <c r="B7" s="39" t="s">
        <v>58</v>
      </c>
      <c r="C7" s="39"/>
      <c r="D7" s="39"/>
      <c r="E7" s="39"/>
      <c r="F7" s="39"/>
      <c r="G7" s="40">
        <f>+G4/(1+$C$12)^G6</f>
        <v>3671.7465392989093</v>
      </c>
      <c r="H7" s="40">
        <f t="shared" ref="H7:K7" si="0">+H4/(1+$C$12)^H6</f>
        <v>4658.6549565549276</v>
      </c>
      <c r="I7" s="40">
        <f t="shared" si="0"/>
        <v>4733.1506474328462</v>
      </c>
      <c r="J7" s="40">
        <f t="shared" si="0"/>
        <v>4553.5857943389592</v>
      </c>
      <c r="K7" s="40">
        <f t="shared" si="0"/>
        <v>4216.7805780412373</v>
      </c>
    </row>
    <row r="8" spans="2:11" ht="14.25" customHeight="1"/>
    <row r="9" spans="2:11" ht="14.25" customHeight="1">
      <c r="B9" s="60" t="s">
        <v>59</v>
      </c>
      <c r="C9" s="61"/>
      <c r="E9" s="60" t="s">
        <v>60</v>
      </c>
      <c r="F9" s="62"/>
      <c r="G9" s="62"/>
      <c r="H9" s="62"/>
      <c r="I9" s="62"/>
      <c r="J9" s="62"/>
      <c r="K9" s="61"/>
    </row>
    <row r="10" spans="2:11" ht="14.25" customHeight="1">
      <c r="B10" s="8" t="s">
        <v>61</v>
      </c>
      <c r="C10" s="38">
        <f>+SUM(G7:K7)</f>
        <v>21833.918515666883</v>
      </c>
    </row>
    <row r="11" spans="2:11" ht="14.25" customHeight="1">
      <c r="B11" s="8" t="s">
        <v>62</v>
      </c>
      <c r="C11" s="44">
        <v>0.03</v>
      </c>
      <c r="E11" s="8"/>
      <c r="F11" s="8"/>
      <c r="G11" s="60" t="s">
        <v>62</v>
      </c>
      <c r="H11" s="62"/>
      <c r="I11" s="62"/>
      <c r="J11" s="62"/>
      <c r="K11" s="61"/>
    </row>
    <row r="12" spans="2:11" ht="15" customHeight="1">
      <c r="B12" s="8" t="s">
        <v>63</v>
      </c>
      <c r="C12" s="41">
        <f>+WACC!C18</f>
        <v>6.2330624856451897E-2</v>
      </c>
      <c r="E12" s="8"/>
      <c r="F12" s="45">
        <f>+C21</f>
        <v>358.78919305678153</v>
      </c>
      <c r="G12" s="68">
        <v>0.02</v>
      </c>
      <c r="H12" s="68">
        <v>2.5000000000000001E-2</v>
      </c>
      <c r="I12" s="68">
        <v>0.03</v>
      </c>
      <c r="J12" s="68">
        <v>3.5000000000000003E-2</v>
      </c>
      <c r="K12" s="68">
        <v>0.04</v>
      </c>
    </row>
    <row r="13" spans="2:11" ht="14.25" customHeight="1">
      <c r="B13" s="8" t="s">
        <v>64</v>
      </c>
      <c r="C13" s="38">
        <f>+(K4*(1+C11))/(C12-C11)</f>
        <v>181761.80914485565</v>
      </c>
      <c r="E13" s="63" t="s">
        <v>63</v>
      </c>
      <c r="F13" s="68">
        <v>5.8000000000000003E-2</v>
      </c>
      <c r="G13" s="45">
        <f t="dataTable" ref="G13:K17" dt2D="1" dtr="1" r1="C11" r2="C12"/>
        <v>317.05778546643012</v>
      </c>
      <c r="H13" s="45">
        <v>357.91681360582078</v>
      </c>
      <c r="I13" s="45">
        <v>413.36835179499394</v>
      </c>
      <c r="J13" s="45">
        <v>492.92925441424228</v>
      </c>
      <c r="K13" s="45">
        <v>616.69065848862863</v>
      </c>
    </row>
    <row r="14" spans="2:11" ht="14.25" customHeight="1">
      <c r="B14" s="8" t="s">
        <v>65</v>
      </c>
      <c r="C14" s="38">
        <f>+C13/(1+C12)^K6</f>
        <v>134339.62426234176</v>
      </c>
      <c r="D14" s="38"/>
      <c r="E14" s="64"/>
      <c r="F14" s="68">
        <v>0.06</v>
      </c>
      <c r="G14" s="45">
        <v>301.4514697511928</v>
      </c>
      <c r="H14" s="46">
        <v>337.77405426817148</v>
      </c>
      <c r="I14" s="46">
        <v>386.20416695747667</v>
      </c>
      <c r="J14" s="46">
        <v>454.00632472250373</v>
      </c>
      <c r="K14" s="45">
        <v>555.70956137004441</v>
      </c>
    </row>
    <row r="15" spans="2:11" ht="14.25" customHeight="1">
      <c r="B15" s="8" t="s">
        <v>66</v>
      </c>
      <c r="C15" s="38">
        <f>+C14+C10</f>
        <v>156173.54277800865</v>
      </c>
      <c r="E15" s="64"/>
      <c r="F15" s="68">
        <v>6.2330624856451897E-2</v>
      </c>
      <c r="G15" s="45">
        <v>285.1259810689632</v>
      </c>
      <c r="H15" s="46">
        <v>317.024424795225</v>
      </c>
      <c r="I15" s="47">
        <v>358.78919305678153</v>
      </c>
      <c r="J15" s="46">
        <v>415.83526881895926</v>
      </c>
      <c r="K15" s="45">
        <v>498.42746168663126</v>
      </c>
    </row>
    <row r="16" spans="2:11" ht="14.25" customHeight="1">
      <c r="B16" s="33" t="s">
        <v>67</v>
      </c>
      <c r="C16" s="38">
        <f>+'Balance Sheet'!F4</f>
        <v>11258</v>
      </c>
      <c r="E16" s="64"/>
      <c r="F16" s="68">
        <v>6.4000000000000001E-2</v>
      </c>
      <c r="G16" s="45">
        <v>274.49558024606995</v>
      </c>
      <c r="H16" s="46">
        <v>303.68627586132095</v>
      </c>
      <c r="I16" s="46">
        <v>341.4624701869401</v>
      </c>
      <c r="J16" s="46">
        <v>392.26493841794502</v>
      </c>
      <c r="K16" s="45">
        <v>464.23510174520209</v>
      </c>
    </row>
    <row r="17" spans="2:11" ht="14.25" customHeight="1">
      <c r="B17" s="33" t="s">
        <v>68</v>
      </c>
      <c r="C17" s="38">
        <f>+-('Balance Sheet'!F20+'Balance Sheet'!F24)</f>
        <v>-7491</v>
      </c>
      <c r="E17" s="65"/>
      <c r="F17" s="68">
        <v>6.6000000000000003E-2</v>
      </c>
      <c r="G17" s="45">
        <v>262.77585850837465</v>
      </c>
      <c r="H17" s="45">
        <v>289.13660669768637</v>
      </c>
      <c r="I17" s="45">
        <v>322.81978493958485</v>
      </c>
      <c r="J17" s="45">
        <v>367.36850454983755</v>
      </c>
      <c r="K17" s="45">
        <v>429.05134708711057</v>
      </c>
    </row>
    <row r="18" spans="2:11" ht="14.25" customHeight="1">
      <c r="B18" s="33" t="s">
        <v>69</v>
      </c>
      <c r="C18" s="38">
        <f>+-'Balance Sheet'!F35</f>
        <v>-514</v>
      </c>
    </row>
    <row r="19" spans="2:11" ht="14.25" customHeight="1">
      <c r="B19" s="48" t="s">
        <v>70</v>
      </c>
      <c r="C19" s="49">
        <f>+SUM(C15:C18)</f>
        <v>159426.54277800865</v>
      </c>
    </row>
    <row r="20" spans="2:11" ht="14.25" customHeight="1">
      <c r="B20" s="8" t="s">
        <v>71</v>
      </c>
      <c r="C20" s="50">
        <v>444.346</v>
      </c>
    </row>
    <row r="21" spans="2:11" ht="14.25" customHeight="1">
      <c r="B21" s="34" t="s">
        <v>72</v>
      </c>
      <c r="C21" s="51">
        <f>+C19/C20</f>
        <v>358.78919305678153</v>
      </c>
    </row>
    <row r="22" spans="2:11" ht="14.25" customHeight="1"/>
    <row r="23" spans="2:11" ht="14.25" customHeight="1"/>
    <row r="24" spans="2:11" ht="14.25" customHeight="1"/>
    <row r="25" spans="2:11" ht="14.25" customHeight="1"/>
    <row r="26" spans="2:11" ht="14.25" customHeight="1"/>
    <row r="27" spans="2:11" ht="14.25" customHeight="1"/>
    <row r="28" spans="2:11" ht="14.25" customHeight="1"/>
    <row r="29" spans="2:11" ht="14.25" customHeight="1"/>
    <row r="30" spans="2:11" ht="14.25" customHeight="1"/>
    <row r="31" spans="2:11" ht="14.25" customHeight="1"/>
    <row r="32" spans="2:1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B9:C9"/>
    <mergeCell ref="E9:K9"/>
    <mergeCell ref="G11:K11"/>
    <mergeCell ref="E13:E17"/>
  </mergeCells>
  <pageMargins left="0.7" right="0.7" top="0.75" bottom="0.75" header="0" footer="0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C1000"/>
  <sheetViews>
    <sheetView showGridLines="0" workbookViewId="0">
      <selection activeCell="C6" sqref="C6"/>
    </sheetView>
  </sheetViews>
  <sheetFormatPr defaultColWidth="14.42578125" defaultRowHeight="15" customHeight="1"/>
  <cols>
    <col min="1" max="1" width="8.85546875" customWidth="1"/>
    <col min="2" max="2" width="37.140625" customWidth="1"/>
    <col min="3" max="26" width="8.85546875" customWidth="1"/>
  </cols>
  <sheetData>
    <row r="1" spans="2:3" ht="14.25" customHeight="1"/>
    <row r="2" spans="2:3" ht="14.25" customHeight="1">
      <c r="B2" s="60" t="s">
        <v>73</v>
      </c>
      <c r="C2" s="61"/>
    </row>
    <row r="3" spans="2:3" ht="14.25" customHeight="1">
      <c r="B3" s="8" t="s">
        <v>74</v>
      </c>
      <c r="C3" s="52">
        <v>214560</v>
      </c>
    </row>
    <row r="4" spans="2:3" ht="14.25" customHeight="1">
      <c r="B4" s="8" t="s">
        <v>75</v>
      </c>
      <c r="C4" s="38">
        <f>SUM('Balance Sheet'!F20,'Balance Sheet'!F24)</f>
        <v>7491</v>
      </c>
    </row>
    <row r="5" spans="2:3" ht="14.25" customHeight="1">
      <c r="B5" s="8"/>
      <c r="C5" s="8"/>
    </row>
    <row r="6" spans="2:3" ht="14.25" customHeight="1">
      <c r="B6" s="8" t="s">
        <v>76</v>
      </c>
      <c r="C6" s="41">
        <v>2.1999999999999999E-2</v>
      </c>
    </row>
    <row r="7" spans="2:3" ht="14.25" customHeight="1">
      <c r="B7" s="8" t="s">
        <v>77</v>
      </c>
      <c r="C7" s="53">
        <v>0.21</v>
      </c>
    </row>
    <row r="8" spans="2:3" ht="14.25" customHeight="1">
      <c r="B8" s="8" t="s">
        <v>78</v>
      </c>
      <c r="C8" s="41">
        <f>+C4/SUM(C3:C4)</f>
        <v>3.3735493197508681E-2</v>
      </c>
    </row>
    <row r="9" spans="2:3" ht="14.25" customHeight="1">
      <c r="B9" s="39" t="s">
        <v>79</v>
      </c>
      <c r="C9" s="54">
        <f>+C6*(1-C7)</f>
        <v>1.738E-2</v>
      </c>
    </row>
    <row r="10" spans="2:3" ht="14.25" customHeight="1">
      <c r="B10" s="31"/>
      <c r="C10" s="55"/>
    </row>
    <row r="11" spans="2:3" ht="14.25" customHeight="1">
      <c r="B11" s="8" t="s">
        <v>80</v>
      </c>
      <c r="C11" s="53">
        <v>3.1E-2</v>
      </c>
    </row>
    <row r="12" spans="2:3" ht="14.25" customHeight="1">
      <c r="B12" s="8" t="s">
        <v>81</v>
      </c>
      <c r="C12" s="53">
        <v>7.8E-2</v>
      </c>
    </row>
    <row r="13" spans="2:3" ht="14.25" customHeight="1">
      <c r="B13" s="8" t="s">
        <v>82</v>
      </c>
      <c r="C13" s="41">
        <f>C12-C11</f>
        <v>4.7E-2</v>
      </c>
    </row>
    <row r="14" spans="2:3" ht="14.25" customHeight="1">
      <c r="B14" s="8" t="s">
        <v>83</v>
      </c>
      <c r="C14" s="56">
        <v>0.7</v>
      </c>
    </row>
    <row r="15" spans="2:3" ht="14.25" customHeight="1">
      <c r="B15" s="8" t="s">
        <v>84</v>
      </c>
      <c r="C15" s="41">
        <f>+C3/SUM(C3:C4)</f>
        <v>0.96626450680249132</v>
      </c>
    </row>
    <row r="16" spans="2:3" ht="14.25" customHeight="1">
      <c r="B16" s="39" t="s">
        <v>85</v>
      </c>
      <c r="C16" s="54">
        <f>+C11+C14*(C13)</f>
        <v>6.3899999999999998E-2</v>
      </c>
    </row>
    <row r="17" spans="2:3" ht="14.25" customHeight="1">
      <c r="B17" s="8"/>
      <c r="C17" s="8"/>
    </row>
    <row r="18" spans="2:3" ht="14.25" customHeight="1">
      <c r="B18" s="34" t="s">
        <v>63</v>
      </c>
      <c r="C18" s="57">
        <f>+(C16*C15)+(C9*C8)</f>
        <v>6.2330624856451897E-2</v>
      </c>
    </row>
    <row r="19" spans="2:3" ht="14.25" customHeight="1"/>
    <row r="20" spans="2:3" ht="14.25" customHeight="1"/>
    <row r="21" spans="2:3" ht="14.25" customHeight="1"/>
    <row r="22" spans="2:3" ht="14.25" customHeight="1"/>
    <row r="23" spans="2:3" ht="14.25" customHeight="1"/>
    <row r="24" spans="2:3" ht="14.25" customHeight="1"/>
    <row r="25" spans="2:3" ht="14.25" customHeight="1"/>
    <row r="26" spans="2:3" ht="14.25" customHeight="1"/>
    <row r="27" spans="2:3" ht="14.25" customHeight="1"/>
    <row r="28" spans="2:3" ht="14.25" customHeight="1"/>
    <row r="29" spans="2:3" ht="14.25" customHeight="1"/>
    <row r="30" spans="2:3" ht="14.25" customHeight="1"/>
    <row r="31" spans="2:3" ht="14.25" customHeight="1"/>
    <row r="32" spans="2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B2:C2"/>
  </mergeCells>
  <pageMargins left="0.7" right="0.7" top="0.75" bottom="0.75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/>
  </sheetPr>
  <dimension ref="A1:A1000"/>
  <sheetViews>
    <sheetView workbookViewId="0"/>
  </sheetViews>
  <sheetFormatPr defaultColWidth="14.42578125" defaultRowHeight="15" customHeight="1"/>
  <cols>
    <col min="1" max="26" width="8.8554687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G1000"/>
  <sheetViews>
    <sheetView workbookViewId="0">
      <selection activeCell="C26" sqref="C26:E26"/>
    </sheetView>
  </sheetViews>
  <sheetFormatPr defaultColWidth="14.42578125" defaultRowHeight="15" customHeight="1"/>
  <cols>
    <col min="1" max="1" width="8.85546875" customWidth="1"/>
    <col min="2" max="2" width="69.42578125" customWidth="1"/>
    <col min="3" max="6" width="15.42578125" customWidth="1"/>
    <col min="7" max="26" width="8.85546875" customWidth="1"/>
  </cols>
  <sheetData>
    <row r="1" spans="2:7" ht="14.25" customHeight="1"/>
    <row r="2" spans="2:7" ht="14.25" customHeight="1">
      <c r="B2" s="27" t="s">
        <v>86</v>
      </c>
    </row>
    <row r="3" spans="2:7" ht="14.25" customHeight="1">
      <c r="C3" s="58" t="s">
        <v>87</v>
      </c>
      <c r="D3" s="58" t="s">
        <v>88</v>
      </c>
      <c r="E3" s="58" t="s">
        <v>89</v>
      </c>
    </row>
    <row r="4" spans="2:7" ht="14.25" customHeight="1">
      <c r="B4" s="27" t="s">
        <v>90</v>
      </c>
    </row>
    <row r="5" spans="2:7" ht="14.25" customHeight="1">
      <c r="B5" s="27" t="s">
        <v>91</v>
      </c>
      <c r="C5" s="59">
        <v>152703</v>
      </c>
      <c r="D5" s="59">
        <v>166761</v>
      </c>
      <c r="E5" s="59">
        <v>195929</v>
      </c>
    </row>
    <row r="6" spans="2:7" ht="14.25" customHeight="1">
      <c r="B6" s="27" t="s">
        <v>92</v>
      </c>
    </row>
    <row r="7" spans="2:7" ht="14.25" customHeight="1">
      <c r="B7" s="27" t="s">
        <v>93</v>
      </c>
      <c r="C7" s="38">
        <v>132886</v>
      </c>
      <c r="D7" s="38">
        <v>144939</v>
      </c>
      <c r="E7" s="38">
        <v>170684</v>
      </c>
    </row>
    <row r="8" spans="2:7" ht="14.25" customHeight="1">
      <c r="B8" s="27" t="s">
        <v>94</v>
      </c>
      <c r="C8" s="38">
        <v>13502</v>
      </c>
      <c r="D8" s="38">
        <v>14687</v>
      </c>
      <c r="E8" s="38">
        <v>16680</v>
      </c>
      <c r="G8" s="59"/>
    </row>
    <row r="9" spans="2:7" ht="14.25" customHeight="1">
      <c r="B9" s="27" t="s">
        <v>16</v>
      </c>
      <c r="C9" s="38">
        <v>1492</v>
      </c>
      <c r="D9" s="38">
        <v>1645</v>
      </c>
      <c r="E9" s="38">
        <v>1781</v>
      </c>
    </row>
    <row r="10" spans="2:7" ht="14.25" customHeight="1">
      <c r="B10" s="27" t="s">
        <v>95</v>
      </c>
      <c r="C10" s="38">
        <v>86</v>
      </c>
      <c r="D10" s="38">
        <v>55</v>
      </c>
      <c r="E10" s="38">
        <v>76</v>
      </c>
    </row>
    <row r="11" spans="2:7" ht="14.25" customHeight="1">
      <c r="B11" s="27" t="s">
        <v>96</v>
      </c>
      <c r="C11" s="38">
        <v>4737</v>
      </c>
      <c r="D11" s="38">
        <v>5435</v>
      </c>
      <c r="E11" s="38">
        <v>6708</v>
      </c>
    </row>
    <row r="12" spans="2:7" ht="14.25" customHeight="1">
      <c r="B12" s="27" t="s">
        <v>97</v>
      </c>
      <c r="C12" s="38"/>
      <c r="D12" s="38"/>
      <c r="E12" s="38"/>
    </row>
    <row r="13" spans="2:7" ht="14.25" customHeight="1">
      <c r="B13" s="27" t="s">
        <v>98</v>
      </c>
      <c r="C13" s="38">
        <v>-150</v>
      </c>
      <c r="D13" s="38">
        <v>-160</v>
      </c>
      <c r="E13" s="38">
        <v>-171</v>
      </c>
    </row>
    <row r="14" spans="2:7" ht="14.25" customHeight="1">
      <c r="B14" s="27" t="s">
        <v>99</v>
      </c>
      <c r="C14" s="38">
        <v>178</v>
      </c>
      <c r="D14" s="38">
        <v>92</v>
      </c>
      <c r="E14" s="38">
        <v>143</v>
      </c>
    </row>
    <row r="15" spans="2:7" ht="14.25" customHeight="1">
      <c r="B15" s="27" t="s">
        <v>100</v>
      </c>
      <c r="C15" s="38">
        <v>4765</v>
      </c>
      <c r="D15" s="38">
        <v>5367</v>
      </c>
      <c r="E15" s="38">
        <v>6680</v>
      </c>
    </row>
    <row r="16" spans="2:7" ht="14.25" customHeight="1">
      <c r="B16" s="27" t="s">
        <v>101</v>
      </c>
      <c r="C16" s="38">
        <v>1061</v>
      </c>
      <c r="D16" s="38">
        <v>1308</v>
      </c>
      <c r="E16" s="38">
        <v>1601</v>
      </c>
    </row>
    <row r="17" spans="2:6" ht="14.25" customHeight="1">
      <c r="B17" s="27" t="s">
        <v>102</v>
      </c>
      <c r="C17" s="38">
        <v>3704</v>
      </c>
      <c r="D17" s="38">
        <v>4059</v>
      </c>
      <c r="E17" s="38">
        <v>5079</v>
      </c>
    </row>
    <row r="18" spans="2:6" ht="14.25" customHeight="1">
      <c r="C18" s="38"/>
      <c r="D18" s="38"/>
      <c r="E18" s="38"/>
    </row>
    <row r="19" spans="2:6" ht="14.25" customHeight="1">
      <c r="B19" s="27" t="s">
        <v>103</v>
      </c>
      <c r="C19" s="38">
        <v>442923</v>
      </c>
      <c r="D19" s="38">
        <v>443901</v>
      </c>
      <c r="E19" s="38">
        <v>444346</v>
      </c>
    </row>
    <row r="20" spans="2:6" ht="14.25" customHeight="1">
      <c r="C20" s="38"/>
      <c r="D20" s="38"/>
      <c r="E20" s="38"/>
    </row>
    <row r="21" spans="2:6" ht="14.25" customHeight="1">
      <c r="B21" s="27" t="s">
        <v>104</v>
      </c>
      <c r="C21" s="38">
        <v>149351</v>
      </c>
      <c r="D21" s="38">
        <v>163220</v>
      </c>
      <c r="E21" s="38">
        <v>192052</v>
      </c>
    </row>
    <row r="22" spans="2:6" ht="14.25" customHeight="1">
      <c r="B22" s="27" t="s">
        <v>105</v>
      </c>
      <c r="C22" s="38">
        <v>3352</v>
      </c>
      <c r="D22" s="38">
        <v>3541</v>
      </c>
      <c r="E22" s="38">
        <v>3877</v>
      </c>
    </row>
    <row r="23" spans="2:6" ht="14.25" customHeight="1">
      <c r="D23" s="45"/>
      <c r="E23" s="45"/>
      <c r="F23" s="45"/>
    </row>
    <row r="24" spans="2:6" ht="14.25" customHeight="1">
      <c r="D24" s="38"/>
      <c r="E24" s="38"/>
      <c r="F24" s="38"/>
    </row>
    <row r="25" spans="2:6" ht="14.25" customHeight="1">
      <c r="D25" s="38"/>
      <c r="E25" s="38"/>
      <c r="F25" s="38"/>
    </row>
    <row r="26" spans="2:6" ht="14.25" customHeight="1">
      <c r="C26">
        <f>+C13/('Balance Sheet'!C24+'Balance Sheet'!C20)</f>
        <v>-2.2806750798236276E-2</v>
      </c>
      <c r="D26">
        <f>+D13/('Balance Sheet'!D24+'Balance Sheet'!D20)</f>
        <v>-2.3450095266012019E-2</v>
      </c>
      <c r="E26">
        <f>+E13/('Balance Sheet'!E24+'Balance Sheet'!E20)</f>
        <v>-2.2473386778814563E-2</v>
      </c>
      <c r="F26" s="38"/>
    </row>
    <row r="27" spans="2:6" ht="14.25" customHeight="1">
      <c r="C27">
        <f>+AVERAGE(C26:E26)</f>
        <v>-2.2910077614354287E-2</v>
      </c>
      <c r="D27" s="38"/>
      <c r="E27" s="38"/>
      <c r="F27" s="38"/>
    </row>
    <row r="28" spans="2:6" ht="14.25" customHeight="1">
      <c r="D28" s="38"/>
      <c r="E28" s="38"/>
      <c r="F28" s="38"/>
    </row>
    <row r="29" spans="2:6" ht="14.25" customHeight="1">
      <c r="D29" s="38"/>
      <c r="E29" s="38"/>
      <c r="F29" s="38"/>
    </row>
    <row r="30" spans="2:6" ht="14.25" customHeight="1"/>
    <row r="31" spans="2:6" ht="14.25" customHeight="1"/>
    <row r="32" spans="2: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F1000"/>
  <sheetViews>
    <sheetView workbookViewId="0"/>
  </sheetViews>
  <sheetFormatPr defaultColWidth="14.42578125" defaultRowHeight="15" customHeight="1"/>
  <cols>
    <col min="1" max="1" width="8.85546875" customWidth="1"/>
    <col min="2" max="2" width="104.85546875" customWidth="1"/>
    <col min="3" max="5" width="11.85546875" customWidth="1"/>
    <col min="6" max="6" width="11.5703125" customWidth="1"/>
    <col min="7" max="26" width="8.85546875" customWidth="1"/>
  </cols>
  <sheetData>
    <row r="1" spans="2:6" ht="14.25" customHeight="1"/>
    <row r="2" spans="2:6" ht="14.25" customHeight="1">
      <c r="B2" s="27" t="s">
        <v>106</v>
      </c>
      <c r="C2" s="27" t="s">
        <v>107</v>
      </c>
      <c r="D2" s="27" t="s">
        <v>87</v>
      </c>
      <c r="E2" s="27" t="s">
        <v>88</v>
      </c>
      <c r="F2" s="27" t="s">
        <v>89</v>
      </c>
    </row>
    <row r="3" spans="2:6" ht="14.25" customHeight="1">
      <c r="B3" s="27" t="s">
        <v>108</v>
      </c>
    </row>
    <row r="4" spans="2:6" ht="14.25" customHeight="1">
      <c r="B4" s="27" t="s">
        <v>109</v>
      </c>
      <c r="C4" s="38">
        <v>6055</v>
      </c>
      <c r="D4" s="38">
        <v>8384</v>
      </c>
      <c r="E4" s="38">
        <v>12277</v>
      </c>
      <c r="F4" s="38">
        <v>11258</v>
      </c>
    </row>
    <row r="5" spans="2:6" ht="14.25" customHeight="1">
      <c r="B5" s="27" t="s">
        <v>110</v>
      </c>
      <c r="C5" s="38">
        <v>1204</v>
      </c>
      <c r="D5" s="38">
        <v>1060</v>
      </c>
      <c r="E5" s="38">
        <v>1028</v>
      </c>
      <c r="F5" s="38">
        <v>917</v>
      </c>
    </row>
    <row r="6" spans="2:6" ht="14.25" customHeight="1">
      <c r="B6" s="27" t="s">
        <v>111</v>
      </c>
      <c r="C6" s="38">
        <v>1669</v>
      </c>
      <c r="D6" s="38">
        <v>1535</v>
      </c>
      <c r="E6" s="38">
        <v>1550</v>
      </c>
      <c r="F6" s="38">
        <v>1803</v>
      </c>
    </row>
    <row r="7" spans="2:6" ht="14.25" customHeight="1">
      <c r="B7" s="27" t="s">
        <v>112</v>
      </c>
      <c r="C7" s="38">
        <v>11040</v>
      </c>
      <c r="D7" s="38">
        <v>11395</v>
      </c>
      <c r="E7" s="38">
        <v>12242</v>
      </c>
      <c r="F7" s="38">
        <v>14215</v>
      </c>
    </row>
    <row r="8" spans="2:6" ht="14.25" customHeight="1">
      <c r="B8" s="27" t="s">
        <v>113</v>
      </c>
      <c r="C8" s="38">
        <v>321</v>
      </c>
      <c r="D8" s="38">
        <v>1111</v>
      </c>
      <c r="E8" s="38">
        <v>1023</v>
      </c>
      <c r="F8" s="38">
        <v>1312</v>
      </c>
    </row>
    <row r="9" spans="2:6" ht="14.25" customHeight="1">
      <c r="B9" s="27" t="s">
        <v>114</v>
      </c>
      <c r="C9" s="38">
        <v>20289</v>
      </c>
      <c r="D9" s="38">
        <v>23485</v>
      </c>
      <c r="E9" s="38">
        <v>28120</v>
      </c>
      <c r="F9" s="38">
        <v>29505</v>
      </c>
    </row>
    <row r="10" spans="2:6" ht="14.25" customHeight="1">
      <c r="B10" s="27" t="s">
        <v>115</v>
      </c>
      <c r="C10" s="38"/>
      <c r="D10" s="38"/>
      <c r="E10" s="38"/>
      <c r="F10" s="38"/>
    </row>
    <row r="11" spans="2:6" ht="14.25" customHeight="1">
      <c r="B11" s="27" t="s">
        <v>116</v>
      </c>
      <c r="C11" s="38">
        <v>19681</v>
      </c>
      <c r="D11" s="38">
        <v>20890</v>
      </c>
      <c r="E11" s="38">
        <v>21807</v>
      </c>
      <c r="F11" s="38">
        <v>23492</v>
      </c>
    </row>
    <row r="12" spans="2:6" ht="14.25" customHeight="1">
      <c r="B12" s="27" t="s">
        <v>117</v>
      </c>
      <c r="C12" s="38"/>
      <c r="D12" s="38">
        <v>0</v>
      </c>
      <c r="E12" s="38">
        <v>2788</v>
      </c>
      <c r="F12" s="38">
        <v>2890</v>
      </c>
    </row>
    <row r="13" spans="2:6" ht="14.25" customHeight="1">
      <c r="B13" s="27" t="s">
        <v>118</v>
      </c>
      <c r="C13" s="38">
        <v>860</v>
      </c>
      <c r="D13" s="38">
        <v>1025</v>
      </c>
      <c r="E13" s="38">
        <v>2841</v>
      </c>
      <c r="F13" s="38">
        <v>3381</v>
      </c>
    </row>
    <row r="14" spans="2:6" ht="14.25" customHeight="1">
      <c r="B14" s="27" t="s">
        <v>119</v>
      </c>
      <c r="C14" s="38">
        <v>40830</v>
      </c>
      <c r="D14" s="38">
        <v>45400</v>
      </c>
      <c r="E14" s="38">
        <v>55556</v>
      </c>
      <c r="F14" s="38">
        <v>59268</v>
      </c>
    </row>
    <row r="15" spans="2:6" ht="14.25" customHeight="1">
      <c r="B15" s="27" t="s">
        <v>120</v>
      </c>
      <c r="C15" s="38"/>
      <c r="D15" s="38"/>
      <c r="E15" s="38"/>
      <c r="F15" s="38"/>
    </row>
    <row r="16" spans="2:6" ht="14.25" customHeight="1">
      <c r="B16" s="27" t="s">
        <v>121</v>
      </c>
      <c r="C16" s="38">
        <v>11237</v>
      </c>
      <c r="D16" s="38">
        <v>11679</v>
      </c>
      <c r="E16" s="38">
        <v>14172</v>
      </c>
      <c r="F16" s="38">
        <v>16278</v>
      </c>
    </row>
    <row r="17" spans="2:6" ht="14.25" customHeight="1">
      <c r="B17" s="27" t="s">
        <v>122</v>
      </c>
      <c r="C17" s="38">
        <v>2994</v>
      </c>
      <c r="D17" s="38">
        <v>3176</v>
      </c>
      <c r="E17" s="38">
        <v>3605</v>
      </c>
      <c r="F17" s="38">
        <v>4090</v>
      </c>
    </row>
    <row r="18" spans="2:6" ht="14.25" customHeight="1">
      <c r="B18" s="27" t="s">
        <v>123</v>
      </c>
      <c r="C18" s="38">
        <v>1057</v>
      </c>
      <c r="D18" s="38">
        <v>1180</v>
      </c>
      <c r="E18" s="38">
        <v>1393</v>
      </c>
      <c r="F18" s="38">
        <v>1671</v>
      </c>
    </row>
    <row r="19" spans="2:6" ht="14.25" customHeight="1">
      <c r="B19" s="27" t="s">
        <v>124</v>
      </c>
      <c r="C19" s="38">
        <v>1624</v>
      </c>
      <c r="D19" s="38">
        <v>1711</v>
      </c>
      <c r="E19" s="38">
        <v>1851</v>
      </c>
      <c r="F19" s="38">
        <v>2042</v>
      </c>
    </row>
    <row r="20" spans="2:6" ht="14.25" customHeight="1">
      <c r="B20" s="27" t="s">
        <v>125</v>
      </c>
      <c r="C20" s="38">
        <v>90</v>
      </c>
      <c r="D20" s="38">
        <v>1699</v>
      </c>
      <c r="E20" s="38">
        <v>95</v>
      </c>
      <c r="F20" s="38">
        <v>799</v>
      </c>
    </row>
    <row r="21" spans="2:6" ht="14.25" customHeight="1">
      <c r="B21" s="27" t="s">
        <v>126</v>
      </c>
      <c r="C21" s="38">
        <v>2924</v>
      </c>
      <c r="D21" s="38">
        <v>3792</v>
      </c>
      <c r="E21" s="38">
        <v>3728</v>
      </c>
      <c r="F21" s="38">
        <v>4561</v>
      </c>
    </row>
    <row r="22" spans="2:6" ht="14.25" customHeight="1">
      <c r="B22" s="27" t="s">
        <v>127</v>
      </c>
      <c r="C22" s="38">
        <v>19926</v>
      </c>
      <c r="D22" s="38">
        <v>23237</v>
      </c>
      <c r="E22" s="38">
        <v>24844</v>
      </c>
      <c r="F22" s="38">
        <v>29441</v>
      </c>
    </row>
    <row r="23" spans="2:6" ht="14.25" customHeight="1">
      <c r="B23" s="27" t="s">
        <v>128</v>
      </c>
      <c r="C23" s="38"/>
      <c r="D23" s="38"/>
      <c r="E23" s="38"/>
      <c r="F23" s="38"/>
    </row>
    <row r="24" spans="2:6" ht="14.25" customHeight="1">
      <c r="B24" s="27" t="s">
        <v>129</v>
      </c>
      <c r="C24" s="38">
        <v>6487</v>
      </c>
      <c r="D24" s="38">
        <v>5124</v>
      </c>
      <c r="E24" s="38">
        <v>7514</v>
      </c>
      <c r="F24" s="38">
        <v>6692</v>
      </c>
    </row>
    <row r="25" spans="2:6" ht="14.25" customHeight="1">
      <c r="B25" s="27" t="s">
        <v>130</v>
      </c>
      <c r="C25" s="38"/>
      <c r="D25" s="38">
        <v>0</v>
      </c>
      <c r="E25" s="38">
        <v>2558</v>
      </c>
      <c r="F25" s="38">
        <v>2642</v>
      </c>
    </row>
    <row r="26" spans="2:6" ht="14.25" customHeight="1">
      <c r="B26" s="27" t="s">
        <v>131</v>
      </c>
      <c r="C26" s="38">
        <v>1314</v>
      </c>
      <c r="D26" s="38">
        <v>1455</v>
      </c>
      <c r="E26" s="38">
        <v>1935</v>
      </c>
      <c r="F26" s="38">
        <v>2415</v>
      </c>
    </row>
    <row r="27" spans="2:6" ht="14.25" customHeight="1">
      <c r="B27" s="27" t="s">
        <v>132</v>
      </c>
      <c r="C27" s="38">
        <v>27727</v>
      </c>
      <c r="D27" s="38">
        <v>29816</v>
      </c>
      <c r="E27" s="38">
        <v>36851</v>
      </c>
      <c r="F27" s="38">
        <v>41190</v>
      </c>
    </row>
    <row r="28" spans="2:6" ht="14.25" customHeight="1">
      <c r="B28" s="27" t="s">
        <v>133</v>
      </c>
      <c r="C28" s="38"/>
      <c r="D28" s="38"/>
      <c r="E28" s="38"/>
      <c r="F28" s="38"/>
    </row>
    <row r="29" spans="2:6" ht="14.25" customHeight="1">
      <c r="B29" s="27" t="s">
        <v>134</v>
      </c>
      <c r="C29" s="38">
        <v>0</v>
      </c>
      <c r="D29" s="38">
        <v>0</v>
      </c>
      <c r="E29" s="38">
        <v>0</v>
      </c>
      <c r="F29" s="38">
        <v>0</v>
      </c>
    </row>
    <row r="30" spans="2:6" ht="14.25" customHeight="1">
      <c r="B30" s="27" t="s">
        <v>135</v>
      </c>
      <c r="C30" s="38">
        <v>4</v>
      </c>
      <c r="D30" s="38">
        <v>4</v>
      </c>
      <c r="E30" s="38">
        <v>4</v>
      </c>
      <c r="F30" s="38">
        <v>4</v>
      </c>
    </row>
    <row r="31" spans="2:6" ht="14.25" customHeight="1">
      <c r="B31" s="27" t="s">
        <v>136</v>
      </c>
      <c r="C31" s="38">
        <v>6107</v>
      </c>
      <c r="D31" s="38">
        <v>6417</v>
      </c>
      <c r="E31" s="38">
        <v>6698</v>
      </c>
      <c r="F31" s="38">
        <v>7031</v>
      </c>
    </row>
    <row r="32" spans="2:6" ht="14.25" customHeight="1">
      <c r="B32" s="27" t="s">
        <v>137</v>
      </c>
      <c r="C32" s="38">
        <v>-1199</v>
      </c>
      <c r="D32" s="38">
        <v>-1436</v>
      </c>
      <c r="E32" s="38">
        <v>-1297</v>
      </c>
      <c r="F32" s="38">
        <v>-1137</v>
      </c>
    </row>
    <row r="33" spans="2:6" ht="14.25" customHeight="1">
      <c r="B33" s="27" t="s">
        <v>138</v>
      </c>
      <c r="C33" s="38">
        <v>7887</v>
      </c>
      <c r="D33" s="38">
        <v>10258</v>
      </c>
      <c r="E33" s="38">
        <v>12879</v>
      </c>
      <c r="F33" s="38">
        <v>11666</v>
      </c>
    </row>
    <row r="34" spans="2:6" ht="14.25" customHeight="1">
      <c r="B34" s="27" t="s">
        <v>139</v>
      </c>
      <c r="C34" s="38">
        <v>12799</v>
      </c>
      <c r="D34" s="38">
        <v>15243</v>
      </c>
      <c r="E34" s="38">
        <v>18284</v>
      </c>
      <c r="F34" s="38">
        <v>17564</v>
      </c>
    </row>
    <row r="35" spans="2:6" ht="14.25" customHeight="1">
      <c r="B35" s="27" t="s">
        <v>140</v>
      </c>
      <c r="C35" s="38">
        <v>304</v>
      </c>
      <c r="D35" s="38">
        <v>341</v>
      </c>
      <c r="E35" s="38">
        <v>421</v>
      </c>
      <c r="F35" s="38">
        <v>514</v>
      </c>
    </row>
    <row r="36" spans="2:6" ht="14.25" customHeight="1">
      <c r="B36" s="27" t="s">
        <v>141</v>
      </c>
      <c r="C36" s="38">
        <v>13103</v>
      </c>
      <c r="D36" s="38">
        <v>15584</v>
      </c>
      <c r="E36" s="38">
        <v>18705</v>
      </c>
      <c r="F36" s="38">
        <v>18078</v>
      </c>
    </row>
    <row r="37" spans="2:6" ht="14.25" customHeight="1">
      <c r="B37" s="27" t="s">
        <v>142</v>
      </c>
      <c r="C37" s="38">
        <v>40830</v>
      </c>
      <c r="D37" s="38">
        <v>45400</v>
      </c>
      <c r="E37" s="38">
        <v>55556</v>
      </c>
      <c r="F37" s="38">
        <v>59268</v>
      </c>
    </row>
    <row r="38" spans="2:6" ht="14.25" customHeight="1"/>
    <row r="39" spans="2:6" ht="14.25" customHeight="1"/>
    <row r="40" spans="2:6" ht="14.25" customHeight="1"/>
    <row r="41" spans="2:6" ht="14.25" customHeight="1"/>
    <row r="42" spans="2:6" ht="14.25" customHeight="1"/>
    <row r="43" spans="2:6" ht="14.25" customHeight="1"/>
    <row r="44" spans="2:6" ht="14.25" customHeight="1"/>
    <row r="45" spans="2:6" ht="14.25" customHeight="1"/>
    <row r="46" spans="2:6" ht="14.25" customHeight="1"/>
    <row r="47" spans="2:6" ht="14.25" customHeight="1"/>
    <row r="48" spans="2: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E1000"/>
  <sheetViews>
    <sheetView workbookViewId="0"/>
  </sheetViews>
  <sheetFormatPr defaultColWidth="14.42578125" defaultRowHeight="15" customHeight="1"/>
  <cols>
    <col min="1" max="1" width="8.85546875" customWidth="1"/>
    <col min="2" max="2" width="101.42578125" customWidth="1"/>
    <col min="3" max="5" width="15.42578125" customWidth="1"/>
    <col min="6" max="26" width="8.85546875" customWidth="1"/>
  </cols>
  <sheetData>
    <row r="1" spans="2:5" ht="14.25" customHeight="1"/>
    <row r="2" spans="2:5" ht="14.25" customHeight="1">
      <c r="B2" s="27" t="s">
        <v>143</v>
      </c>
    </row>
    <row r="3" spans="2:5" ht="14.25" customHeight="1">
      <c r="C3" s="27" t="s">
        <v>87</v>
      </c>
      <c r="D3" s="27" t="s">
        <v>88</v>
      </c>
      <c r="E3" s="27" t="s">
        <v>89</v>
      </c>
    </row>
    <row r="4" spans="2:5" ht="14.25" customHeight="1">
      <c r="B4" s="27" t="s">
        <v>144</v>
      </c>
    </row>
    <row r="5" spans="2:5" ht="14.25" customHeight="1">
      <c r="B5" s="27" t="s">
        <v>145</v>
      </c>
      <c r="C5" s="27">
        <v>3704</v>
      </c>
      <c r="D5" s="27">
        <v>4059</v>
      </c>
      <c r="E5" s="27">
        <v>5079</v>
      </c>
    </row>
    <row r="6" spans="2:5" ht="14.25" customHeight="1">
      <c r="B6" s="27" t="s">
        <v>146</v>
      </c>
    </row>
    <row r="7" spans="2:5" ht="14.25" customHeight="1">
      <c r="B7" s="27" t="s">
        <v>147</v>
      </c>
      <c r="C7" s="27">
        <v>1492</v>
      </c>
      <c r="D7" s="27">
        <v>1645</v>
      </c>
      <c r="E7" s="27">
        <v>1781</v>
      </c>
    </row>
    <row r="8" spans="2:5" ht="14.25" customHeight="1">
      <c r="B8" s="27" t="s">
        <v>148</v>
      </c>
      <c r="C8" s="27">
        <v>0</v>
      </c>
      <c r="D8" s="27">
        <v>194</v>
      </c>
      <c r="E8" s="27">
        <v>286</v>
      </c>
    </row>
    <row r="9" spans="2:5" ht="14.25" customHeight="1">
      <c r="B9" s="27" t="s">
        <v>149</v>
      </c>
      <c r="C9" s="27">
        <v>595</v>
      </c>
      <c r="D9" s="27">
        <v>619</v>
      </c>
      <c r="E9" s="27">
        <v>665</v>
      </c>
    </row>
    <row r="10" spans="2:5" ht="14.25" customHeight="1">
      <c r="B10" s="27" t="s">
        <v>150</v>
      </c>
      <c r="C10" s="27">
        <v>9</v>
      </c>
      <c r="D10" s="27">
        <v>42</v>
      </c>
      <c r="E10" s="27">
        <v>85</v>
      </c>
    </row>
    <row r="11" spans="2:5" ht="14.25" customHeight="1">
      <c r="B11" s="27" t="s">
        <v>151</v>
      </c>
      <c r="C11" s="27">
        <v>147</v>
      </c>
      <c r="D11" s="27">
        <v>104</v>
      </c>
      <c r="E11" s="27">
        <v>59</v>
      </c>
    </row>
    <row r="12" spans="2:5" ht="14.25" customHeight="1">
      <c r="B12" s="27" t="s">
        <v>152</v>
      </c>
    </row>
    <row r="13" spans="2:5" ht="14.25" customHeight="1">
      <c r="B13" s="27" t="s">
        <v>112</v>
      </c>
      <c r="C13" s="27">
        <v>-536</v>
      </c>
      <c r="D13" s="27">
        <v>-791</v>
      </c>
      <c r="E13" s="27">
        <v>-1892</v>
      </c>
    </row>
    <row r="14" spans="2:5" ht="14.25" customHeight="1">
      <c r="B14" s="27" t="s">
        <v>121</v>
      </c>
      <c r="C14" s="27">
        <v>322</v>
      </c>
      <c r="D14" s="27">
        <v>2261</v>
      </c>
      <c r="E14" s="27">
        <v>1838</v>
      </c>
    </row>
    <row r="15" spans="2:5" ht="14.25" customHeight="1">
      <c r="B15" s="27" t="s">
        <v>153</v>
      </c>
      <c r="C15" s="27">
        <v>623</v>
      </c>
      <c r="D15" s="27">
        <v>728</v>
      </c>
      <c r="E15" s="27">
        <v>1057</v>
      </c>
    </row>
    <row r="16" spans="2:5" ht="14.25" customHeight="1">
      <c r="B16" s="27" t="s">
        <v>154</v>
      </c>
      <c r="C16" s="27">
        <v>6356</v>
      </c>
      <c r="D16" s="27">
        <v>8861</v>
      </c>
      <c r="E16" s="27">
        <v>8958</v>
      </c>
    </row>
    <row r="17" spans="2:5" ht="14.25" customHeight="1">
      <c r="B17" s="27" t="s">
        <v>155</v>
      </c>
    </row>
    <row r="18" spans="2:5" ht="14.25" customHeight="1">
      <c r="B18" s="27" t="s">
        <v>156</v>
      </c>
      <c r="C18" s="27">
        <v>-1094</v>
      </c>
      <c r="D18" s="27">
        <v>-1626</v>
      </c>
      <c r="E18" s="27">
        <v>-1331</v>
      </c>
    </row>
    <row r="19" spans="2:5" ht="14.25" customHeight="1">
      <c r="B19" s="27" t="s">
        <v>157</v>
      </c>
      <c r="C19" s="27">
        <v>1231</v>
      </c>
      <c r="D19" s="27">
        <v>1678</v>
      </c>
      <c r="E19" s="27">
        <v>1446</v>
      </c>
    </row>
    <row r="20" spans="2:5" ht="14.25" customHeight="1">
      <c r="B20" s="27" t="s">
        <v>158</v>
      </c>
      <c r="C20" s="27">
        <v>-2998</v>
      </c>
      <c r="D20" s="27">
        <v>-2810</v>
      </c>
      <c r="E20" s="27">
        <v>-3588</v>
      </c>
    </row>
    <row r="21" spans="2:5" ht="14.25" customHeight="1">
      <c r="B21" s="27" t="s">
        <v>159</v>
      </c>
      <c r="C21" s="27">
        <v>0</v>
      </c>
      <c r="D21" s="27">
        <v>-1163</v>
      </c>
      <c r="E21" s="27">
        <v>0</v>
      </c>
    </row>
    <row r="22" spans="2:5" ht="14.25" customHeight="1">
      <c r="B22" s="27" t="s">
        <v>160</v>
      </c>
      <c r="C22" s="27">
        <v>-4</v>
      </c>
      <c r="D22" s="27">
        <v>30</v>
      </c>
      <c r="E22" s="27">
        <v>-62</v>
      </c>
    </row>
    <row r="23" spans="2:5" ht="14.25" customHeight="1">
      <c r="B23" s="27" t="s">
        <v>161</v>
      </c>
      <c r="C23" s="27">
        <v>-2865</v>
      </c>
      <c r="D23" s="27">
        <v>-3891</v>
      </c>
      <c r="E23" s="27">
        <v>-3535</v>
      </c>
    </row>
    <row r="24" spans="2:5" ht="14.25" customHeight="1">
      <c r="B24" s="27" t="s">
        <v>162</v>
      </c>
    </row>
    <row r="25" spans="2:5" ht="14.25" customHeight="1">
      <c r="B25" s="27" t="s">
        <v>163</v>
      </c>
      <c r="C25" s="27">
        <v>210</v>
      </c>
      <c r="D25" s="27">
        <v>137</v>
      </c>
      <c r="E25" s="27">
        <v>188</v>
      </c>
    </row>
    <row r="26" spans="2:5" ht="14.25" customHeight="1">
      <c r="B26" s="27" t="s">
        <v>164</v>
      </c>
      <c r="C26" s="27">
        <v>0</v>
      </c>
      <c r="D26" s="27">
        <v>0</v>
      </c>
      <c r="E26" s="27">
        <v>41</v>
      </c>
    </row>
    <row r="27" spans="2:5" ht="14.25" customHeight="1">
      <c r="B27" s="27" t="s">
        <v>165</v>
      </c>
      <c r="C27" s="27">
        <v>298</v>
      </c>
      <c r="D27" s="27">
        <v>3992</v>
      </c>
      <c r="E27" s="27">
        <v>0</v>
      </c>
    </row>
    <row r="28" spans="2:5" ht="14.25" customHeight="1">
      <c r="B28" s="27" t="s">
        <v>166</v>
      </c>
      <c r="C28" s="27">
        <v>-89</v>
      </c>
      <c r="D28" s="27">
        <v>-3200</v>
      </c>
      <c r="E28" s="27">
        <v>-94</v>
      </c>
    </row>
    <row r="29" spans="2:5" ht="14.25" customHeight="1">
      <c r="B29" s="27" t="s">
        <v>167</v>
      </c>
      <c r="C29" s="27">
        <v>-272</v>
      </c>
      <c r="D29" s="27">
        <v>-330</v>
      </c>
      <c r="E29" s="27">
        <v>-312</v>
      </c>
    </row>
    <row r="30" spans="2:5" ht="14.25" customHeight="1">
      <c r="B30" s="27" t="s">
        <v>168</v>
      </c>
      <c r="C30" s="27">
        <v>-247</v>
      </c>
      <c r="D30" s="27">
        <v>-196</v>
      </c>
      <c r="E30" s="27">
        <v>-496</v>
      </c>
    </row>
    <row r="31" spans="2:5" ht="14.25" customHeight="1">
      <c r="B31" s="27" t="s">
        <v>169</v>
      </c>
      <c r="C31" s="27">
        <v>-1038</v>
      </c>
      <c r="D31" s="27">
        <v>-1479</v>
      </c>
      <c r="E31" s="27">
        <v>-5748</v>
      </c>
    </row>
    <row r="32" spans="2:5" ht="14.25" customHeight="1">
      <c r="B32" s="27" t="s">
        <v>170</v>
      </c>
      <c r="C32" s="27">
        <v>-9</v>
      </c>
      <c r="D32" s="27">
        <v>-71</v>
      </c>
      <c r="E32" s="27">
        <v>-67</v>
      </c>
    </row>
    <row r="33" spans="2:5" ht="14.25" customHeight="1">
      <c r="B33" s="27" t="s">
        <v>171</v>
      </c>
      <c r="C33" s="27">
        <v>-1147</v>
      </c>
      <c r="D33" s="27">
        <v>-1147</v>
      </c>
      <c r="E33" s="27">
        <v>-6488</v>
      </c>
    </row>
    <row r="34" spans="2:5" ht="14.25" customHeight="1">
      <c r="B34" s="27" t="s">
        <v>172</v>
      </c>
      <c r="C34" s="27">
        <v>-15</v>
      </c>
      <c r="D34" s="27">
        <v>70</v>
      </c>
      <c r="E34" s="27">
        <v>46</v>
      </c>
    </row>
    <row r="35" spans="2:5" ht="14.25" customHeight="1">
      <c r="B35" s="27" t="s">
        <v>173</v>
      </c>
      <c r="C35" s="27">
        <v>2329</v>
      </c>
      <c r="D35" s="27">
        <v>3893</v>
      </c>
      <c r="E35" s="27">
        <v>-1019</v>
      </c>
    </row>
    <row r="36" spans="2:5" ht="14.25" customHeight="1">
      <c r="B36" s="27" t="s">
        <v>174</v>
      </c>
      <c r="C36" s="27">
        <v>6055</v>
      </c>
      <c r="D36" s="27">
        <v>8384</v>
      </c>
      <c r="E36" s="27">
        <v>12277</v>
      </c>
    </row>
    <row r="37" spans="2:5" ht="14.25" customHeight="1">
      <c r="B37" s="27" t="s">
        <v>175</v>
      </c>
      <c r="C37" s="27">
        <v>8384</v>
      </c>
      <c r="D37" s="27">
        <v>12277</v>
      </c>
      <c r="E37" s="27">
        <v>11258</v>
      </c>
    </row>
    <row r="38" spans="2:5" ht="14.25" customHeight="1">
      <c r="B38" s="27" t="s">
        <v>176</v>
      </c>
    </row>
    <row r="39" spans="2:5" ht="14.25" customHeight="1">
      <c r="B39" s="27" t="s">
        <v>177</v>
      </c>
      <c r="C39" s="27">
        <v>141</v>
      </c>
      <c r="D39" s="27">
        <v>124</v>
      </c>
      <c r="E39" s="27">
        <v>149</v>
      </c>
    </row>
    <row r="40" spans="2:5" ht="14.25" customHeight="1">
      <c r="B40" s="27" t="s">
        <v>178</v>
      </c>
      <c r="C40" s="27">
        <v>1187</v>
      </c>
      <c r="D40" s="27">
        <v>1052</v>
      </c>
      <c r="E40" s="27">
        <v>1527</v>
      </c>
    </row>
    <row r="41" spans="2:5" ht="14.25" customHeight="1">
      <c r="B41" s="27" t="s">
        <v>179</v>
      </c>
    </row>
    <row r="42" spans="2:5" ht="14.25" customHeight="1">
      <c r="B42" s="27" t="s">
        <v>180</v>
      </c>
      <c r="C42" s="27">
        <v>286</v>
      </c>
      <c r="D42" s="27">
        <v>0</v>
      </c>
      <c r="E42" s="27">
        <v>0</v>
      </c>
    </row>
    <row r="43" spans="2:5" ht="14.25" customHeight="1"/>
    <row r="44" spans="2:5" ht="14.25" customHeight="1"/>
    <row r="45" spans="2:5" ht="14.25" customHeight="1"/>
    <row r="46" spans="2:5" ht="14.25" customHeight="1"/>
    <row r="47" spans="2:5" ht="14.25" customHeight="1"/>
    <row r="48" spans="2:5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c43cc51-5868-4a98-ab1b-1dfe0ccc5bc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F2EA729E40B64C9E3BDE9867A86F8E" ma:contentTypeVersion="8" ma:contentTypeDescription="Create a new document." ma:contentTypeScope="" ma:versionID="1ce72829a67417a6037511a09d451c62">
  <xsd:schema xmlns:xsd="http://www.w3.org/2001/XMLSchema" xmlns:xs="http://www.w3.org/2001/XMLSchema" xmlns:p="http://schemas.microsoft.com/office/2006/metadata/properties" xmlns:ns3="8c43cc51-5868-4a98-ab1b-1dfe0ccc5bca" xmlns:ns4="f3f9a561-298b-4309-aa23-401c63cea76b" targetNamespace="http://schemas.microsoft.com/office/2006/metadata/properties" ma:root="true" ma:fieldsID="fd5fe56108e95763f7a61f577992653a" ns3:_="" ns4:_="">
    <xsd:import namespace="8c43cc51-5868-4a98-ab1b-1dfe0ccc5bca"/>
    <xsd:import namespace="f3f9a561-298b-4309-aa23-401c63cea76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43cc51-5868-4a98-ab1b-1dfe0ccc5b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f9a561-298b-4309-aa23-401c63cea76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71A84E-339F-42AE-9EFC-AE1AFD8DFB40}">
  <ds:schemaRefs>
    <ds:schemaRef ds:uri="http://www.w3.org/XML/1998/namespace"/>
    <ds:schemaRef ds:uri="http://schemas.microsoft.com/office/2006/documentManagement/types"/>
    <ds:schemaRef ds:uri="http://purl.org/dc/terms/"/>
    <ds:schemaRef ds:uri="http://purl.org/dc/elements/1.1/"/>
    <ds:schemaRef ds:uri="8c43cc51-5868-4a98-ab1b-1dfe0ccc5bca"/>
    <ds:schemaRef ds:uri="f3f9a561-298b-4309-aa23-401c63cea76b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C2AC65E-ADAA-475E-91A4-DC1B5B631A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AE589B-8E2E-41E4-9EAF-63183856FC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43cc51-5868-4a98-ab1b-1dfe0ccc5bca"/>
    <ds:schemaRef ds:uri="f3f9a561-298b-4309-aa23-401c63cea7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Cover Page</vt:lpstr>
      <vt:lpstr>Free Cash Flow</vt:lpstr>
      <vt:lpstr>Fixed Assets</vt:lpstr>
      <vt:lpstr>Net Working Capital</vt:lpstr>
      <vt:lpstr>DCF</vt:lpstr>
      <vt:lpstr>WACC</vt:lpstr>
      <vt:lpstr>Data Source --&gt;</vt:lpstr>
      <vt:lpstr>Income Statement</vt:lpstr>
      <vt:lpstr>Balance Sheet</vt:lpstr>
      <vt:lpstr>Cash Flow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Q</dc:creator>
  <cp:lastModifiedBy>Umbright, Connor</cp:lastModifiedBy>
  <dcterms:created xsi:type="dcterms:W3CDTF">2022-06-25T16:24:49Z</dcterms:created>
  <dcterms:modified xsi:type="dcterms:W3CDTF">2023-02-26T19:42:28Z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0x01010098F2EA729E40B64C9E3BDE9867A86F8E</vt:lpwstr>
  </property>
</Properties>
</file>