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B4D0D31F-C3AB-4B5E-B5D7-D3054DCC0B3B}" xr6:coauthVersionLast="47" xr6:coauthVersionMax="47" xr10:uidLastSave="{00000000-0000-0000-0000-000000000000}"/>
  <bookViews>
    <workbookView xWindow="-110" yWindow="-110" windowWidth="19420" windowHeight="10300" xr2:uid="{99E44F08-80C7-4B71-A1B1-C9B53A9D53D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1" i="1"/>
  <c r="N59" i="1"/>
  <c r="M59" i="1"/>
  <c r="L59" i="1"/>
  <c r="K59" i="1"/>
  <c r="J59" i="1"/>
  <c r="I59" i="1"/>
  <c r="H59" i="1"/>
  <c r="G59" i="1"/>
  <c r="F59" i="1"/>
  <c r="N52" i="1"/>
  <c r="M52" i="1"/>
  <c r="L52" i="1"/>
  <c r="K52" i="1"/>
  <c r="J52" i="1"/>
  <c r="I52" i="1"/>
  <c r="H52" i="1"/>
  <c r="G52" i="1"/>
  <c r="F52" i="1"/>
  <c r="N51" i="1"/>
  <c r="N50" i="1"/>
  <c r="M50" i="1"/>
  <c r="L50" i="1"/>
  <c r="K50" i="1"/>
  <c r="J50" i="1"/>
  <c r="I50" i="1"/>
  <c r="H50" i="1"/>
  <c r="G50" i="1"/>
  <c r="F50" i="1"/>
  <c r="F55" i="1"/>
  <c r="F56" i="1"/>
  <c r="F54" i="1"/>
  <c r="C17" i="1"/>
  <c r="N22" i="1"/>
  <c r="F31" i="1"/>
  <c r="J20" i="1"/>
  <c r="K20" i="1" s="1"/>
  <c r="F20" i="1"/>
  <c r="F22" i="1" s="1"/>
  <c r="F24" i="1" s="1"/>
  <c r="J19" i="1"/>
  <c r="J21" i="1" s="1"/>
  <c r="F19" i="1"/>
  <c r="G19" i="1" s="1"/>
  <c r="O96" i="1"/>
  <c r="O97" i="1" s="1"/>
  <c r="K22" i="1" l="1"/>
  <c r="L20" i="1"/>
  <c r="G21" i="1"/>
  <c r="H19" i="1"/>
  <c r="F21" i="1"/>
  <c r="G20" i="1"/>
  <c r="J22" i="1"/>
  <c r="J26" i="1" s="1"/>
  <c r="J28" i="1" s="1"/>
  <c r="J35" i="1" s="1"/>
  <c r="K19" i="1"/>
  <c r="H20" i="1" l="1"/>
  <c r="G22" i="1"/>
  <c r="G24" i="1" s="1"/>
  <c r="M20" i="1"/>
  <c r="M22" i="1" s="1"/>
  <c r="L22" i="1"/>
  <c r="F26" i="1"/>
  <c r="F28" i="1" s="1"/>
  <c r="F23" i="1"/>
  <c r="G23" i="1" s="1"/>
  <c r="L19" i="1"/>
  <c r="K21" i="1"/>
  <c r="K26" i="1" s="1"/>
  <c r="K28" i="1" s="1"/>
  <c r="K35" i="1" s="1"/>
  <c r="I19" i="1"/>
  <c r="I21" i="1" s="1"/>
  <c r="H21" i="1"/>
  <c r="H23" i="1" l="1"/>
  <c r="I23" i="1"/>
  <c r="J23" i="1" s="1"/>
  <c r="K23" i="1" s="1"/>
  <c r="L23" i="1" s="1"/>
  <c r="G26" i="1"/>
  <c r="G28" i="1" s="1"/>
  <c r="G35" i="1" s="1"/>
  <c r="M19" i="1"/>
  <c r="L21" i="1"/>
  <c r="L26" i="1" s="1"/>
  <c r="L28" i="1" s="1"/>
  <c r="L35" i="1" s="1"/>
  <c r="I20" i="1"/>
  <c r="I22" i="1" s="1"/>
  <c r="I26" i="1" s="1"/>
  <c r="I28" i="1" s="1"/>
  <c r="I35" i="1" s="1"/>
  <c r="H22" i="1"/>
  <c r="H24" i="1" s="1"/>
  <c r="I24" i="1" s="1"/>
  <c r="J24" i="1" s="1"/>
  <c r="K24" i="1" s="1"/>
  <c r="L24" i="1" s="1"/>
  <c r="M24" i="1" s="1"/>
  <c r="N24" i="1" s="1"/>
  <c r="H26" i="1" l="1"/>
  <c r="H28" i="1" s="1"/>
  <c r="H35" i="1" s="1"/>
  <c r="N19" i="1"/>
  <c r="N21" i="1" s="1"/>
  <c r="N26" i="1" s="1"/>
  <c r="M21" i="1"/>
  <c r="M26" i="1" s="1"/>
  <c r="M28" i="1" s="1"/>
  <c r="M35" i="1" s="1"/>
  <c r="M23" i="1" l="1"/>
  <c r="N23" i="1" s="1"/>
  <c r="N27" i="1" s="1"/>
  <c r="N28" i="1"/>
  <c r="N35" i="1" s="1"/>
  <c r="P134" i="1" l="1"/>
  <c r="O134" i="1"/>
  <c r="N134" i="1"/>
  <c r="M134" i="1"/>
  <c r="L134" i="1"/>
  <c r="K134" i="1"/>
  <c r="J134" i="1"/>
  <c r="I134" i="1"/>
  <c r="H134" i="1"/>
  <c r="G134" i="1"/>
  <c r="G145" i="1"/>
  <c r="G141" i="1"/>
  <c r="O130" i="1"/>
  <c r="N130" i="1"/>
  <c r="F121" i="1"/>
  <c r="K125" i="1"/>
  <c r="K129" i="1" s="1"/>
  <c r="L123" i="1"/>
  <c r="L125" i="1" s="1"/>
  <c r="G125" i="1"/>
  <c r="G129" i="1" s="1"/>
  <c r="H123" i="1"/>
  <c r="I123" i="1" s="1"/>
  <c r="J123" i="1" s="1"/>
  <c r="J125" i="1" s="1"/>
  <c r="P101" i="1"/>
  <c r="O101" i="1"/>
  <c r="N101" i="1"/>
  <c r="M101" i="1"/>
  <c r="L101" i="1"/>
  <c r="K101" i="1"/>
  <c r="J101" i="1"/>
  <c r="I101" i="1"/>
  <c r="H101" i="1"/>
  <c r="G101" i="1"/>
  <c r="G112" i="1"/>
  <c r="G108" i="1"/>
  <c r="F86" i="1"/>
  <c r="G86" i="1" s="1"/>
  <c r="J6" i="1"/>
  <c r="F122" i="1" s="1"/>
  <c r="E6" i="1"/>
  <c r="K90" i="1"/>
  <c r="K92" i="1" s="1"/>
  <c r="L88" i="1"/>
  <c r="M88" i="1" s="1"/>
  <c r="N88" i="1" s="1"/>
  <c r="O88" i="1" s="1"/>
  <c r="O90" i="1" s="1"/>
  <c r="O92" i="1" s="1"/>
  <c r="G90" i="1"/>
  <c r="G95" i="1" s="1"/>
  <c r="G96" i="1" s="1"/>
  <c r="H88" i="1"/>
  <c r="I88" i="1" s="1"/>
  <c r="J88" i="1" s="1"/>
  <c r="J90" i="1" s="1"/>
  <c r="F87" i="1" l="1"/>
  <c r="G87" i="1" s="1"/>
  <c r="F30" i="1"/>
  <c r="F32" i="1" s="1"/>
  <c r="F35" i="1" s="1"/>
  <c r="K127" i="1"/>
  <c r="K142" i="1" s="1"/>
  <c r="G113" i="1"/>
  <c r="G114" i="1" s="1"/>
  <c r="H112" i="1" s="1"/>
  <c r="G97" i="1"/>
  <c r="K93" i="1"/>
  <c r="O93" i="1"/>
  <c r="F135" i="1"/>
  <c r="L127" i="1"/>
  <c r="L129" i="1"/>
  <c r="K146" i="1"/>
  <c r="K130" i="1"/>
  <c r="J129" i="1"/>
  <c r="J127" i="1"/>
  <c r="G130" i="1"/>
  <c r="G146" i="1"/>
  <c r="G147" i="1" s="1"/>
  <c r="H145" i="1" s="1"/>
  <c r="H125" i="1"/>
  <c r="G127" i="1"/>
  <c r="I125" i="1"/>
  <c r="M123" i="1"/>
  <c r="K95" i="1"/>
  <c r="K96" i="1" s="1"/>
  <c r="M90" i="1"/>
  <c r="G92" i="1"/>
  <c r="J95" i="1"/>
  <c r="J96" i="1" s="1"/>
  <c r="J92" i="1"/>
  <c r="J93" i="1" s="1"/>
  <c r="N90" i="1"/>
  <c r="N95" i="1" s="1"/>
  <c r="N96" i="1" s="1"/>
  <c r="H90" i="1"/>
  <c r="I90" i="1"/>
  <c r="L90" i="1"/>
  <c r="F38" i="1" l="1"/>
  <c r="F37" i="1"/>
  <c r="K128" i="1"/>
  <c r="K131" i="1" s="1"/>
  <c r="K133" i="1" s="1"/>
  <c r="K135" i="1" s="1"/>
  <c r="J113" i="1"/>
  <c r="J97" i="1"/>
  <c r="O109" i="1"/>
  <c r="O94" i="1"/>
  <c r="O98" i="1" s="1"/>
  <c r="N97" i="1"/>
  <c r="N113" i="1"/>
  <c r="K113" i="1"/>
  <c r="K97" i="1"/>
  <c r="K109" i="1"/>
  <c r="K94" i="1"/>
  <c r="J94" i="1"/>
  <c r="J109" i="1"/>
  <c r="G93" i="1"/>
  <c r="J146" i="1"/>
  <c r="J130" i="1"/>
  <c r="L142" i="1"/>
  <c r="L128" i="1"/>
  <c r="N123" i="1"/>
  <c r="M125" i="1"/>
  <c r="G128" i="1"/>
  <c r="G131" i="1" s="1"/>
  <c r="G133" i="1" s="1"/>
  <c r="G135" i="1" s="1"/>
  <c r="G142" i="1"/>
  <c r="G143" i="1" s="1"/>
  <c r="H141" i="1" s="1"/>
  <c r="H129" i="1"/>
  <c r="H127" i="1"/>
  <c r="I127" i="1"/>
  <c r="I129" i="1"/>
  <c r="J142" i="1"/>
  <c r="J128" i="1"/>
  <c r="L146" i="1"/>
  <c r="L130" i="1"/>
  <c r="M95" i="1"/>
  <c r="M96" i="1" s="1"/>
  <c r="M92" i="1"/>
  <c r="M93" i="1" s="1"/>
  <c r="N92" i="1"/>
  <c r="N93" i="1" s="1"/>
  <c r="L92" i="1"/>
  <c r="L93" i="1" s="1"/>
  <c r="L95" i="1"/>
  <c r="L96" i="1" s="1"/>
  <c r="H92" i="1"/>
  <c r="H93" i="1" s="1"/>
  <c r="H95" i="1"/>
  <c r="H96" i="1" s="1"/>
  <c r="I95" i="1"/>
  <c r="I96" i="1" s="1"/>
  <c r="I92" i="1"/>
  <c r="I93" i="1" s="1"/>
  <c r="J98" i="1" l="1"/>
  <c r="J100" i="1" s="1"/>
  <c r="J102" i="1" s="1"/>
  <c r="K98" i="1"/>
  <c r="K100" i="1" s="1"/>
  <c r="K102" i="1" s="1"/>
  <c r="N109" i="1"/>
  <c r="N94" i="1"/>
  <c r="N98" i="1" s="1"/>
  <c r="N100" i="1" s="1"/>
  <c r="N102" i="1" s="1"/>
  <c r="H113" i="1"/>
  <c r="H114" i="1" s="1"/>
  <c r="I112" i="1" s="1"/>
  <c r="H97" i="1"/>
  <c r="M109" i="1"/>
  <c r="M94" i="1"/>
  <c r="L97" i="1"/>
  <c r="L113" i="1"/>
  <c r="I113" i="1"/>
  <c r="I97" i="1"/>
  <c r="H109" i="1"/>
  <c r="H94" i="1"/>
  <c r="M113" i="1"/>
  <c r="M97" i="1"/>
  <c r="G94" i="1"/>
  <c r="G98" i="1" s="1"/>
  <c r="G109" i="1"/>
  <c r="G110" i="1" s="1"/>
  <c r="H108" i="1" s="1"/>
  <c r="H110" i="1" s="1"/>
  <c r="I108" i="1" s="1"/>
  <c r="L109" i="1"/>
  <c r="L94" i="1"/>
  <c r="I109" i="1"/>
  <c r="I94" i="1"/>
  <c r="L131" i="1"/>
  <c r="L133" i="1" s="1"/>
  <c r="L135" i="1" s="1"/>
  <c r="J131" i="1"/>
  <c r="J133" i="1" s="1"/>
  <c r="J135" i="1" s="1"/>
  <c r="H128" i="1"/>
  <c r="H142" i="1"/>
  <c r="H143" i="1" s="1"/>
  <c r="I141" i="1" s="1"/>
  <c r="M127" i="1"/>
  <c r="M129" i="1"/>
  <c r="H130" i="1"/>
  <c r="H146" i="1"/>
  <c r="H147" i="1" s="1"/>
  <c r="I145" i="1" s="1"/>
  <c r="O123" i="1"/>
  <c r="O125" i="1" s="1"/>
  <c r="O127" i="1" s="1"/>
  <c r="N125" i="1"/>
  <c r="N127" i="1" s="1"/>
  <c r="I146" i="1"/>
  <c r="I130" i="1"/>
  <c r="I142" i="1"/>
  <c r="I128" i="1"/>
  <c r="Q95" i="1"/>
  <c r="H98" i="1" l="1"/>
  <c r="H100" i="1" s="1"/>
  <c r="H102" i="1" s="1"/>
  <c r="G100" i="1"/>
  <c r="I131" i="1"/>
  <c r="I133" i="1" s="1"/>
  <c r="I135" i="1" s="1"/>
  <c r="H131" i="1"/>
  <c r="H133" i="1" s="1"/>
  <c r="H135" i="1" s="1"/>
  <c r="I143" i="1"/>
  <c r="J141" i="1" s="1"/>
  <c r="J143" i="1" s="1"/>
  <c r="K141" i="1" s="1"/>
  <c r="K143" i="1" s="1"/>
  <c r="L141" i="1" s="1"/>
  <c r="L143" i="1" s="1"/>
  <c r="M141" i="1" s="1"/>
  <c r="I98" i="1"/>
  <c r="I100" i="1" s="1"/>
  <c r="I102" i="1" s="1"/>
  <c r="I114" i="1"/>
  <c r="J112" i="1" s="1"/>
  <c r="J114" i="1" s="1"/>
  <c r="K112" i="1" s="1"/>
  <c r="K114" i="1" s="1"/>
  <c r="L112" i="1" s="1"/>
  <c r="L114" i="1" s="1"/>
  <c r="M112" i="1" s="1"/>
  <c r="M114" i="1" s="1"/>
  <c r="N112" i="1" s="1"/>
  <c r="N114" i="1" s="1"/>
  <c r="M142" i="1"/>
  <c r="M128" i="1"/>
  <c r="M146" i="1"/>
  <c r="M130" i="1"/>
  <c r="N142" i="1"/>
  <c r="N128" i="1"/>
  <c r="N131" i="1" s="1"/>
  <c r="N133" i="1" s="1"/>
  <c r="N135" i="1" s="1"/>
  <c r="O128" i="1"/>
  <c r="O131" i="1" s="1"/>
  <c r="O133" i="1" s="1"/>
  <c r="O135" i="1" s="1"/>
  <c r="O142" i="1"/>
  <c r="L98" i="1"/>
  <c r="L100" i="1" s="1"/>
  <c r="L102" i="1" s="1"/>
  <c r="I147" i="1"/>
  <c r="J145" i="1" s="1"/>
  <c r="J147" i="1" s="1"/>
  <c r="K145" i="1" s="1"/>
  <c r="K147" i="1" s="1"/>
  <c r="L145" i="1" s="1"/>
  <c r="L147" i="1" s="1"/>
  <c r="M145" i="1" s="1"/>
  <c r="I110" i="1"/>
  <c r="J108" i="1" s="1"/>
  <c r="J110" i="1" s="1"/>
  <c r="K108" i="1" s="1"/>
  <c r="K110" i="1" s="1"/>
  <c r="L108" i="1" s="1"/>
  <c r="L110" i="1" s="1"/>
  <c r="M108" i="1" s="1"/>
  <c r="M110" i="1" s="1"/>
  <c r="N108" i="1" s="1"/>
  <c r="N110" i="1" s="1"/>
  <c r="O108" i="1" s="1"/>
  <c r="O110" i="1" s="1"/>
  <c r="P92" i="1" s="1"/>
  <c r="M98" i="1"/>
  <c r="M100" i="1" s="1"/>
  <c r="M102" i="1" s="1"/>
  <c r="M143" i="1" l="1"/>
  <c r="N141" i="1" s="1"/>
  <c r="G102" i="1"/>
  <c r="M131" i="1"/>
  <c r="M133" i="1" s="1"/>
  <c r="M135" i="1" s="1"/>
  <c r="N143" i="1"/>
  <c r="O141" i="1" s="1"/>
  <c r="O143" i="1" s="1"/>
  <c r="P127" i="1" s="1"/>
  <c r="P128" i="1" s="1"/>
  <c r="P131" i="1" s="1"/>
  <c r="P133" i="1" s="1"/>
  <c r="P135" i="1" s="1"/>
  <c r="F137" i="1" s="1"/>
  <c r="M147" i="1"/>
  <c r="N145" i="1" s="1"/>
  <c r="N147" i="1" s="1"/>
  <c r="Q92" i="1"/>
  <c r="P94" i="1"/>
  <c r="P98" i="1" s="1"/>
  <c r="P100" i="1" l="1"/>
  <c r="P102" i="1" s="1"/>
  <c r="O99" i="1"/>
  <c r="O100" i="1" s="1"/>
  <c r="F136" i="1"/>
  <c r="O102" i="1" l="1"/>
  <c r="F104" i="1" s="1"/>
  <c r="F103" i="1"/>
</calcChain>
</file>

<file path=xl/sharedStrings.xml><?xml version="1.0" encoding="utf-8"?>
<sst xmlns="http://schemas.openxmlformats.org/spreadsheetml/2006/main" count="155" uniqueCount="68">
  <si>
    <t>Brand 1</t>
  </si>
  <si>
    <t>Brand 2</t>
  </si>
  <si>
    <t>T-Shirt</t>
  </si>
  <si>
    <t>Hoodies</t>
  </si>
  <si>
    <t xml:space="preserve">Discount </t>
  </si>
  <si>
    <t>Sale Price</t>
  </si>
  <si>
    <t>Purch Price</t>
  </si>
  <si>
    <t>Assumptions</t>
  </si>
  <si>
    <t xml:space="preserve">Sales Distribution </t>
  </si>
  <si>
    <t>Spring</t>
  </si>
  <si>
    <t xml:space="preserve">Fall </t>
  </si>
  <si>
    <t>T-Shirts</t>
  </si>
  <si>
    <t>Salvage value</t>
  </si>
  <si>
    <t>QTY</t>
  </si>
  <si>
    <t>Embroidery Cost</t>
  </si>
  <si>
    <t>September</t>
  </si>
  <si>
    <t xml:space="preserve">October </t>
  </si>
  <si>
    <t>Novermber</t>
  </si>
  <si>
    <t xml:space="preserve">December </t>
  </si>
  <si>
    <t xml:space="preserve">January </t>
  </si>
  <si>
    <t>Febuary</t>
  </si>
  <si>
    <t xml:space="preserve">March </t>
  </si>
  <si>
    <t xml:space="preserve">April </t>
  </si>
  <si>
    <t>May</t>
  </si>
  <si>
    <t>Period</t>
  </si>
  <si>
    <t>Month</t>
  </si>
  <si>
    <t>QTY Sold</t>
  </si>
  <si>
    <t>Sales Growth</t>
  </si>
  <si>
    <t>Rounded QTY</t>
  </si>
  <si>
    <t>Product Mix</t>
  </si>
  <si>
    <t>Revenue</t>
  </si>
  <si>
    <t>Total Revenue</t>
  </si>
  <si>
    <t>FCF</t>
  </si>
  <si>
    <t>Discount Rate</t>
  </si>
  <si>
    <t>Discount Factor</t>
  </si>
  <si>
    <t>NPV</t>
  </si>
  <si>
    <t>May Salvage</t>
  </si>
  <si>
    <t>Purchase Cost</t>
  </si>
  <si>
    <t>QTY Available</t>
  </si>
  <si>
    <t>Beg</t>
  </si>
  <si>
    <t>Sold</t>
  </si>
  <si>
    <t>End</t>
  </si>
  <si>
    <t>PV</t>
  </si>
  <si>
    <t>IRR</t>
  </si>
  <si>
    <t>November</t>
  </si>
  <si>
    <t>T Shirts Demand</t>
  </si>
  <si>
    <t>Hoodies Demand</t>
  </si>
  <si>
    <t>October</t>
  </si>
  <si>
    <t>December</t>
  </si>
  <si>
    <t>January</t>
  </si>
  <si>
    <t>March</t>
  </si>
  <si>
    <t>April</t>
  </si>
  <si>
    <t>Months</t>
  </si>
  <si>
    <t>Shirts Demand</t>
  </si>
  <si>
    <t>Shirts Sold</t>
  </si>
  <si>
    <t>Hoodies Sold</t>
  </si>
  <si>
    <t>Shirts Leftover</t>
  </si>
  <si>
    <t>Hoodies Leftover</t>
  </si>
  <si>
    <t>Sales</t>
  </si>
  <si>
    <t>Salvage</t>
  </si>
  <si>
    <t>Embroidery</t>
  </si>
  <si>
    <t>Initial investment</t>
  </si>
  <si>
    <t>Total Cost</t>
  </si>
  <si>
    <t>Cash Flow</t>
  </si>
  <si>
    <t>Monthly sales Decrease</t>
  </si>
  <si>
    <t>Monthly Discount Rate</t>
  </si>
  <si>
    <t>Total revenue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</si>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</sst>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"/>
    <numFmt numFmtId="165" formatCode="0.0000"/>
    <numFmt numFmtId="166" formatCode="&quot;$&quot;#,##0.00"/>
    <numFmt numFmtId="167" formatCode="0.000"/>
  </numFmts>
  <fonts count="5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1"/>
    </xf>
    <xf numFmtId="1" fontId="0" fillId="0" borderId="0" xfId="0" applyNumberFormat="1"/>
    <xf numFmtId="0" fontId="1" fillId="0" borderId="0" xfId="0" applyFont="1" applyAlignment="1">
      <alignment horizontal="left"/>
    </xf>
    <xf numFmtId="8" fontId="1" fillId="0" borderId="0" xfId="0" applyNumberFormat="1" applyFont="1"/>
    <xf numFmtId="38" fontId="0" fillId="0" borderId="0" xfId="0" applyNumberFormat="1"/>
    <xf numFmtId="8" fontId="1" fillId="0" borderId="1" xfId="0" applyNumberFormat="1" applyFont="1" applyBorder="1"/>
    <xf numFmtId="164" fontId="0" fillId="0" borderId="0" xfId="0" applyNumberFormat="1"/>
    <xf numFmtId="164" fontId="1" fillId="0" borderId="0" xfId="0" applyNumberFormat="1" applyFont="1"/>
    <xf numFmtId="38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8" fontId="0" fillId="0" borderId="3" xfId="0" applyNumberFormat="1" applyBorder="1"/>
    <xf numFmtId="9" fontId="0" fillId="0" borderId="3" xfId="0" applyNumberFormat="1" applyBorder="1"/>
    <xf numFmtId="8" fontId="0" fillId="0" borderId="4" xfId="0" applyNumberFormat="1" applyBorder="1"/>
    <xf numFmtId="8" fontId="0" fillId="0" borderId="5" xfId="0" applyNumberFormat="1" applyBorder="1"/>
    <xf numFmtId="8" fontId="0" fillId="0" borderId="1" xfId="0" applyNumberFormat="1" applyBorder="1"/>
    <xf numFmtId="166" fontId="0" fillId="0" borderId="1" xfId="0" applyNumberFormat="1" applyBorder="1"/>
    <xf numFmtId="9" fontId="1" fillId="0" borderId="0" xfId="1" applyFont="1"/>
    <xf numFmtId="167" fontId="0" fillId="0" borderId="0" xfId="0" applyNumberFormat="1"/>
    <xf numFmtId="167" fontId="1" fillId="0" borderId="0" xfId="0" applyNumberFormat="1" applyFont="1"/>
    <xf numFmtId="0" fontId="1" fillId="0" borderId="1" xfId="0" applyFont="1" applyBorder="1"/>
    <xf numFmtId="10" fontId="0" fillId="0" borderId="0" xfId="0" applyNumberFormat="1"/>
    <xf numFmtId="9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1CF0-8D66-4D2A-9D2B-5336984B6984}">
  <dimension ref="A1:Q147"/>
  <sheetViews>
    <sheetView tabSelected="1" workbookViewId="0">
      <selection activeCell="H19" sqref="H19"/>
    </sheetView>
  </sheetViews>
  <sheetFormatPr defaultRowHeight="11.25" x14ac:dyDescent="0.2"/>
  <cols>
    <col min="2" max="2" width="23.6640625" bestFit="1" customWidth="1"/>
    <col min="3" max="3" width="9.83203125" bestFit="1" customWidth="1"/>
    <col min="4" max="4" width="10.33203125" bestFit="1" customWidth="1"/>
    <col min="5" max="5" width="16" bestFit="1" customWidth="1"/>
    <col min="6" max="6" width="11.5" bestFit="1" customWidth="1"/>
    <col min="7" max="7" width="12.1640625" bestFit="1" customWidth="1"/>
    <col min="9" max="9" width="11.5" bestFit="1" customWidth="1"/>
    <col min="10" max="10" width="11.1640625" bestFit="1" customWidth="1"/>
    <col min="16" max="16" width="12.33203125" bestFit="1" customWidth="1"/>
  </cols>
  <sheetData>
    <row r="1" spans="1:10" x14ac:dyDescent="0.2">
      <c r="A1" s="4" t="s">
        <v>7</v>
      </c>
    </row>
    <row r="2" spans="1:10" x14ac:dyDescent="0.2">
      <c r="B2" s="1" t="s">
        <v>0</v>
      </c>
      <c r="G2" s="1" t="s">
        <v>1</v>
      </c>
    </row>
    <row r="3" spans="1:10" ht="12" thickBot="1" x14ac:dyDescent="0.25">
      <c r="B3" s="1"/>
      <c r="C3" s="5" t="s">
        <v>5</v>
      </c>
      <c r="D3" s="5" t="s">
        <v>6</v>
      </c>
      <c r="E3" s="5" t="s">
        <v>13</v>
      </c>
      <c r="H3" s="5" t="s">
        <v>5</v>
      </c>
      <c r="I3" s="5" t="s">
        <v>6</v>
      </c>
      <c r="J3" s="5" t="s">
        <v>13</v>
      </c>
    </row>
    <row r="4" spans="1:10" x14ac:dyDescent="0.2">
      <c r="B4" t="s">
        <v>2</v>
      </c>
      <c r="C4" s="3">
        <v>35</v>
      </c>
      <c r="D4" s="3">
        <v>25</v>
      </c>
      <c r="E4">
        <v>120</v>
      </c>
      <c r="G4" t="s">
        <v>2</v>
      </c>
      <c r="H4" s="3">
        <v>20</v>
      </c>
      <c r="I4" s="3">
        <v>10</v>
      </c>
      <c r="J4">
        <v>120</v>
      </c>
    </row>
    <row r="5" spans="1:10" x14ac:dyDescent="0.2">
      <c r="B5" t="s">
        <v>3</v>
      </c>
      <c r="C5" s="3">
        <v>65</v>
      </c>
      <c r="D5" s="3">
        <v>50</v>
      </c>
      <c r="E5">
        <v>38</v>
      </c>
      <c r="G5" t="s">
        <v>3</v>
      </c>
      <c r="H5" s="3">
        <v>32</v>
      </c>
      <c r="I5" s="3">
        <v>20</v>
      </c>
      <c r="J5">
        <v>38</v>
      </c>
    </row>
    <row r="6" spans="1:10" x14ac:dyDescent="0.2">
      <c r="B6" t="s">
        <v>4</v>
      </c>
      <c r="C6" s="2">
        <v>0.15</v>
      </c>
      <c r="E6">
        <f>SUM(E4:E5)</f>
        <v>158</v>
      </c>
      <c r="G6" t="s">
        <v>4</v>
      </c>
      <c r="H6" s="2">
        <v>0.25</v>
      </c>
      <c r="J6">
        <f>SUM(J4:J5)</f>
        <v>158</v>
      </c>
    </row>
    <row r="8" spans="1:10" x14ac:dyDescent="0.2">
      <c r="B8" s="1" t="s">
        <v>8</v>
      </c>
    </row>
    <row r="10" spans="1:10" x14ac:dyDescent="0.2">
      <c r="C10" s="1" t="s">
        <v>10</v>
      </c>
      <c r="D10" s="1" t="s">
        <v>9</v>
      </c>
    </row>
    <row r="11" spans="1:10" x14ac:dyDescent="0.2">
      <c r="B11" s="1" t="s">
        <v>11</v>
      </c>
      <c r="C11" s="2">
        <v>0.8</v>
      </c>
      <c r="D11" s="2">
        <v>0.6</v>
      </c>
    </row>
    <row r="12" spans="1:10" x14ac:dyDescent="0.2">
      <c r="B12" s="1" t="s">
        <v>3</v>
      </c>
      <c r="C12" s="2">
        <v>0.2</v>
      </c>
      <c r="D12" s="2">
        <v>0.4</v>
      </c>
    </row>
    <row r="14" spans="1:10" x14ac:dyDescent="0.2">
      <c r="B14" t="s">
        <v>12</v>
      </c>
      <c r="C14" s="2">
        <v>0.5</v>
      </c>
    </row>
    <row r="15" spans="1:10" x14ac:dyDescent="0.2">
      <c r="B15" t="s">
        <v>14</v>
      </c>
      <c r="C15" s="3">
        <v>5</v>
      </c>
    </row>
    <row r="16" spans="1:10" x14ac:dyDescent="0.2">
      <c r="B16" s="1" t="s">
        <v>33</v>
      </c>
      <c r="C16" s="2">
        <v>7.0000000000000007E-2</v>
      </c>
      <c r="E16" s="4" t="s">
        <v>0</v>
      </c>
    </row>
    <row r="17" spans="2:14" x14ac:dyDescent="0.2">
      <c r="B17" s="1" t="s">
        <v>65</v>
      </c>
      <c r="C17" s="28">
        <f>+C16/12</f>
        <v>5.8333333333333336E-3</v>
      </c>
    </row>
    <row r="18" spans="2:14" ht="12" thickBot="1" x14ac:dyDescent="0.25">
      <c r="B18" s="1" t="s">
        <v>64</v>
      </c>
      <c r="C18" s="2">
        <v>0.1</v>
      </c>
      <c r="E18" s="27" t="s">
        <v>52</v>
      </c>
      <c r="F18" s="27" t="s">
        <v>15</v>
      </c>
      <c r="G18" s="27" t="s">
        <v>47</v>
      </c>
      <c r="H18" s="27" t="s">
        <v>44</v>
      </c>
      <c r="I18" s="27" t="s">
        <v>48</v>
      </c>
      <c r="J18" s="27" t="s">
        <v>49</v>
      </c>
      <c r="K18" s="27" t="s">
        <v>20</v>
      </c>
      <c r="L18" s="27" t="s">
        <v>50</v>
      </c>
      <c r="M18" s="27" t="s">
        <v>51</v>
      </c>
      <c r="N18" s="27" t="s">
        <v>23</v>
      </c>
    </row>
    <row r="19" spans="2:14" x14ac:dyDescent="0.2">
      <c r="B19" s="1"/>
      <c r="C19" s="2"/>
      <c r="E19" t="s">
        <v>53</v>
      </c>
      <c r="F19">
        <f>20*C11</f>
        <v>16</v>
      </c>
      <c r="G19">
        <f>+ROUNDDOWN((F19*(1-$C$18)),0)</f>
        <v>14</v>
      </c>
      <c r="H19">
        <f t="shared" ref="H19:I19" si="0">+ROUNDDOWN((G19*(1-$C$18)),0)</f>
        <v>12</v>
      </c>
      <c r="I19">
        <f t="shared" si="0"/>
        <v>10</v>
      </c>
      <c r="J19">
        <f>20*D11</f>
        <v>12</v>
      </c>
      <c r="K19">
        <f>+ROUNDDOWN((J19*(1-$C$18)),0)</f>
        <v>10</v>
      </c>
      <c r="L19">
        <f t="shared" ref="L19:N19" si="1">+ROUNDDOWN((K19*(1-$C$18)),0)</f>
        <v>9</v>
      </c>
      <c r="M19">
        <f t="shared" si="1"/>
        <v>8</v>
      </c>
      <c r="N19">
        <f t="shared" si="1"/>
        <v>7</v>
      </c>
    </row>
    <row r="20" spans="2:14" x14ac:dyDescent="0.2">
      <c r="B20" s="1"/>
      <c r="C20" s="2"/>
      <c r="E20" t="s">
        <v>46</v>
      </c>
      <c r="F20">
        <f>20*C12</f>
        <v>4</v>
      </c>
      <c r="G20">
        <f>+ROUNDDOWN((F20*(1-$C$18)),0)</f>
        <v>3</v>
      </c>
      <c r="H20">
        <f t="shared" ref="H20:I20" si="2">+ROUNDDOWN((G20*(1-$C$18)),0)</f>
        <v>2</v>
      </c>
      <c r="I20">
        <f t="shared" si="2"/>
        <v>1</v>
      </c>
      <c r="J20">
        <f>20*D12</f>
        <v>8</v>
      </c>
      <c r="K20">
        <f>+ROUNDDOWN((J20*(1-$C$18)),0)</f>
        <v>7</v>
      </c>
      <c r="L20">
        <f>+ROUNDDOWN((K20*(1-$C$18)),0)</f>
        <v>6</v>
      </c>
      <c r="M20">
        <f>+ROUNDDOWN((L20*(1-$C$18)),0)</f>
        <v>5</v>
      </c>
      <c r="N20" s="1">
        <v>2</v>
      </c>
    </row>
    <row r="21" spans="2:14" x14ac:dyDescent="0.2">
      <c r="B21" s="1"/>
      <c r="C21" s="2"/>
      <c r="E21" t="s">
        <v>54</v>
      </c>
      <c r="F21">
        <f>+F19</f>
        <v>16</v>
      </c>
      <c r="G21">
        <f t="shared" ref="G21:N21" si="3">+G19</f>
        <v>14</v>
      </c>
      <c r="H21">
        <f t="shared" si="3"/>
        <v>12</v>
      </c>
      <c r="I21">
        <f t="shared" si="3"/>
        <v>10</v>
      </c>
      <c r="J21">
        <f t="shared" si="3"/>
        <v>12</v>
      </c>
      <c r="K21">
        <f t="shared" si="3"/>
        <v>10</v>
      </c>
      <c r="L21">
        <f t="shared" si="3"/>
        <v>9</v>
      </c>
      <c r="M21">
        <f t="shared" si="3"/>
        <v>8</v>
      </c>
      <c r="N21">
        <f t="shared" si="3"/>
        <v>7</v>
      </c>
    </row>
    <row r="22" spans="2:14" x14ac:dyDescent="0.2">
      <c r="B22" s="1"/>
      <c r="C22" s="2"/>
      <c r="E22" t="s">
        <v>55</v>
      </c>
      <c r="F22">
        <f t="shared" ref="F22:N22" si="4">+F20</f>
        <v>4</v>
      </c>
      <c r="G22">
        <f t="shared" si="4"/>
        <v>3</v>
      </c>
      <c r="H22">
        <f t="shared" si="4"/>
        <v>2</v>
      </c>
      <c r="I22">
        <f t="shared" si="4"/>
        <v>1</v>
      </c>
      <c r="J22">
        <f t="shared" si="4"/>
        <v>8</v>
      </c>
      <c r="K22">
        <f t="shared" si="4"/>
        <v>7</v>
      </c>
      <c r="L22">
        <f t="shared" si="4"/>
        <v>6</v>
      </c>
      <c r="M22">
        <f t="shared" si="4"/>
        <v>5</v>
      </c>
      <c r="N22">
        <f t="shared" si="4"/>
        <v>2</v>
      </c>
    </row>
    <row r="23" spans="2:14" x14ac:dyDescent="0.2">
      <c r="B23" s="1"/>
      <c r="C23" s="2"/>
      <c r="E23" t="s">
        <v>56</v>
      </c>
      <c r="F23">
        <f>+(E4-6)-F21</f>
        <v>98</v>
      </c>
      <c r="G23">
        <f>+F23-G21</f>
        <v>84</v>
      </c>
      <c r="H23">
        <f t="shared" ref="H23:N23" si="5">+G23-H21</f>
        <v>72</v>
      </c>
      <c r="I23">
        <f t="shared" si="5"/>
        <v>62</v>
      </c>
      <c r="J23">
        <f t="shared" si="5"/>
        <v>50</v>
      </c>
      <c r="K23">
        <f t="shared" si="5"/>
        <v>40</v>
      </c>
      <c r="L23">
        <f t="shared" si="5"/>
        <v>31</v>
      </c>
      <c r="M23">
        <f t="shared" si="5"/>
        <v>23</v>
      </c>
      <c r="N23">
        <f t="shared" si="5"/>
        <v>16</v>
      </c>
    </row>
    <row r="24" spans="2:14" x14ac:dyDescent="0.2">
      <c r="B24" s="1"/>
      <c r="C24" s="2"/>
      <c r="E24" t="s">
        <v>57</v>
      </c>
      <c r="F24">
        <f>+E5-F22</f>
        <v>34</v>
      </c>
      <c r="G24">
        <f>+F24-G22</f>
        <v>31</v>
      </c>
      <c r="H24">
        <f t="shared" ref="H24:N24" si="6">+G24-H22</f>
        <v>29</v>
      </c>
      <c r="I24">
        <f t="shared" si="6"/>
        <v>28</v>
      </c>
      <c r="J24">
        <f t="shared" si="6"/>
        <v>20</v>
      </c>
      <c r="K24">
        <f t="shared" si="6"/>
        <v>13</v>
      </c>
      <c r="L24">
        <f t="shared" si="6"/>
        <v>7</v>
      </c>
      <c r="M24">
        <f t="shared" si="6"/>
        <v>2</v>
      </c>
      <c r="N24">
        <f t="shared" si="6"/>
        <v>0</v>
      </c>
    </row>
    <row r="25" spans="2:14" x14ac:dyDescent="0.2">
      <c r="B25" s="1"/>
      <c r="C25" s="2"/>
    </row>
    <row r="26" spans="2:14" x14ac:dyDescent="0.2">
      <c r="B26" s="1"/>
      <c r="C26" s="2"/>
      <c r="E26" t="s">
        <v>58</v>
      </c>
      <c r="F26" s="3">
        <f>+(F21*$C$4)+(F22*$C$5)</f>
        <v>820</v>
      </c>
      <c r="G26" s="3">
        <f t="shared" ref="G26:N26" si="7">+(G21*$C$4)+(G22*$C$5)</f>
        <v>685</v>
      </c>
      <c r="H26" s="3">
        <f t="shared" si="7"/>
        <v>550</v>
      </c>
      <c r="I26" s="3">
        <f t="shared" si="7"/>
        <v>415</v>
      </c>
      <c r="J26" s="3">
        <f t="shared" si="7"/>
        <v>940</v>
      </c>
      <c r="K26" s="3">
        <f t="shared" si="7"/>
        <v>805</v>
      </c>
      <c r="L26" s="3">
        <f t="shared" si="7"/>
        <v>705</v>
      </c>
      <c r="M26" s="3">
        <f t="shared" si="7"/>
        <v>605</v>
      </c>
      <c r="N26" s="3">
        <f t="shared" si="7"/>
        <v>375</v>
      </c>
    </row>
    <row r="27" spans="2:14" x14ac:dyDescent="0.2">
      <c r="B27" s="1"/>
      <c r="C27" s="2"/>
      <c r="E27" t="s">
        <v>59</v>
      </c>
      <c r="N27">
        <f>+(N23*C4)*0.5</f>
        <v>280</v>
      </c>
    </row>
    <row r="28" spans="2:14" x14ac:dyDescent="0.2">
      <c r="B28" s="1"/>
      <c r="C28" s="2"/>
      <c r="E28" t="s">
        <v>31</v>
      </c>
      <c r="F28" s="3">
        <f>+F26+F27</f>
        <v>820</v>
      </c>
      <c r="G28" s="3">
        <f t="shared" ref="G28:I28" si="8">+G26+G27</f>
        <v>685</v>
      </c>
      <c r="H28" s="3">
        <f t="shared" si="8"/>
        <v>550</v>
      </c>
      <c r="I28" s="3">
        <f t="shared" si="8"/>
        <v>415</v>
      </c>
      <c r="J28" s="3">
        <f t="shared" ref="J28" si="9">+J26+J27</f>
        <v>940</v>
      </c>
      <c r="K28" s="3">
        <f t="shared" ref="K28" si="10">+K26+K27</f>
        <v>805</v>
      </c>
      <c r="L28" s="3">
        <f t="shared" ref="L28" si="11">+L26+L27</f>
        <v>705</v>
      </c>
      <c r="M28" s="3">
        <f t="shared" ref="M28" si="12">+M26+M27</f>
        <v>605</v>
      </c>
      <c r="N28" s="3">
        <f t="shared" ref="N28" si="13">+N26+N27</f>
        <v>655</v>
      </c>
    </row>
    <row r="29" spans="2:14" x14ac:dyDescent="0.2">
      <c r="B29" s="1"/>
      <c r="C29" s="2"/>
    </row>
    <row r="30" spans="2:14" x14ac:dyDescent="0.2">
      <c r="B30" s="1"/>
      <c r="C30" s="2"/>
      <c r="E30" t="s">
        <v>60</v>
      </c>
      <c r="F30" s="3">
        <f>+E6*C15</f>
        <v>790</v>
      </c>
    </row>
    <row r="31" spans="2:14" x14ac:dyDescent="0.2">
      <c r="B31" s="1"/>
      <c r="C31" s="3"/>
      <c r="E31" t="s">
        <v>61</v>
      </c>
      <c r="F31" s="3">
        <f>+((D4*E4)+(D5*E5))*(1-C6)</f>
        <v>4165</v>
      </c>
    </row>
    <row r="32" spans="2:14" x14ac:dyDescent="0.2">
      <c r="B32" s="1"/>
      <c r="C32" s="2"/>
      <c r="E32" t="s">
        <v>62</v>
      </c>
      <c r="F32" s="3">
        <f>+F31+F30</f>
        <v>4955</v>
      </c>
    </row>
    <row r="33" spans="2:14" x14ac:dyDescent="0.2">
      <c r="B33" s="1"/>
      <c r="C33" s="2"/>
    </row>
    <row r="34" spans="2:14" x14ac:dyDescent="0.2">
      <c r="B34" s="1"/>
      <c r="C34" s="2"/>
    </row>
    <row r="35" spans="2:14" x14ac:dyDescent="0.2">
      <c r="B35" s="1"/>
      <c r="C35" s="2"/>
      <c r="E35" t="s">
        <v>63</v>
      </c>
      <c r="F35" s="3">
        <f>+F28-F32</f>
        <v>-4135</v>
      </c>
      <c r="G35" s="3">
        <f>+G28</f>
        <v>685</v>
      </c>
      <c r="H35" s="3">
        <f t="shared" ref="H35:N35" si="14">+H28</f>
        <v>550</v>
      </c>
      <c r="I35" s="3">
        <f t="shared" si="14"/>
        <v>415</v>
      </c>
      <c r="J35" s="3">
        <f t="shared" si="14"/>
        <v>940</v>
      </c>
      <c r="K35" s="3">
        <f t="shared" si="14"/>
        <v>805</v>
      </c>
      <c r="L35" s="3">
        <f t="shared" si="14"/>
        <v>705</v>
      </c>
      <c r="M35" s="3">
        <f t="shared" si="14"/>
        <v>605</v>
      </c>
      <c r="N35" s="3">
        <f t="shared" si="14"/>
        <v>655</v>
      </c>
    </row>
    <row r="36" spans="2:14" x14ac:dyDescent="0.2">
      <c r="B36" s="1"/>
      <c r="C36" s="2"/>
    </row>
    <row r="37" spans="2:14" x14ac:dyDescent="0.2">
      <c r="B37" s="1"/>
      <c r="C37" s="2"/>
      <c r="E37" s="1" t="s">
        <v>35</v>
      </c>
      <c r="F37" s="10">
        <f>+NPV(C17,G35:N35)+F35</f>
        <v>1084.7005445650884</v>
      </c>
    </row>
    <row r="38" spans="2:14" x14ac:dyDescent="0.2">
      <c r="B38" s="1"/>
      <c r="C38" s="2"/>
      <c r="E38" s="1" t="s">
        <v>43</v>
      </c>
      <c r="F38" s="29">
        <f>+IRR(F35:N35)</f>
        <v>6.03342529243589E-2</v>
      </c>
    </row>
    <row r="39" spans="2:14" x14ac:dyDescent="0.2">
      <c r="B39" s="1"/>
      <c r="C39" s="2"/>
    </row>
    <row r="40" spans="2:14" x14ac:dyDescent="0.2">
      <c r="B40" s="1"/>
      <c r="C40" s="2"/>
      <c r="E40" s="4" t="s">
        <v>1</v>
      </c>
    </row>
    <row r="41" spans="2:14" x14ac:dyDescent="0.2">
      <c r="B41" s="1"/>
      <c r="C41" s="2"/>
    </row>
    <row r="42" spans="2:14" ht="12" thickBot="1" x14ac:dyDescent="0.25">
      <c r="B42" s="1"/>
      <c r="C42" s="2"/>
      <c r="E42" s="27" t="s">
        <v>52</v>
      </c>
      <c r="F42" s="27" t="s">
        <v>15</v>
      </c>
      <c r="G42" s="27" t="s">
        <v>47</v>
      </c>
      <c r="H42" s="27" t="s">
        <v>44</v>
      </c>
      <c r="I42" s="27" t="s">
        <v>48</v>
      </c>
      <c r="J42" s="27" t="s">
        <v>49</v>
      </c>
      <c r="K42" s="27" t="s">
        <v>20</v>
      </c>
      <c r="L42" s="27" t="s">
        <v>50</v>
      </c>
      <c r="M42" s="27" t="s">
        <v>51</v>
      </c>
      <c r="N42" s="27" t="s">
        <v>23</v>
      </c>
    </row>
    <row r="43" spans="2:14" x14ac:dyDescent="0.2">
      <c r="B43" s="1"/>
      <c r="C43" s="2"/>
      <c r="E43" t="s">
        <v>53</v>
      </c>
      <c r="F43">
        <v>16</v>
      </c>
      <c r="G43">
        <v>14</v>
      </c>
      <c r="H43">
        <v>12</v>
      </c>
      <c r="I43">
        <v>10</v>
      </c>
      <c r="J43">
        <v>12</v>
      </c>
      <c r="K43">
        <v>10</v>
      </c>
      <c r="L43">
        <v>9</v>
      </c>
      <c r="M43">
        <v>8</v>
      </c>
      <c r="N43">
        <v>7</v>
      </c>
    </row>
    <row r="44" spans="2:14" x14ac:dyDescent="0.2">
      <c r="B44" s="1"/>
      <c r="C44" s="2"/>
      <c r="E44" t="s">
        <v>46</v>
      </c>
      <c r="F44">
        <v>4</v>
      </c>
      <c r="G44">
        <v>3</v>
      </c>
      <c r="H44">
        <v>2</v>
      </c>
      <c r="I44">
        <v>1</v>
      </c>
      <c r="J44">
        <v>8</v>
      </c>
      <c r="K44">
        <v>7</v>
      </c>
      <c r="L44">
        <v>6</v>
      </c>
      <c r="M44">
        <v>5</v>
      </c>
      <c r="N44">
        <v>2</v>
      </c>
    </row>
    <row r="45" spans="2:14" x14ac:dyDescent="0.2">
      <c r="B45" s="1"/>
      <c r="C45" s="2"/>
      <c r="E45" t="s">
        <v>54</v>
      </c>
      <c r="F45">
        <v>16</v>
      </c>
      <c r="G45">
        <v>14</v>
      </c>
      <c r="H45">
        <v>12</v>
      </c>
      <c r="I45">
        <v>10</v>
      </c>
      <c r="J45">
        <v>12</v>
      </c>
      <c r="K45">
        <v>10</v>
      </c>
      <c r="L45">
        <v>9</v>
      </c>
      <c r="M45">
        <v>8</v>
      </c>
      <c r="N45">
        <v>7</v>
      </c>
    </row>
    <row r="46" spans="2:14" x14ac:dyDescent="0.2">
      <c r="B46" s="1"/>
      <c r="C46" s="2"/>
      <c r="E46" t="s">
        <v>55</v>
      </c>
      <c r="F46">
        <v>4</v>
      </c>
      <c r="G46">
        <v>3</v>
      </c>
      <c r="H46">
        <v>2</v>
      </c>
      <c r="I46">
        <v>1</v>
      </c>
      <c r="J46">
        <v>8</v>
      </c>
      <c r="K46">
        <v>7</v>
      </c>
      <c r="L46">
        <v>6</v>
      </c>
      <c r="M46">
        <v>5</v>
      </c>
      <c r="N46">
        <v>2</v>
      </c>
    </row>
    <row r="47" spans="2:14" x14ac:dyDescent="0.2">
      <c r="B47" s="1"/>
      <c r="C47" s="2"/>
      <c r="E47" t="s">
        <v>56</v>
      </c>
      <c r="F47">
        <v>98</v>
      </c>
      <c r="G47">
        <v>84</v>
      </c>
      <c r="H47">
        <v>72</v>
      </c>
      <c r="I47">
        <v>62</v>
      </c>
      <c r="J47">
        <v>50</v>
      </c>
      <c r="K47">
        <v>40</v>
      </c>
      <c r="L47">
        <v>31</v>
      </c>
      <c r="M47">
        <v>23</v>
      </c>
      <c r="N47">
        <v>16</v>
      </c>
    </row>
    <row r="48" spans="2:14" x14ac:dyDescent="0.2">
      <c r="B48" s="1"/>
      <c r="C48" s="2"/>
      <c r="E48" t="s">
        <v>57</v>
      </c>
      <c r="F48">
        <v>34</v>
      </c>
      <c r="G48">
        <v>31</v>
      </c>
      <c r="H48">
        <v>29</v>
      </c>
      <c r="I48">
        <v>28</v>
      </c>
      <c r="J48">
        <v>20</v>
      </c>
      <c r="K48">
        <v>13</v>
      </c>
      <c r="L48">
        <v>7</v>
      </c>
      <c r="M48">
        <v>2</v>
      </c>
      <c r="N48">
        <v>0</v>
      </c>
    </row>
    <row r="49" spans="2:14" x14ac:dyDescent="0.2">
      <c r="B49" s="1"/>
      <c r="C49" s="2"/>
    </row>
    <row r="50" spans="2:14" x14ac:dyDescent="0.2">
      <c r="B50" s="1"/>
      <c r="C50" s="2"/>
      <c r="E50" t="s">
        <v>58</v>
      </c>
      <c r="F50" s="3">
        <f>+(F45*$H$4)+(F46*$H$5)</f>
        <v>448</v>
      </c>
      <c r="G50" s="3">
        <f t="shared" ref="G50:N50" si="15">+(G45*$H$4)+(G46*$H$5)</f>
        <v>376</v>
      </c>
      <c r="H50" s="3">
        <f t="shared" si="15"/>
        <v>304</v>
      </c>
      <c r="I50" s="3">
        <f t="shared" si="15"/>
        <v>232</v>
      </c>
      <c r="J50" s="3">
        <f t="shared" si="15"/>
        <v>496</v>
      </c>
      <c r="K50" s="3">
        <f t="shared" si="15"/>
        <v>424</v>
      </c>
      <c r="L50" s="3">
        <f t="shared" si="15"/>
        <v>372</v>
      </c>
      <c r="M50" s="3">
        <f t="shared" si="15"/>
        <v>320</v>
      </c>
      <c r="N50" s="3">
        <f t="shared" si="15"/>
        <v>204</v>
      </c>
    </row>
    <row r="51" spans="2:14" x14ac:dyDescent="0.2">
      <c r="B51" s="1"/>
      <c r="C51" s="2"/>
      <c r="E51" t="s">
        <v>59</v>
      </c>
      <c r="N51" s="3">
        <f>+(N47*H4)*0.5</f>
        <v>160</v>
      </c>
    </row>
    <row r="52" spans="2:14" x14ac:dyDescent="0.2">
      <c r="B52" s="1"/>
      <c r="C52" s="2"/>
      <c r="E52" t="s">
        <v>66</v>
      </c>
      <c r="F52" s="3">
        <f>SUM(F50:F51)</f>
        <v>448</v>
      </c>
      <c r="G52" s="3">
        <f t="shared" ref="G52:N52" si="16">SUM(G50:G51)</f>
        <v>376</v>
      </c>
      <c r="H52" s="3">
        <f t="shared" si="16"/>
        <v>304</v>
      </c>
      <c r="I52" s="3">
        <f t="shared" si="16"/>
        <v>232</v>
      </c>
      <c r="J52" s="3">
        <f t="shared" si="16"/>
        <v>496</v>
      </c>
      <c r="K52" s="3">
        <f t="shared" si="16"/>
        <v>424</v>
      </c>
      <c r="L52" s="3">
        <f t="shared" si="16"/>
        <v>372</v>
      </c>
      <c r="M52" s="3">
        <f t="shared" si="16"/>
        <v>320</v>
      </c>
      <c r="N52" s="3">
        <f t="shared" si="16"/>
        <v>364</v>
      </c>
    </row>
    <row r="53" spans="2:14" x14ac:dyDescent="0.2">
      <c r="B53" s="1"/>
      <c r="C53" s="2"/>
    </row>
    <row r="54" spans="2:14" x14ac:dyDescent="0.2">
      <c r="B54" s="1"/>
      <c r="C54" s="2"/>
      <c r="E54" t="s">
        <v>60</v>
      </c>
      <c r="F54" s="3">
        <f>+J6*C15</f>
        <v>790</v>
      </c>
    </row>
    <row r="55" spans="2:14" x14ac:dyDescent="0.2">
      <c r="B55" s="1"/>
      <c r="C55" s="2"/>
      <c r="E55" t="s">
        <v>67</v>
      </c>
      <c r="F55" s="3">
        <f>+((I4*J4)+(I5*J5))*(1-H6)</f>
        <v>1470</v>
      </c>
    </row>
    <row r="56" spans="2:14" x14ac:dyDescent="0.2">
      <c r="B56" s="1"/>
      <c r="C56" s="2"/>
      <c r="E56" t="s">
        <v>62</v>
      </c>
      <c r="F56" s="3">
        <f>+F55+F54</f>
        <v>2260</v>
      </c>
    </row>
    <row r="57" spans="2:14" x14ac:dyDescent="0.2">
      <c r="B57" s="1"/>
      <c r="C57" s="2"/>
    </row>
    <row r="58" spans="2:14" x14ac:dyDescent="0.2">
      <c r="B58" s="1"/>
      <c r="C58" s="2"/>
    </row>
    <row r="59" spans="2:14" x14ac:dyDescent="0.2">
      <c r="B59" s="1"/>
      <c r="C59" s="2"/>
      <c r="E59" t="s">
        <v>63</v>
      </c>
      <c r="F59" s="3">
        <f>+F52-F56</f>
        <v>-1812</v>
      </c>
      <c r="G59" s="3">
        <f t="shared" ref="G59:N59" si="17">+G52-G56</f>
        <v>376</v>
      </c>
      <c r="H59" s="3">
        <f t="shared" si="17"/>
        <v>304</v>
      </c>
      <c r="I59" s="3">
        <f t="shared" si="17"/>
        <v>232</v>
      </c>
      <c r="J59" s="3">
        <f t="shared" si="17"/>
        <v>496</v>
      </c>
      <c r="K59" s="3">
        <f t="shared" si="17"/>
        <v>424</v>
      </c>
      <c r="L59" s="3">
        <f t="shared" si="17"/>
        <v>372</v>
      </c>
      <c r="M59" s="3">
        <f t="shared" si="17"/>
        <v>320</v>
      </c>
      <c r="N59" s="3">
        <f t="shared" si="17"/>
        <v>364</v>
      </c>
    </row>
    <row r="60" spans="2:14" x14ac:dyDescent="0.2">
      <c r="B60" s="1"/>
      <c r="C60" s="2"/>
    </row>
    <row r="61" spans="2:14" x14ac:dyDescent="0.2">
      <c r="B61" s="1"/>
      <c r="C61" s="2"/>
      <c r="E61" s="1" t="s">
        <v>35</v>
      </c>
      <c r="F61" s="10">
        <f>+NPV(C17,G59:N59)+F59</f>
        <v>1000.656165029583</v>
      </c>
    </row>
    <row r="62" spans="2:14" x14ac:dyDescent="0.2">
      <c r="B62" s="1"/>
      <c r="C62" s="2"/>
      <c r="E62" s="1" t="s">
        <v>43</v>
      </c>
      <c r="F62" s="29">
        <f>+IRR(F59:N59)</f>
        <v>0.11490395184538005</v>
      </c>
    </row>
    <row r="63" spans="2:14" x14ac:dyDescent="0.2">
      <c r="B63" s="1"/>
      <c r="C63" s="2"/>
    </row>
    <row r="64" spans="2:14" x14ac:dyDescent="0.2">
      <c r="B64" s="1"/>
      <c r="C64" s="2"/>
    </row>
    <row r="65" spans="2:3" x14ac:dyDescent="0.2">
      <c r="B65" s="1"/>
      <c r="C65" s="2"/>
    </row>
    <row r="66" spans="2:3" x14ac:dyDescent="0.2">
      <c r="B66" s="1"/>
      <c r="C66" s="2"/>
    </row>
    <row r="67" spans="2:3" x14ac:dyDescent="0.2">
      <c r="B67" s="1"/>
      <c r="C67" s="2"/>
    </row>
    <row r="68" spans="2:3" x14ac:dyDescent="0.2">
      <c r="B68" s="1"/>
      <c r="C68" s="2"/>
    </row>
    <row r="69" spans="2:3" x14ac:dyDescent="0.2">
      <c r="B69" s="1"/>
      <c r="C69" s="2"/>
    </row>
    <row r="70" spans="2:3" x14ac:dyDescent="0.2">
      <c r="B70" s="1"/>
      <c r="C70" s="2"/>
    </row>
    <row r="71" spans="2:3" x14ac:dyDescent="0.2">
      <c r="B71" s="1"/>
      <c r="C71" s="2"/>
    </row>
    <row r="72" spans="2:3" x14ac:dyDescent="0.2">
      <c r="B72" s="1"/>
      <c r="C72" s="2"/>
    </row>
    <row r="73" spans="2:3" x14ac:dyDescent="0.2">
      <c r="B73" s="1"/>
      <c r="C73" s="2"/>
    </row>
    <row r="74" spans="2:3" x14ac:dyDescent="0.2">
      <c r="B74" s="1"/>
      <c r="C74" s="2"/>
    </row>
    <row r="75" spans="2:3" x14ac:dyDescent="0.2">
      <c r="B75" s="1"/>
      <c r="C75" s="2"/>
    </row>
    <row r="76" spans="2:3" x14ac:dyDescent="0.2">
      <c r="B76" s="1"/>
      <c r="C76" s="2"/>
    </row>
    <row r="77" spans="2:3" x14ac:dyDescent="0.2">
      <c r="B77" s="1"/>
      <c r="C77" s="2"/>
    </row>
    <row r="78" spans="2:3" x14ac:dyDescent="0.2">
      <c r="B78" s="1"/>
      <c r="C78" s="2"/>
    </row>
    <row r="79" spans="2:3" x14ac:dyDescent="0.2">
      <c r="B79" s="1"/>
      <c r="C79" s="2"/>
    </row>
    <row r="80" spans="2:3" x14ac:dyDescent="0.2">
      <c r="B80" s="1"/>
      <c r="C80" s="2"/>
    </row>
    <row r="83" spans="3:17" x14ac:dyDescent="0.2">
      <c r="C83" s="1" t="s">
        <v>0</v>
      </c>
      <c r="E83" t="s">
        <v>25</v>
      </c>
      <c r="G83" s="1" t="s">
        <v>15</v>
      </c>
      <c r="H83" s="1" t="s">
        <v>16</v>
      </c>
      <c r="I83" s="24" t="s">
        <v>44</v>
      </c>
      <c r="J83" s="1" t="s">
        <v>18</v>
      </c>
      <c r="K83" s="1" t="s">
        <v>19</v>
      </c>
      <c r="L83" s="1" t="s">
        <v>20</v>
      </c>
      <c r="M83" s="1" t="s">
        <v>21</v>
      </c>
      <c r="N83" s="1" t="s">
        <v>22</v>
      </c>
      <c r="O83" s="1" t="s">
        <v>23</v>
      </c>
      <c r="P83" s="1" t="s">
        <v>36</v>
      </c>
    </row>
    <row r="84" spans="3:17" x14ac:dyDescent="0.2">
      <c r="E84" t="s">
        <v>24</v>
      </c>
      <c r="F84">
        <v>0</v>
      </c>
      <c r="G84">
        <v>1</v>
      </c>
      <c r="H84">
        <v>2</v>
      </c>
      <c r="I84">
        <v>3</v>
      </c>
      <c r="J84">
        <v>4</v>
      </c>
      <c r="K84">
        <v>5</v>
      </c>
      <c r="L84">
        <v>6</v>
      </c>
      <c r="M84">
        <v>7</v>
      </c>
      <c r="N84">
        <v>8</v>
      </c>
      <c r="O84">
        <v>9</v>
      </c>
      <c r="P84">
        <v>9</v>
      </c>
    </row>
    <row r="86" spans="3:17" x14ac:dyDescent="0.2">
      <c r="E86" t="s">
        <v>37</v>
      </c>
      <c r="F86" s="13">
        <f>+-((D4*E4)+(D5*E5))*(1-C6)</f>
        <v>-4165</v>
      </c>
      <c r="G86" s="13">
        <f>+F86</f>
        <v>-4165</v>
      </c>
    </row>
    <row r="87" spans="3:17" x14ac:dyDescent="0.2">
      <c r="E87" t="s">
        <v>14</v>
      </c>
      <c r="F87" s="13">
        <f>+-E6*5</f>
        <v>-790</v>
      </c>
      <c r="G87" s="13">
        <f>+F87</f>
        <v>-790</v>
      </c>
    </row>
    <row r="88" spans="3:17" x14ac:dyDescent="0.2">
      <c r="E88" t="s">
        <v>26</v>
      </c>
      <c r="G88">
        <v>20</v>
      </c>
      <c r="H88">
        <f>+G88*(1+H89)</f>
        <v>18</v>
      </c>
      <c r="I88">
        <f t="shared" ref="I88:J88" si="18">+H88*(1+I89)</f>
        <v>16.2</v>
      </c>
      <c r="J88">
        <f t="shared" si="18"/>
        <v>14.58</v>
      </c>
      <c r="K88">
        <v>20</v>
      </c>
      <c r="L88">
        <f>+K88*(1+L89)</f>
        <v>18</v>
      </c>
      <c r="M88">
        <f t="shared" ref="M88:O88" si="19">+L88*(1+M89)</f>
        <v>16.2</v>
      </c>
      <c r="N88">
        <f t="shared" si="19"/>
        <v>14.58</v>
      </c>
      <c r="O88">
        <f t="shared" si="19"/>
        <v>13.122</v>
      </c>
    </row>
    <row r="89" spans="3:17" x14ac:dyDescent="0.2">
      <c r="E89" t="s">
        <v>27</v>
      </c>
      <c r="H89" s="2">
        <v>-0.1</v>
      </c>
      <c r="I89" s="2">
        <v>-0.1</v>
      </c>
      <c r="J89" s="2">
        <v>-0.1</v>
      </c>
      <c r="L89" s="2">
        <v>-0.1</v>
      </c>
      <c r="M89" s="2">
        <v>-0.1</v>
      </c>
      <c r="N89" s="2">
        <v>-0.1</v>
      </c>
      <c r="O89" s="2">
        <v>-0.1</v>
      </c>
    </row>
    <row r="90" spans="3:17" ht="12" thickBot="1" x14ac:dyDescent="0.25">
      <c r="E90" s="6" t="s">
        <v>28</v>
      </c>
      <c r="F90" s="6"/>
      <c r="G90" s="6">
        <f>ROUNDDOWN(G88,0)</f>
        <v>20</v>
      </c>
      <c r="H90" s="6">
        <f t="shared" ref="H90:O90" si="20">ROUNDDOWN(H88,0)</f>
        <v>18</v>
      </c>
      <c r="I90" s="6">
        <f t="shared" si="20"/>
        <v>16</v>
      </c>
      <c r="J90" s="6">
        <f t="shared" si="20"/>
        <v>14</v>
      </c>
      <c r="K90" s="6">
        <f t="shared" si="20"/>
        <v>20</v>
      </c>
      <c r="L90" s="6">
        <f t="shared" si="20"/>
        <v>18</v>
      </c>
      <c r="M90" s="6">
        <f t="shared" si="20"/>
        <v>16</v>
      </c>
      <c r="N90" s="6">
        <f t="shared" si="20"/>
        <v>14</v>
      </c>
      <c r="O90" s="6">
        <f t="shared" si="20"/>
        <v>13</v>
      </c>
      <c r="P90" s="8"/>
    </row>
    <row r="91" spans="3:17" x14ac:dyDescent="0.2">
      <c r="E91" s="1" t="s">
        <v>29</v>
      </c>
    </row>
    <row r="92" spans="3:17" x14ac:dyDescent="0.2">
      <c r="E92" s="7" t="s">
        <v>11</v>
      </c>
      <c r="G92" s="25">
        <f>+G90*0.8</f>
        <v>16</v>
      </c>
      <c r="H92" s="25">
        <f t="shared" ref="H92:J92" si="21">+H90*0.8</f>
        <v>14.4</v>
      </c>
      <c r="I92" s="25">
        <f t="shared" si="21"/>
        <v>12.8</v>
      </c>
      <c r="J92" s="25">
        <f t="shared" si="21"/>
        <v>11.200000000000001</v>
      </c>
      <c r="K92" s="25">
        <f>+K90*0.6</f>
        <v>12</v>
      </c>
      <c r="L92" s="25">
        <f t="shared" ref="L92:O92" si="22">+L90*0.6</f>
        <v>10.799999999999999</v>
      </c>
      <c r="M92" s="25">
        <f t="shared" si="22"/>
        <v>9.6</v>
      </c>
      <c r="N92" s="25">
        <f t="shared" si="22"/>
        <v>8.4</v>
      </c>
      <c r="O92" s="25">
        <f t="shared" si="22"/>
        <v>7.8</v>
      </c>
      <c r="P92" s="8">
        <f>O110-6</f>
        <v>15</v>
      </c>
      <c r="Q92" s="8">
        <f>SUM(G92:P92)</f>
        <v>118</v>
      </c>
    </row>
    <row r="93" spans="3:17" x14ac:dyDescent="0.2">
      <c r="E93" s="7" t="s">
        <v>45</v>
      </c>
      <c r="G93" s="8">
        <f>+ROUNDDOWN(G92,0)</f>
        <v>16</v>
      </c>
      <c r="H93" s="8">
        <f t="shared" ref="H93:O93" si="23">+ROUNDDOWN(H92,0)</f>
        <v>14</v>
      </c>
      <c r="I93" s="8">
        <f t="shared" si="23"/>
        <v>12</v>
      </c>
      <c r="J93" s="8">
        <f t="shared" si="23"/>
        <v>11</v>
      </c>
      <c r="K93" s="8">
        <f t="shared" si="23"/>
        <v>12</v>
      </c>
      <c r="L93" s="8">
        <f t="shared" si="23"/>
        <v>10</v>
      </c>
      <c r="M93" s="8">
        <f t="shared" si="23"/>
        <v>9</v>
      </c>
      <c r="N93" s="8">
        <f t="shared" si="23"/>
        <v>8</v>
      </c>
      <c r="O93" s="8">
        <f t="shared" si="23"/>
        <v>7</v>
      </c>
      <c r="P93" s="8"/>
      <c r="Q93" s="8"/>
    </row>
    <row r="94" spans="3:17" x14ac:dyDescent="0.2">
      <c r="E94" s="7" t="s">
        <v>30</v>
      </c>
      <c r="G94" s="3">
        <f>+G93*$C$4</f>
        <v>560</v>
      </c>
      <c r="H94" s="3">
        <f t="shared" ref="H94:O94" si="24">+H93*$C$4</f>
        <v>490</v>
      </c>
      <c r="I94" s="3">
        <f t="shared" si="24"/>
        <v>420</v>
      </c>
      <c r="J94" s="3">
        <f t="shared" si="24"/>
        <v>385</v>
      </c>
      <c r="K94" s="3">
        <f t="shared" si="24"/>
        <v>420</v>
      </c>
      <c r="L94" s="3">
        <f t="shared" si="24"/>
        <v>350</v>
      </c>
      <c r="M94" s="3">
        <f t="shared" si="24"/>
        <v>315</v>
      </c>
      <c r="N94" s="3">
        <f t="shared" si="24"/>
        <v>280</v>
      </c>
      <c r="O94" s="3">
        <f t="shared" si="24"/>
        <v>245</v>
      </c>
      <c r="P94" s="3">
        <f>P92*(C4*0.5)</f>
        <v>262.5</v>
      </c>
    </row>
    <row r="95" spans="3:17" x14ac:dyDescent="0.2">
      <c r="E95" s="7" t="s">
        <v>3</v>
      </c>
      <c r="G95" s="25">
        <f>+G90*0.2</f>
        <v>4</v>
      </c>
      <c r="H95" s="25">
        <f t="shared" ref="H95:J95" si="25">+H90*0.2</f>
        <v>3.6</v>
      </c>
      <c r="I95" s="25">
        <f t="shared" si="25"/>
        <v>3.2</v>
      </c>
      <c r="J95" s="25">
        <f t="shared" si="25"/>
        <v>2.8000000000000003</v>
      </c>
      <c r="K95" s="25">
        <f>+K90*0.4</f>
        <v>8</v>
      </c>
      <c r="L95" s="25">
        <f t="shared" ref="L95:N95" si="26">+L90*0.4</f>
        <v>7.2</v>
      </c>
      <c r="M95" s="25">
        <f t="shared" si="26"/>
        <v>6.4</v>
      </c>
      <c r="N95" s="25">
        <f t="shared" si="26"/>
        <v>5.6000000000000005</v>
      </c>
      <c r="O95" s="26">
        <v>0</v>
      </c>
      <c r="P95" s="8"/>
      <c r="Q95" s="8">
        <f>SUM(G95:O95)</f>
        <v>40.800000000000004</v>
      </c>
    </row>
    <row r="96" spans="3:17" x14ac:dyDescent="0.2">
      <c r="E96" s="7" t="s">
        <v>46</v>
      </c>
      <c r="G96" s="8">
        <f>+ROUNDDOWN(G95,0)</f>
        <v>4</v>
      </c>
      <c r="H96" s="8">
        <f t="shared" ref="H96:O96" si="27">+ROUNDDOWN(H95,0)</f>
        <v>3</v>
      </c>
      <c r="I96" s="8">
        <f t="shared" si="27"/>
        <v>3</v>
      </c>
      <c r="J96" s="8">
        <f t="shared" si="27"/>
        <v>2</v>
      </c>
      <c r="K96" s="8">
        <f t="shared" si="27"/>
        <v>8</v>
      </c>
      <c r="L96" s="8">
        <f t="shared" si="27"/>
        <v>7</v>
      </c>
      <c r="M96" s="8">
        <f t="shared" si="27"/>
        <v>6</v>
      </c>
      <c r="N96" s="8">
        <f t="shared" si="27"/>
        <v>5</v>
      </c>
      <c r="O96" s="8">
        <f t="shared" si="27"/>
        <v>0</v>
      </c>
      <c r="P96" s="8"/>
      <c r="Q96" s="8"/>
    </row>
    <row r="97" spans="5:16" x14ac:dyDescent="0.2">
      <c r="E97" s="7" t="s">
        <v>30</v>
      </c>
      <c r="G97" s="3">
        <f>+G96*$C$5</f>
        <v>260</v>
      </c>
      <c r="H97" s="3">
        <f t="shared" ref="H97:O97" si="28">+H96*$C$5</f>
        <v>195</v>
      </c>
      <c r="I97" s="3">
        <f t="shared" si="28"/>
        <v>195</v>
      </c>
      <c r="J97" s="3">
        <f t="shared" si="28"/>
        <v>130</v>
      </c>
      <c r="K97" s="3">
        <f t="shared" si="28"/>
        <v>520</v>
      </c>
      <c r="L97" s="3">
        <f t="shared" si="28"/>
        <v>455</v>
      </c>
      <c r="M97" s="3">
        <f t="shared" si="28"/>
        <v>390</v>
      </c>
      <c r="N97" s="3">
        <f t="shared" si="28"/>
        <v>325</v>
      </c>
      <c r="O97" s="3">
        <f t="shared" si="28"/>
        <v>0</v>
      </c>
      <c r="P97" s="3"/>
    </row>
    <row r="98" spans="5:16" ht="12" thickBot="1" x14ac:dyDescent="0.25">
      <c r="E98" s="9" t="s">
        <v>31</v>
      </c>
      <c r="G98" s="12">
        <f>+G97+G94</f>
        <v>820</v>
      </c>
      <c r="H98" s="12">
        <f t="shared" ref="H98:J98" si="29">+H97+H94</f>
        <v>685</v>
      </c>
      <c r="I98" s="12">
        <f t="shared" si="29"/>
        <v>615</v>
      </c>
      <c r="J98" s="12">
        <f t="shared" si="29"/>
        <v>515</v>
      </c>
      <c r="K98" s="12">
        <f>+K94+K97</f>
        <v>940</v>
      </c>
      <c r="L98" s="12">
        <f t="shared" ref="L98:O98" si="30">+L94+L97</f>
        <v>805</v>
      </c>
      <c r="M98" s="12">
        <f t="shared" si="30"/>
        <v>705</v>
      </c>
      <c r="N98" s="12">
        <f t="shared" si="30"/>
        <v>605</v>
      </c>
      <c r="O98" s="12">
        <f t="shared" si="30"/>
        <v>245</v>
      </c>
      <c r="P98" s="12">
        <f t="shared" ref="P98" si="31">+P94+P97</f>
        <v>262.5</v>
      </c>
    </row>
    <row r="99" spans="5:16" x14ac:dyDescent="0.2">
      <c r="O99" s="3">
        <f>+P98</f>
        <v>262.5</v>
      </c>
    </row>
    <row r="100" spans="5:16" x14ac:dyDescent="0.2">
      <c r="E100" s="9" t="s">
        <v>32</v>
      </c>
      <c r="G100" s="20">
        <f>G98+SUM(G86:G87)</f>
        <v>-4135</v>
      </c>
      <c r="H100" s="20">
        <f t="shared" ref="H100:P100" si="32">H98</f>
        <v>685</v>
      </c>
      <c r="I100" s="20">
        <f t="shared" si="32"/>
        <v>615</v>
      </c>
      <c r="J100" s="20">
        <f t="shared" si="32"/>
        <v>515</v>
      </c>
      <c r="K100" s="20">
        <f t="shared" si="32"/>
        <v>940</v>
      </c>
      <c r="L100" s="20">
        <f t="shared" si="32"/>
        <v>805</v>
      </c>
      <c r="M100" s="20">
        <f t="shared" si="32"/>
        <v>705</v>
      </c>
      <c r="N100" s="20">
        <f t="shared" si="32"/>
        <v>605</v>
      </c>
      <c r="O100" s="20">
        <f>+O99+O98</f>
        <v>507.5</v>
      </c>
      <c r="P100" s="20">
        <f t="shared" si="32"/>
        <v>262.5</v>
      </c>
    </row>
    <row r="101" spans="5:16" x14ac:dyDescent="0.2">
      <c r="E101" t="s">
        <v>34</v>
      </c>
      <c r="G101" s="17">
        <f>(1+$C$16)^G84</f>
        <v>1.07</v>
      </c>
      <c r="H101" s="17">
        <f t="shared" ref="H101:P101" si="33">(1+$C$16)^H84</f>
        <v>1.1449</v>
      </c>
      <c r="I101" s="17">
        <f t="shared" si="33"/>
        <v>1.2250430000000001</v>
      </c>
      <c r="J101" s="17">
        <f t="shared" si="33"/>
        <v>1.31079601</v>
      </c>
      <c r="K101" s="17">
        <f t="shared" si="33"/>
        <v>1.4025517307000002</v>
      </c>
      <c r="L101" s="17">
        <f t="shared" si="33"/>
        <v>1.5007303518490001</v>
      </c>
      <c r="M101" s="17">
        <f t="shared" si="33"/>
        <v>1.6057814764784302</v>
      </c>
      <c r="N101" s="17">
        <f t="shared" si="33"/>
        <v>1.7181861798319202</v>
      </c>
      <c r="O101" s="17">
        <f t="shared" si="33"/>
        <v>1.8384592124201549</v>
      </c>
      <c r="P101" s="17">
        <f t="shared" si="33"/>
        <v>1.8384592124201549</v>
      </c>
    </row>
    <row r="102" spans="5:16" ht="12" thickBot="1" x14ac:dyDescent="0.25">
      <c r="E102" s="1" t="s">
        <v>42</v>
      </c>
      <c r="F102" s="13"/>
      <c r="G102" s="22">
        <f>G100/G101</f>
        <v>-3864.4859813084108</v>
      </c>
      <c r="H102" s="22">
        <f t="shared" ref="H102:P102" si="34">H100/H101</f>
        <v>598.30552886714997</v>
      </c>
      <c r="I102" s="22">
        <f t="shared" si="34"/>
        <v>502.02319428787393</v>
      </c>
      <c r="J102" s="22">
        <f t="shared" si="34"/>
        <v>392.89103420447549</v>
      </c>
      <c r="K102" s="22">
        <f t="shared" si="34"/>
        <v>670.20700871464828</v>
      </c>
      <c r="L102" s="22">
        <f t="shared" si="34"/>
        <v>536.40549017229262</v>
      </c>
      <c r="M102" s="22">
        <f t="shared" si="34"/>
        <v>439.03856802863675</v>
      </c>
      <c r="N102" s="22">
        <f t="shared" si="34"/>
        <v>352.11550826184828</v>
      </c>
      <c r="O102" s="22">
        <f t="shared" si="34"/>
        <v>276.04637436145509</v>
      </c>
      <c r="P102" s="22">
        <f t="shared" si="34"/>
        <v>142.78260742833885</v>
      </c>
    </row>
    <row r="103" spans="5:16" ht="12" thickBot="1" x14ac:dyDescent="0.25">
      <c r="E103" s="1" t="s">
        <v>35</v>
      </c>
      <c r="F103" s="18">
        <f>+NPV(0.07,G100:P100)</f>
        <v>35.988414775331854</v>
      </c>
    </row>
    <row r="104" spans="5:16" ht="12" thickBot="1" x14ac:dyDescent="0.25">
      <c r="E104" s="1" t="s">
        <v>43</v>
      </c>
      <c r="F104" s="19">
        <f>+IRR(F102:P102)</f>
        <v>2.7326415470694254E-3</v>
      </c>
    </row>
    <row r="106" spans="5:16" x14ac:dyDescent="0.2">
      <c r="E106" s="9" t="s">
        <v>38</v>
      </c>
    </row>
    <row r="107" spans="5:16" x14ac:dyDescent="0.2">
      <c r="E107" s="1" t="s">
        <v>11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3"/>
    </row>
    <row r="108" spans="5:16" x14ac:dyDescent="0.2">
      <c r="E108" t="s">
        <v>39</v>
      </c>
      <c r="G108" s="11">
        <f>E4</f>
        <v>120</v>
      </c>
      <c r="H108" s="11">
        <f>G110</f>
        <v>104</v>
      </c>
      <c r="I108" s="11">
        <f t="shared" ref="I108:O108" si="35">H110</f>
        <v>90</v>
      </c>
      <c r="J108" s="11">
        <f t="shared" si="35"/>
        <v>78</v>
      </c>
      <c r="K108" s="11">
        <f t="shared" si="35"/>
        <v>67</v>
      </c>
      <c r="L108" s="11">
        <f t="shared" si="35"/>
        <v>55</v>
      </c>
      <c r="M108" s="11">
        <f t="shared" si="35"/>
        <v>45</v>
      </c>
      <c r="N108" s="11">
        <f t="shared" si="35"/>
        <v>36</v>
      </c>
      <c r="O108" s="11">
        <f t="shared" si="35"/>
        <v>28</v>
      </c>
      <c r="P108" s="3"/>
    </row>
    <row r="109" spans="5:16" x14ac:dyDescent="0.2">
      <c r="E109" t="s">
        <v>40</v>
      </c>
      <c r="G109" s="11">
        <f>G93</f>
        <v>16</v>
      </c>
      <c r="H109" s="11">
        <f t="shared" ref="H109:O109" si="36">H93</f>
        <v>14</v>
      </c>
      <c r="I109" s="11">
        <f t="shared" si="36"/>
        <v>12</v>
      </c>
      <c r="J109" s="11">
        <f t="shared" si="36"/>
        <v>11</v>
      </c>
      <c r="K109" s="11">
        <f t="shared" si="36"/>
        <v>12</v>
      </c>
      <c r="L109" s="11">
        <f t="shared" si="36"/>
        <v>10</v>
      </c>
      <c r="M109" s="11">
        <f t="shared" si="36"/>
        <v>9</v>
      </c>
      <c r="N109" s="11">
        <f t="shared" si="36"/>
        <v>8</v>
      </c>
      <c r="O109" s="11">
        <f t="shared" si="36"/>
        <v>7</v>
      </c>
      <c r="P109" s="3"/>
    </row>
    <row r="110" spans="5:16" x14ac:dyDescent="0.2">
      <c r="E110" t="s">
        <v>41</v>
      </c>
      <c r="G110" s="11">
        <f>G108-G109</f>
        <v>104</v>
      </c>
      <c r="H110" s="11">
        <f t="shared" ref="H110:O110" si="37">H108-H109</f>
        <v>90</v>
      </c>
      <c r="I110" s="11">
        <f t="shared" si="37"/>
        <v>78</v>
      </c>
      <c r="J110" s="11">
        <f t="shared" si="37"/>
        <v>67</v>
      </c>
      <c r="K110" s="11">
        <f t="shared" si="37"/>
        <v>55</v>
      </c>
      <c r="L110" s="11">
        <f t="shared" si="37"/>
        <v>45</v>
      </c>
      <c r="M110" s="11">
        <f t="shared" si="37"/>
        <v>36</v>
      </c>
      <c r="N110" s="11">
        <f t="shared" si="37"/>
        <v>28</v>
      </c>
      <c r="O110" s="15">
        <f t="shared" si="37"/>
        <v>21</v>
      </c>
      <c r="P110" s="3"/>
    </row>
    <row r="111" spans="5:16" x14ac:dyDescent="0.2">
      <c r="E111" s="1" t="s">
        <v>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5:16" x14ac:dyDescent="0.2">
      <c r="E112" t="s">
        <v>39</v>
      </c>
      <c r="G112">
        <f>E5</f>
        <v>38</v>
      </c>
      <c r="H112" s="11">
        <f>G114</f>
        <v>34</v>
      </c>
      <c r="I112" s="11">
        <f t="shared" ref="I112:M112" si="38">H114</f>
        <v>31</v>
      </c>
      <c r="J112" s="11">
        <f t="shared" si="38"/>
        <v>28</v>
      </c>
      <c r="K112" s="11">
        <f t="shared" si="38"/>
        <v>26</v>
      </c>
      <c r="L112" s="11">
        <f t="shared" si="38"/>
        <v>18</v>
      </c>
      <c r="M112" s="11">
        <f t="shared" si="38"/>
        <v>11</v>
      </c>
      <c r="N112" s="11">
        <f t="shared" ref="N112" si="39">M114</f>
        <v>5</v>
      </c>
      <c r="O112" s="11"/>
    </row>
    <row r="113" spans="3:16" x14ac:dyDescent="0.2">
      <c r="E113" t="s">
        <v>40</v>
      </c>
      <c r="G113" s="11">
        <f>G96</f>
        <v>4</v>
      </c>
      <c r="H113" s="11">
        <f t="shared" ref="H113:N113" si="40">H96</f>
        <v>3</v>
      </c>
      <c r="I113" s="11">
        <f t="shared" si="40"/>
        <v>3</v>
      </c>
      <c r="J113" s="11">
        <f t="shared" si="40"/>
        <v>2</v>
      </c>
      <c r="K113" s="11">
        <f t="shared" si="40"/>
        <v>8</v>
      </c>
      <c r="L113" s="11">
        <f t="shared" si="40"/>
        <v>7</v>
      </c>
      <c r="M113" s="11">
        <f t="shared" si="40"/>
        <v>6</v>
      </c>
      <c r="N113" s="11">
        <f t="shared" si="40"/>
        <v>5</v>
      </c>
      <c r="O113" s="11"/>
      <c r="P113" s="3"/>
    </row>
    <row r="114" spans="3:16" x14ac:dyDescent="0.2">
      <c r="E114" t="s">
        <v>41</v>
      </c>
      <c r="G114" s="11">
        <f>G112-G113</f>
        <v>34</v>
      </c>
      <c r="H114" s="11">
        <f t="shared" ref="H114:N114" si="41">H112-H113</f>
        <v>31</v>
      </c>
      <c r="I114" s="11">
        <f t="shared" si="41"/>
        <v>28</v>
      </c>
      <c r="J114" s="11">
        <f t="shared" si="41"/>
        <v>26</v>
      </c>
      <c r="K114" s="11">
        <f t="shared" si="41"/>
        <v>18</v>
      </c>
      <c r="L114" s="11">
        <f t="shared" si="41"/>
        <v>11</v>
      </c>
      <c r="M114" s="11">
        <f t="shared" si="41"/>
        <v>5</v>
      </c>
      <c r="N114" s="11">
        <f t="shared" si="41"/>
        <v>0</v>
      </c>
      <c r="O114" s="11"/>
    </row>
    <row r="115" spans="3:16" x14ac:dyDescent="0.2">
      <c r="E115" s="1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3:16" x14ac:dyDescent="0.2">
      <c r="C116" s="4"/>
      <c r="E116" s="1"/>
      <c r="F116" s="14"/>
    </row>
    <row r="117" spans="3:16" x14ac:dyDescent="0.2">
      <c r="C117" s="4" t="s">
        <v>1</v>
      </c>
    </row>
    <row r="118" spans="3:16" x14ac:dyDescent="0.2">
      <c r="E118" t="s">
        <v>25</v>
      </c>
      <c r="G118" s="1" t="s">
        <v>15</v>
      </c>
      <c r="H118" s="1" t="s">
        <v>16</v>
      </c>
      <c r="I118" s="1" t="s">
        <v>17</v>
      </c>
      <c r="J118" s="1" t="s">
        <v>18</v>
      </c>
      <c r="K118" s="1" t="s">
        <v>19</v>
      </c>
      <c r="L118" s="1" t="s">
        <v>20</v>
      </c>
      <c r="M118" s="1" t="s">
        <v>21</v>
      </c>
      <c r="N118" s="1" t="s">
        <v>22</v>
      </c>
      <c r="O118" s="1" t="s">
        <v>23</v>
      </c>
      <c r="P118" s="1" t="s">
        <v>36</v>
      </c>
    </row>
    <row r="119" spans="3:16" x14ac:dyDescent="0.2">
      <c r="E119" t="s">
        <v>24</v>
      </c>
      <c r="F119">
        <v>0</v>
      </c>
      <c r="G119">
        <v>1</v>
      </c>
      <c r="H119">
        <v>2</v>
      </c>
      <c r="I119">
        <v>3</v>
      </c>
      <c r="J119">
        <v>4</v>
      </c>
      <c r="K119">
        <v>5</v>
      </c>
      <c r="L119">
        <v>6</v>
      </c>
      <c r="M119">
        <v>7</v>
      </c>
      <c r="N119">
        <v>8</v>
      </c>
      <c r="O119">
        <v>9</v>
      </c>
      <c r="P119">
        <v>9</v>
      </c>
    </row>
    <row r="121" spans="3:16" x14ac:dyDescent="0.2">
      <c r="E121" t="s">
        <v>37</v>
      </c>
      <c r="F121" s="3">
        <f>+-((I4*J4)+(I5*J5))*(1-H6)</f>
        <v>-1470</v>
      </c>
    </row>
    <row r="122" spans="3:16" x14ac:dyDescent="0.2">
      <c r="E122" t="s">
        <v>14</v>
      </c>
      <c r="F122" s="3">
        <f>+-(J6*C15)</f>
        <v>-790</v>
      </c>
    </row>
    <row r="123" spans="3:16" x14ac:dyDescent="0.2">
      <c r="E123" t="s">
        <v>26</v>
      </c>
      <c r="G123">
        <v>20</v>
      </c>
      <c r="H123">
        <f>+G123*(1+H124)</f>
        <v>18</v>
      </c>
      <c r="I123">
        <f t="shared" ref="I123:J123" si="42">+H123*(1+I124)</f>
        <v>16.2</v>
      </c>
      <c r="J123">
        <f t="shared" si="42"/>
        <v>14.58</v>
      </c>
      <c r="K123">
        <v>20</v>
      </c>
      <c r="L123">
        <f>+K123*(1+L124)</f>
        <v>18</v>
      </c>
      <c r="M123">
        <f t="shared" ref="M123:O123" si="43">+L123*(1+M124)</f>
        <v>16.2</v>
      </c>
      <c r="N123">
        <f t="shared" si="43"/>
        <v>14.58</v>
      </c>
      <c r="O123">
        <f t="shared" si="43"/>
        <v>13.122</v>
      </c>
    </row>
    <row r="124" spans="3:16" x14ac:dyDescent="0.2">
      <c r="E124" t="s">
        <v>27</v>
      </c>
      <c r="H124">
        <v>-0.1</v>
      </c>
      <c r="I124">
        <v>-0.1</v>
      </c>
      <c r="J124">
        <v>-0.1</v>
      </c>
      <c r="L124">
        <v>-0.1</v>
      </c>
      <c r="M124">
        <v>-0.1</v>
      </c>
      <c r="N124">
        <v>-0.1</v>
      </c>
      <c r="O124">
        <v>-0.1</v>
      </c>
    </row>
    <row r="125" spans="3:16" ht="12" thickBot="1" x14ac:dyDescent="0.25">
      <c r="E125" s="6" t="s">
        <v>28</v>
      </c>
      <c r="F125" s="6"/>
      <c r="G125" s="6">
        <f>+ROUNDDOWN(G123,0)</f>
        <v>20</v>
      </c>
      <c r="H125" s="6">
        <f t="shared" ref="H125:O125" si="44">+ROUNDDOWN(H123,0)</f>
        <v>18</v>
      </c>
      <c r="I125" s="6">
        <f t="shared" si="44"/>
        <v>16</v>
      </c>
      <c r="J125" s="6">
        <f t="shared" si="44"/>
        <v>14</v>
      </c>
      <c r="K125" s="6">
        <f t="shared" si="44"/>
        <v>20</v>
      </c>
      <c r="L125" s="6">
        <f t="shared" si="44"/>
        <v>18</v>
      </c>
      <c r="M125" s="6">
        <f t="shared" si="44"/>
        <v>16</v>
      </c>
      <c r="N125" s="6">
        <f t="shared" si="44"/>
        <v>14</v>
      </c>
      <c r="O125" s="6">
        <f t="shared" si="44"/>
        <v>13</v>
      </c>
    </row>
    <row r="126" spans="3:16" x14ac:dyDescent="0.2">
      <c r="E126" s="1" t="s">
        <v>29</v>
      </c>
    </row>
    <row r="127" spans="3:16" x14ac:dyDescent="0.2">
      <c r="E127" t="s">
        <v>11</v>
      </c>
      <c r="G127" s="8">
        <f>+G125*$C$11</f>
        <v>16</v>
      </c>
      <c r="H127" s="8">
        <f t="shared" ref="H127:J127" si="45">+H125*$C$11</f>
        <v>14.4</v>
      </c>
      <c r="I127" s="8">
        <f t="shared" si="45"/>
        <v>12.8</v>
      </c>
      <c r="J127" s="8">
        <f t="shared" si="45"/>
        <v>11.200000000000001</v>
      </c>
      <c r="K127" s="8">
        <f>+K125*$D$11</f>
        <v>12</v>
      </c>
      <c r="L127" s="8">
        <f t="shared" ref="L127:O127" si="46">+L125*$D$11</f>
        <v>10.799999999999999</v>
      </c>
      <c r="M127" s="8">
        <f t="shared" si="46"/>
        <v>9.6</v>
      </c>
      <c r="N127" s="8">
        <f t="shared" si="46"/>
        <v>8.4</v>
      </c>
      <c r="O127" s="8">
        <f t="shared" si="46"/>
        <v>7.8</v>
      </c>
      <c r="P127" s="8">
        <f>+O143-6</f>
        <v>10.999999999999996</v>
      </c>
    </row>
    <row r="128" spans="3:16" x14ac:dyDescent="0.2">
      <c r="D128" s="3"/>
      <c r="E128" t="s">
        <v>30</v>
      </c>
      <c r="G128" s="3">
        <f>+G127*$H$4</f>
        <v>320</v>
      </c>
      <c r="H128" s="3">
        <f t="shared" ref="H128:O128" si="47">+H127*$H$4</f>
        <v>288</v>
      </c>
      <c r="I128" s="3">
        <f t="shared" si="47"/>
        <v>256</v>
      </c>
      <c r="J128" s="3">
        <f t="shared" si="47"/>
        <v>224.00000000000003</v>
      </c>
      <c r="K128" s="3">
        <f t="shared" si="47"/>
        <v>240</v>
      </c>
      <c r="L128" s="3">
        <f t="shared" si="47"/>
        <v>215.99999999999997</v>
      </c>
      <c r="M128" s="3">
        <f t="shared" si="47"/>
        <v>192</v>
      </c>
      <c r="N128" s="3">
        <f t="shared" si="47"/>
        <v>168</v>
      </c>
      <c r="O128" s="3">
        <f t="shared" si="47"/>
        <v>156</v>
      </c>
      <c r="P128" s="3">
        <f>+P127*(H4*0.5)</f>
        <v>109.99999999999997</v>
      </c>
    </row>
    <row r="129" spans="5:16" x14ac:dyDescent="0.2">
      <c r="E129" t="s">
        <v>3</v>
      </c>
      <c r="G129" s="8">
        <f>+G125*$C$12</f>
        <v>4</v>
      </c>
      <c r="H129" s="8">
        <f t="shared" ref="H129:J129" si="48">+H125*$C$12</f>
        <v>3.6</v>
      </c>
      <c r="I129" s="8">
        <f t="shared" si="48"/>
        <v>3.2</v>
      </c>
      <c r="J129" s="8">
        <f t="shared" si="48"/>
        <v>2.8000000000000003</v>
      </c>
      <c r="K129" s="8">
        <f>+K125*$D$12</f>
        <v>8</v>
      </c>
      <c r="L129" s="8">
        <f t="shared" ref="L129:M129" si="49">+L125*$D$12</f>
        <v>7.2</v>
      </c>
      <c r="M129" s="8">
        <f t="shared" si="49"/>
        <v>6.4</v>
      </c>
      <c r="N129" s="16">
        <v>3</v>
      </c>
      <c r="O129" s="8">
        <v>0</v>
      </c>
      <c r="P129">
        <v>0</v>
      </c>
    </row>
    <row r="130" spans="5:16" x14ac:dyDescent="0.2">
      <c r="E130" t="s">
        <v>30</v>
      </c>
      <c r="G130" s="3">
        <f>+G129*$H$5</f>
        <v>128</v>
      </c>
      <c r="H130" s="3">
        <f t="shared" ref="H130:O130" si="50">+H129*$H$5</f>
        <v>115.2</v>
      </c>
      <c r="I130" s="3">
        <f t="shared" si="50"/>
        <v>102.4</v>
      </c>
      <c r="J130" s="3">
        <f t="shared" si="50"/>
        <v>89.600000000000009</v>
      </c>
      <c r="K130" s="3">
        <f t="shared" si="50"/>
        <v>256</v>
      </c>
      <c r="L130" s="3">
        <f t="shared" si="50"/>
        <v>230.4</v>
      </c>
      <c r="M130" s="3">
        <f t="shared" si="50"/>
        <v>204.8</v>
      </c>
      <c r="N130" s="3">
        <f t="shared" si="50"/>
        <v>96</v>
      </c>
      <c r="O130" s="3">
        <f t="shared" si="50"/>
        <v>0</v>
      </c>
      <c r="P130">
        <v>0</v>
      </c>
    </row>
    <row r="131" spans="5:16" ht="12" thickBot="1" x14ac:dyDescent="0.25">
      <c r="E131" s="1" t="s">
        <v>31</v>
      </c>
      <c r="G131" s="12">
        <f>+G130+G128</f>
        <v>448</v>
      </c>
      <c r="H131" s="12">
        <f t="shared" ref="H131:O131" si="51">+H130+H128</f>
        <v>403.2</v>
      </c>
      <c r="I131" s="12">
        <f t="shared" si="51"/>
        <v>358.4</v>
      </c>
      <c r="J131" s="12">
        <f t="shared" si="51"/>
        <v>313.60000000000002</v>
      </c>
      <c r="K131" s="12">
        <f t="shared" si="51"/>
        <v>496</v>
      </c>
      <c r="L131" s="12">
        <f t="shared" si="51"/>
        <v>446.4</v>
      </c>
      <c r="M131" s="12">
        <f t="shared" si="51"/>
        <v>396.8</v>
      </c>
      <c r="N131" s="12">
        <f t="shared" si="51"/>
        <v>264</v>
      </c>
      <c r="O131" s="12">
        <f t="shared" si="51"/>
        <v>156</v>
      </c>
      <c r="P131" s="12">
        <f t="shared" ref="P131" si="52">+P130+P128</f>
        <v>109.99999999999997</v>
      </c>
    </row>
    <row r="133" spans="5:16" x14ac:dyDescent="0.2">
      <c r="E133" s="1" t="s">
        <v>32</v>
      </c>
      <c r="G133" s="20">
        <f>+G131</f>
        <v>448</v>
      </c>
      <c r="H133" s="20">
        <f t="shared" ref="H133:P133" si="53">+H131</f>
        <v>403.2</v>
      </c>
      <c r="I133" s="20">
        <f t="shared" si="53"/>
        <v>358.4</v>
      </c>
      <c r="J133" s="20">
        <f t="shared" si="53"/>
        <v>313.60000000000002</v>
      </c>
      <c r="K133" s="20">
        <f t="shared" si="53"/>
        <v>496</v>
      </c>
      <c r="L133" s="20">
        <f t="shared" si="53"/>
        <v>446.4</v>
      </c>
      <c r="M133" s="20">
        <f t="shared" si="53"/>
        <v>396.8</v>
      </c>
      <c r="N133" s="20">
        <f t="shared" si="53"/>
        <v>264</v>
      </c>
      <c r="O133" s="20">
        <f t="shared" si="53"/>
        <v>156</v>
      </c>
      <c r="P133" s="20">
        <f t="shared" si="53"/>
        <v>109.99999999999997</v>
      </c>
    </row>
    <row r="134" spans="5:16" x14ac:dyDescent="0.2">
      <c r="E134" t="s">
        <v>34</v>
      </c>
      <c r="G134">
        <f>+(1+$C$16)^G119</f>
        <v>1.07</v>
      </c>
      <c r="H134">
        <f t="shared" ref="H134:P134" si="54">+(1+$C$16)^H119</f>
        <v>1.1449</v>
      </c>
      <c r="I134">
        <f t="shared" si="54"/>
        <v>1.2250430000000001</v>
      </c>
      <c r="J134">
        <f t="shared" si="54"/>
        <v>1.31079601</v>
      </c>
      <c r="K134">
        <f t="shared" si="54"/>
        <v>1.4025517307000002</v>
      </c>
      <c r="L134">
        <f t="shared" si="54"/>
        <v>1.5007303518490001</v>
      </c>
      <c r="M134">
        <f t="shared" si="54"/>
        <v>1.6057814764784302</v>
      </c>
      <c r="N134">
        <f t="shared" si="54"/>
        <v>1.7181861798319202</v>
      </c>
      <c r="O134">
        <f t="shared" si="54"/>
        <v>1.8384592124201549</v>
      </c>
      <c r="P134">
        <f t="shared" si="54"/>
        <v>1.8384592124201549</v>
      </c>
    </row>
    <row r="135" spans="5:16" ht="12" thickBot="1" x14ac:dyDescent="0.25">
      <c r="E135" t="s">
        <v>42</v>
      </c>
      <c r="F135" s="22">
        <f>+SUM(F121:F122)</f>
        <v>-2260</v>
      </c>
      <c r="G135" s="23">
        <f>+G133/G134</f>
        <v>418.69158878504669</v>
      </c>
      <c r="H135" s="23">
        <f t="shared" ref="H135:P135" si="55">+H133/H134</f>
        <v>352.17049523975891</v>
      </c>
      <c r="I135" s="23">
        <f t="shared" si="55"/>
        <v>292.56115907768134</v>
      </c>
      <c r="J135" s="23">
        <f t="shared" si="55"/>
        <v>239.24393849810392</v>
      </c>
      <c r="K135" s="23">
        <f t="shared" si="55"/>
        <v>353.64114502389953</v>
      </c>
      <c r="L135" s="23">
        <f t="shared" si="55"/>
        <v>297.45516871169116</v>
      </c>
      <c r="M135" s="23">
        <f t="shared" si="55"/>
        <v>247.10709757980575</v>
      </c>
      <c r="N135" s="23">
        <f t="shared" si="55"/>
        <v>153.65040360517014</v>
      </c>
      <c r="O135" s="23">
        <f t="shared" si="55"/>
        <v>84.853663843127094</v>
      </c>
      <c r="P135" s="23">
        <f t="shared" si="55"/>
        <v>59.832711684256267</v>
      </c>
    </row>
    <row r="136" spans="5:16" ht="12" thickBot="1" x14ac:dyDescent="0.25">
      <c r="E136" s="1" t="s">
        <v>35</v>
      </c>
      <c r="F136" s="21">
        <f>+SUM(G135:P135)+SUM(F121:F122)</f>
        <v>239.20737204854049</v>
      </c>
    </row>
    <row r="137" spans="5:16" ht="12" thickBot="1" x14ac:dyDescent="0.25">
      <c r="E137" s="1" t="s">
        <v>43</v>
      </c>
      <c r="F137" s="19">
        <f>+IRR(F135:P135)</f>
        <v>2.3896142991940872E-2</v>
      </c>
    </row>
    <row r="139" spans="5:16" x14ac:dyDescent="0.2">
      <c r="E139" s="9" t="s">
        <v>38</v>
      </c>
    </row>
    <row r="140" spans="5:16" x14ac:dyDescent="0.2">
      <c r="E140" s="1" t="s">
        <v>11</v>
      </c>
    </row>
    <row r="141" spans="5:16" x14ac:dyDescent="0.2">
      <c r="E141" t="s">
        <v>39</v>
      </c>
      <c r="G141">
        <f>+J4</f>
        <v>120</v>
      </c>
      <c r="H141" s="8">
        <f>+G143</f>
        <v>104</v>
      </c>
      <c r="I141" s="8">
        <f t="shared" ref="I141:O141" si="56">+H143</f>
        <v>89.6</v>
      </c>
      <c r="J141" s="8">
        <f t="shared" si="56"/>
        <v>76.8</v>
      </c>
      <c r="K141" s="8">
        <f t="shared" si="56"/>
        <v>65.599999999999994</v>
      </c>
      <c r="L141" s="8">
        <f t="shared" si="56"/>
        <v>53.599999999999994</v>
      </c>
      <c r="M141" s="8">
        <f t="shared" si="56"/>
        <v>42.8</v>
      </c>
      <c r="N141" s="8">
        <f t="shared" si="56"/>
        <v>33.199999999999996</v>
      </c>
      <c r="O141" s="8">
        <f t="shared" si="56"/>
        <v>24.799999999999997</v>
      </c>
    </row>
    <row r="142" spans="5:16" x14ac:dyDescent="0.2">
      <c r="E142" t="s">
        <v>40</v>
      </c>
      <c r="G142" s="8">
        <f>+G127</f>
        <v>16</v>
      </c>
      <c r="H142" s="8">
        <f t="shared" ref="H142:O142" si="57">+H127</f>
        <v>14.4</v>
      </c>
      <c r="I142" s="8">
        <f t="shared" si="57"/>
        <v>12.8</v>
      </c>
      <c r="J142" s="8">
        <f t="shared" si="57"/>
        <v>11.200000000000001</v>
      </c>
      <c r="K142" s="8">
        <f t="shared" si="57"/>
        <v>12</v>
      </c>
      <c r="L142" s="8">
        <f t="shared" si="57"/>
        <v>10.799999999999999</v>
      </c>
      <c r="M142" s="8">
        <f t="shared" si="57"/>
        <v>9.6</v>
      </c>
      <c r="N142" s="8">
        <f t="shared" si="57"/>
        <v>8.4</v>
      </c>
      <c r="O142" s="8">
        <f t="shared" si="57"/>
        <v>7.8</v>
      </c>
    </row>
    <row r="143" spans="5:16" x14ac:dyDescent="0.2">
      <c r="E143" t="s">
        <v>41</v>
      </c>
      <c r="G143" s="8">
        <f>+G141-G142</f>
        <v>104</v>
      </c>
      <c r="H143" s="8">
        <f t="shared" ref="H143:O143" si="58">+H141-H142</f>
        <v>89.6</v>
      </c>
      <c r="I143" s="8">
        <f t="shared" si="58"/>
        <v>76.8</v>
      </c>
      <c r="J143" s="8">
        <f t="shared" si="58"/>
        <v>65.599999999999994</v>
      </c>
      <c r="K143" s="8">
        <f t="shared" si="58"/>
        <v>53.599999999999994</v>
      </c>
      <c r="L143" s="8">
        <f t="shared" si="58"/>
        <v>42.8</v>
      </c>
      <c r="M143" s="8">
        <f t="shared" si="58"/>
        <v>33.199999999999996</v>
      </c>
      <c r="N143" s="8">
        <f t="shared" si="58"/>
        <v>24.799999999999997</v>
      </c>
      <c r="O143" s="8">
        <f t="shared" si="58"/>
        <v>16.999999999999996</v>
      </c>
    </row>
    <row r="144" spans="5:16" x14ac:dyDescent="0.2">
      <c r="E144" s="1" t="s">
        <v>3</v>
      </c>
    </row>
    <row r="145" spans="5:15" x14ac:dyDescent="0.2">
      <c r="E145" t="s">
        <v>39</v>
      </c>
      <c r="G145">
        <f>+J5</f>
        <v>38</v>
      </c>
      <c r="H145" s="8">
        <f>+G147</f>
        <v>34</v>
      </c>
      <c r="I145" s="8">
        <f t="shared" ref="I145:N145" si="59">+H147</f>
        <v>30.4</v>
      </c>
      <c r="J145" s="8">
        <f t="shared" si="59"/>
        <v>27.2</v>
      </c>
      <c r="K145" s="8">
        <f t="shared" si="59"/>
        <v>24.4</v>
      </c>
      <c r="L145" s="8">
        <f t="shared" si="59"/>
        <v>16.399999999999999</v>
      </c>
      <c r="M145" s="8">
        <f t="shared" si="59"/>
        <v>9.1999999999999993</v>
      </c>
      <c r="N145" s="8">
        <f t="shared" si="59"/>
        <v>2.7999999999999989</v>
      </c>
      <c r="O145" s="8"/>
    </row>
    <row r="146" spans="5:15" x14ac:dyDescent="0.2">
      <c r="E146" t="s">
        <v>40</v>
      </c>
      <c r="G146" s="8">
        <f t="shared" ref="G146:M146" si="60">+G129</f>
        <v>4</v>
      </c>
      <c r="H146" s="8">
        <f t="shared" si="60"/>
        <v>3.6</v>
      </c>
      <c r="I146" s="8">
        <f t="shared" si="60"/>
        <v>3.2</v>
      </c>
      <c r="J146" s="8">
        <f t="shared" si="60"/>
        <v>2.8000000000000003</v>
      </c>
      <c r="K146" s="8">
        <f t="shared" si="60"/>
        <v>8</v>
      </c>
      <c r="L146" s="8">
        <f t="shared" si="60"/>
        <v>7.2</v>
      </c>
      <c r="M146" s="8">
        <f t="shared" si="60"/>
        <v>6.4</v>
      </c>
      <c r="N146" s="16">
        <v>3</v>
      </c>
      <c r="O146" s="8"/>
    </row>
    <row r="147" spans="5:15" x14ac:dyDescent="0.2">
      <c r="E147" t="s">
        <v>41</v>
      </c>
      <c r="G147" s="8">
        <f>+G145-G146</f>
        <v>34</v>
      </c>
      <c r="H147" s="8">
        <f t="shared" ref="H147:N147" si="61">+H145-H146</f>
        <v>30.4</v>
      </c>
      <c r="I147" s="8">
        <f t="shared" si="61"/>
        <v>27.2</v>
      </c>
      <c r="J147" s="8">
        <f t="shared" si="61"/>
        <v>24.4</v>
      </c>
      <c r="K147" s="8">
        <f t="shared" si="61"/>
        <v>16.399999999999999</v>
      </c>
      <c r="L147" s="8">
        <f t="shared" si="61"/>
        <v>9.1999999999999993</v>
      </c>
      <c r="M147" s="8">
        <f t="shared" si="61"/>
        <v>2.7999999999999989</v>
      </c>
      <c r="N147" s="8">
        <f t="shared" si="61"/>
        <v>-0.20000000000000107</v>
      </c>
      <c r="O147" s="8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7" ma:contentTypeDescription="Create a new document." ma:contentTypeScope="" ma:versionID="a3df3378ab4ea891e59dec3f25070614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5a09ec91cd0fcc0dab17d603ebdc27a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D1B65C-367A-4C5D-B122-743E0C8CD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10304D-EE90-4501-875F-2C81B4015D02}">
  <ds:schemaRefs>
    <ds:schemaRef ds:uri="http://schemas.openxmlformats.org/package/2006/metadata/core-properties"/>
    <ds:schemaRef ds:uri="8c43cc51-5868-4a98-ab1b-1dfe0ccc5bca"/>
    <ds:schemaRef ds:uri="http://schemas.microsoft.com/office/2006/documentManagement/types"/>
    <ds:schemaRef ds:uri="http://purl.org/dc/dcmitype/"/>
    <ds:schemaRef ds:uri="f3f9a561-298b-4309-aa23-401c63cea76b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9DC08-4E4F-499B-8A4A-2D4F0AF49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Umbright</dc:creator>
  <cp:lastModifiedBy>Connor Umbright</cp:lastModifiedBy>
  <cp:lastPrinted>2023-02-01T19:34:40Z</cp:lastPrinted>
  <dcterms:created xsi:type="dcterms:W3CDTF">2023-02-01T16:39:28Z</dcterms:created>
  <dcterms:modified xsi:type="dcterms:W3CDTF">2023-02-01T20:42:16Z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